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Lakefront\Interrogatories\"/>
    </mc:Choice>
  </mc:AlternateContent>
  <bookViews>
    <workbookView xWindow="0" yWindow="0" windowWidth="28770" windowHeight="11085" tabRatio="775" activeTab="5"/>
  </bookViews>
  <sheets>
    <sheet name="1589 Balance" sheetId="3" r:id="rId1"/>
    <sheet name="Revenue" sheetId="1" r:id="rId2"/>
    <sheet name="Expenses" sheetId="2" r:id="rId3"/>
    <sheet name="Utilismart and Northstar Reconc" sheetId="4" r:id="rId4"/>
    <sheet name="GA Analysis Workform Adjustment" sheetId="5" r:id="rId5"/>
    <sheet name="Adjusted 1589 Balance" sheetId="6" r:id="rId6"/>
  </sheets>
  <externalReferences>
    <externalReference r:id="rId7"/>
  </externalReferences>
  <definedNames>
    <definedName name="_xlnm.Print_Area" localSheetId="0">'1589 Balance'!$A$1:$G$25</definedName>
    <definedName name="_xlnm.Print_Area" localSheetId="2">Expenses!$A$1:$M$17</definedName>
    <definedName name="_xlnm.Print_Area" localSheetId="1">Revenue!$A$1:$J$28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6" l="1"/>
  <c r="J5" i="1" l="1"/>
  <c r="E15" i="2" l="1"/>
  <c r="J6" i="1" l="1"/>
  <c r="J7" i="1"/>
  <c r="J8" i="1"/>
  <c r="J9" i="1"/>
  <c r="J10" i="1"/>
  <c r="J11" i="1"/>
  <c r="J12" i="1"/>
  <c r="J13" i="1"/>
  <c r="J14" i="1"/>
  <c r="J15" i="1"/>
  <c r="J16" i="1"/>
  <c r="E5" i="1"/>
  <c r="H5" i="1" s="1"/>
  <c r="E6" i="1"/>
  <c r="H6" i="1" s="1"/>
  <c r="E7" i="1"/>
  <c r="H7" i="1" s="1"/>
  <c r="E8" i="1"/>
  <c r="H8" i="1" s="1"/>
  <c r="E9" i="1"/>
  <c r="H9" i="1" s="1"/>
  <c r="E10" i="1"/>
  <c r="H10" i="1" s="1"/>
  <c r="E11" i="1"/>
  <c r="H11" i="1" s="1"/>
  <c r="E12" i="1"/>
  <c r="H12" i="1" s="1"/>
  <c r="E13" i="1"/>
  <c r="H13" i="1" s="1"/>
  <c r="E14" i="1"/>
  <c r="H14" i="1" s="1"/>
  <c r="E15" i="1"/>
  <c r="H15" i="1" s="1"/>
  <c r="E16" i="1"/>
  <c r="H16" i="1" s="1"/>
  <c r="E18" i="4" l="1"/>
  <c r="E16" i="6" s="1"/>
  <c r="E19" i="4"/>
  <c r="E17" i="6" s="1"/>
  <c r="D17" i="2"/>
  <c r="E18" i="1"/>
  <c r="G6" i="1"/>
  <c r="G7" i="1"/>
  <c r="G8" i="1"/>
  <c r="G9" i="1"/>
  <c r="G10" i="1"/>
  <c r="G11" i="1"/>
  <c r="G12" i="1"/>
  <c r="G13" i="1"/>
  <c r="G14" i="1"/>
  <c r="G15" i="1"/>
  <c r="G16" i="1"/>
  <c r="G5" i="1"/>
  <c r="G17" i="1"/>
  <c r="D16" i="6" l="1"/>
  <c r="H16" i="6" s="1"/>
  <c r="L16" i="6" s="1"/>
  <c r="I16" i="6"/>
  <c r="M16" i="6" s="1"/>
  <c r="P16" i="6" s="1"/>
  <c r="Q16" i="6" s="1"/>
  <c r="D17" i="6"/>
  <c r="H17" i="6" s="1"/>
  <c r="L17" i="6" s="1"/>
  <c r="I17" i="6"/>
  <c r="M17" i="6" s="1"/>
  <c r="P17" i="6" s="1"/>
  <c r="Q17" i="6" s="1"/>
  <c r="G18" i="1"/>
  <c r="D17" i="5"/>
  <c r="D7" i="5"/>
  <c r="D8" i="5"/>
  <c r="D9" i="5"/>
  <c r="D10" i="5"/>
  <c r="D11" i="5"/>
  <c r="D12" i="5"/>
  <c r="D13" i="5"/>
  <c r="D14" i="5"/>
  <c r="D15" i="5"/>
  <c r="D16" i="5"/>
  <c r="D6" i="5"/>
  <c r="D18" i="5" l="1"/>
  <c r="I18" i="4"/>
  <c r="K18" i="4" s="1"/>
  <c r="I19" i="4"/>
  <c r="K19" i="4" s="1"/>
  <c r="J20" i="4"/>
  <c r="H20" i="4"/>
  <c r="G20" i="4"/>
  <c r="F20" i="4"/>
  <c r="D11" i="3" l="1"/>
  <c r="E14" i="2"/>
  <c r="E17" i="4" s="1"/>
  <c r="E13" i="2"/>
  <c r="E16" i="4" s="1"/>
  <c r="E12" i="2"/>
  <c r="E11" i="2"/>
  <c r="E14" i="4" s="1"/>
  <c r="E10" i="2"/>
  <c r="E13" i="4" s="1"/>
  <c r="E9" i="2"/>
  <c r="E12" i="4" s="1"/>
  <c r="E8" i="2"/>
  <c r="E11" i="4" s="1"/>
  <c r="E7" i="2"/>
  <c r="E10" i="4" s="1"/>
  <c r="F7" i="2"/>
  <c r="H7" i="2" s="1"/>
  <c r="L7" i="2" s="1"/>
  <c r="E6" i="2"/>
  <c r="E9" i="4" s="1"/>
  <c r="E5" i="2"/>
  <c r="F5" i="2"/>
  <c r="H5" i="2" s="1"/>
  <c r="L5" i="2" s="1"/>
  <c r="F8" i="2"/>
  <c r="H8" i="2" s="1"/>
  <c r="L8" i="2" s="1"/>
  <c r="F10" i="2"/>
  <c r="H10" i="2" s="1"/>
  <c r="L10" i="2" s="1"/>
  <c r="F11" i="2"/>
  <c r="I11" i="2" s="1"/>
  <c r="M11" i="2" s="1"/>
  <c r="E11" i="3" s="1"/>
  <c r="F14" i="2"/>
  <c r="H14" i="2" s="1"/>
  <c r="L14" i="2" s="1"/>
  <c r="F15" i="2"/>
  <c r="H15" i="2" s="1"/>
  <c r="L15" i="2" s="1"/>
  <c r="F16" i="2"/>
  <c r="I16" i="2" s="1"/>
  <c r="M16" i="2" s="1"/>
  <c r="E16" i="3" s="1"/>
  <c r="C18" i="1"/>
  <c r="H11" i="2"/>
  <c r="L11" i="2" s="1"/>
  <c r="I7" i="2"/>
  <c r="M7" i="2" s="1"/>
  <c r="E7" i="3" s="1"/>
  <c r="D6" i="3"/>
  <c r="D7" i="3"/>
  <c r="D8" i="3"/>
  <c r="D9" i="3"/>
  <c r="D10" i="3"/>
  <c r="D12" i="3"/>
  <c r="D13" i="3"/>
  <c r="D14" i="3"/>
  <c r="D15" i="3"/>
  <c r="D16" i="3"/>
  <c r="E7" i="6" l="1"/>
  <c r="I9" i="4"/>
  <c r="K9" i="4" s="1"/>
  <c r="E14" i="6"/>
  <c r="I16" i="4"/>
  <c r="K16" i="4" s="1"/>
  <c r="F13" i="2"/>
  <c r="H13" i="2" s="1"/>
  <c r="L13" i="2" s="1"/>
  <c r="E11" i="6"/>
  <c r="I13" i="4"/>
  <c r="K13" i="4" s="1"/>
  <c r="I8" i="2"/>
  <c r="M8" i="2" s="1"/>
  <c r="E8" i="3" s="1"/>
  <c r="I10" i="2"/>
  <c r="M10" i="2" s="1"/>
  <c r="E10" i="3" s="1"/>
  <c r="H16" i="2"/>
  <c r="L16" i="2" s="1"/>
  <c r="F9" i="2"/>
  <c r="E17" i="2"/>
  <c r="E8" i="4"/>
  <c r="E8" i="6"/>
  <c r="I10" i="4"/>
  <c r="K10" i="4" s="1"/>
  <c r="E12" i="6"/>
  <c r="I14" i="4"/>
  <c r="K14" i="4" s="1"/>
  <c r="E10" i="6"/>
  <c r="I12" i="4"/>
  <c r="K12" i="4" s="1"/>
  <c r="I14" i="2"/>
  <c r="M14" i="2" s="1"/>
  <c r="E14" i="3" s="1"/>
  <c r="E15" i="6"/>
  <c r="I17" i="4"/>
  <c r="K17" i="4" s="1"/>
  <c r="I6" i="2"/>
  <c r="M6" i="2" s="1"/>
  <c r="E6" i="3" s="1"/>
  <c r="F6" i="3" s="1"/>
  <c r="E7" i="5" s="1"/>
  <c r="F7" i="5" s="1"/>
  <c r="I5" i="2"/>
  <c r="M5" i="2" s="1"/>
  <c r="E5" i="3" s="1"/>
  <c r="F6" i="2"/>
  <c r="H6" i="2" s="1"/>
  <c r="L6" i="2" s="1"/>
  <c r="E9" i="6"/>
  <c r="I11" i="4"/>
  <c r="K11" i="4" s="1"/>
  <c r="F12" i="2"/>
  <c r="H12" i="2" s="1"/>
  <c r="L12" i="2" s="1"/>
  <c r="E15" i="4"/>
  <c r="I15" i="2"/>
  <c r="M15" i="2" s="1"/>
  <c r="F7" i="3"/>
  <c r="E8" i="5" s="1"/>
  <c r="F8" i="5" s="1"/>
  <c r="I13" i="2"/>
  <c r="M13" i="2" s="1"/>
  <c r="E13" i="3" s="1"/>
  <c r="I12" i="2"/>
  <c r="M12" i="2" s="1"/>
  <c r="E12" i="3" s="1"/>
  <c r="F12" i="3" s="1"/>
  <c r="E13" i="5" s="1"/>
  <c r="F13" i="5" s="1"/>
  <c r="F14" i="3"/>
  <c r="E15" i="5" s="1"/>
  <c r="F15" i="5" s="1"/>
  <c r="F11" i="3"/>
  <c r="E12" i="5" s="1"/>
  <c r="F12" i="5" s="1"/>
  <c r="F16" i="3"/>
  <c r="E17" i="5" s="1"/>
  <c r="F17" i="5" s="1"/>
  <c r="F18" i="1"/>
  <c r="F10" i="3"/>
  <c r="E11" i="5" s="1"/>
  <c r="F11" i="5" s="1"/>
  <c r="D5" i="3"/>
  <c r="F5" i="3" s="1"/>
  <c r="E6" i="5" s="1"/>
  <c r="F6" i="5" s="1"/>
  <c r="F13" i="3"/>
  <c r="E14" i="5" s="1"/>
  <c r="F14" i="5" s="1"/>
  <c r="F8" i="3"/>
  <c r="E9" i="5" s="1"/>
  <c r="F9" i="5" s="1"/>
  <c r="I8" i="4" l="1"/>
  <c r="K8" i="4" s="1"/>
  <c r="E6" i="6"/>
  <c r="E20" i="4"/>
  <c r="I20" i="4" s="1"/>
  <c r="H9" i="2"/>
  <c r="L9" i="2" s="1"/>
  <c r="L17" i="2" s="1"/>
  <c r="I9" i="2"/>
  <c r="M9" i="2" s="1"/>
  <c r="E9" i="3" s="1"/>
  <c r="F9" i="3" s="1"/>
  <c r="E10" i="5" s="1"/>
  <c r="F10" i="5" s="1"/>
  <c r="D9" i="6"/>
  <c r="H9" i="6" s="1"/>
  <c r="L9" i="6" s="1"/>
  <c r="I9" i="6"/>
  <c r="M9" i="6" s="1"/>
  <c r="P9" i="6" s="1"/>
  <c r="Q9" i="6" s="1"/>
  <c r="D10" i="6"/>
  <c r="H10" i="6" s="1"/>
  <c r="L10" i="6" s="1"/>
  <c r="I10" i="6"/>
  <c r="M10" i="6" s="1"/>
  <c r="P10" i="6" s="1"/>
  <c r="Q10" i="6" s="1"/>
  <c r="D8" i="6"/>
  <c r="H8" i="6" s="1"/>
  <c r="L8" i="6" s="1"/>
  <c r="I8" i="6"/>
  <c r="M8" i="6" s="1"/>
  <c r="P8" i="6" s="1"/>
  <c r="Q8" i="6" s="1"/>
  <c r="D11" i="6"/>
  <c r="H11" i="6" s="1"/>
  <c r="L11" i="6" s="1"/>
  <c r="I11" i="6"/>
  <c r="M11" i="6" s="1"/>
  <c r="P11" i="6" s="1"/>
  <c r="Q11" i="6" s="1"/>
  <c r="D14" i="6"/>
  <c r="H14" i="6" s="1"/>
  <c r="L14" i="6" s="1"/>
  <c r="I14" i="6"/>
  <c r="M14" i="6" s="1"/>
  <c r="P14" i="6" s="1"/>
  <c r="Q14" i="6" s="1"/>
  <c r="E13" i="6"/>
  <c r="I15" i="4"/>
  <c r="K15" i="4" s="1"/>
  <c r="D15" i="6"/>
  <c r="H15" i="6" s="1"/>
  <c r="L15" i="6" s="1"/>
  <c r="I15" i="6"/>
  <c r="M15" i="6" s="1"/>
  <c r="P15" i="6" s="1"/>
  <c r="Q15" i="6" s="1"/>
  <c r="F17" i="2"/>
  <c r="D12" i="6"/>
  <c r="H12" i="6" s="1"/>
  <c r="L12" i="6" s="1"/>
  <c r="I12" i="6"/>
  <c r="M12" i="6" s="1"/>
  <c r="P12" i="6" s="1"/>
  <c r="Q12" i="6" s="1"/>
  <c r="D7" i="6"/>
  <c r="H7" i="6" s="1"/>
  <c r="L7" i="6" s="1"/>
  <c r="I7" i="6"/>
  <c r="M7" i="6" s="1"/>
  <c r="P7" i="6" s="1"/>
  <c r="Q7" i="6" s="1"/>
  <c r="E15" i="3"/>
  <c r="F15" i="3" s="1"/>
  <c r="E16" i="5" s="1"/>
  <c r="F16" i="5" s="1"/>
  <c r="F18" i="5" s="1"/>
  <c r="M17" i="2"/>
  <c r="D17" i="3"/>
  <c r="D13" i="6" l="1"/>
  <c r="H13" i="6" s="1"/>
  <c r="L13" i="6" s="1"/>
  <c r="I13" i="6"/>
  <c r="M13" i="6" s="1"/>
  <c r="P13" i="6" s="1"/>
  <c r="Q13" i="6" s="1"/>
  <c r="E18" i="6"/>
  <c r="D6" i="6"/>
  <c r="K20" i="4"/>
  <c r="E17" i="3"/>
  <c r="F17" i="3"/>
  <c r="E18" i="5"/>
  <c r="F18" i="6" l="1"/>
  <c r="D18" i="6"/>
  <c r="I6" i="6"/>
  <c r="M6" i="6" s="1"/>
  <c r="P6" i="6" s="1"/>
  <c r="Q6" i="6" s="1"/>
  <c r="M18" i="6" l="1"/>
  <c r="P18" i="6" s="1"/>
  <c r="Q18" i="6" s="1"/>
  <c r="H6" i="6"/>
  <c r="L6" i="6" s="1"/>
  <c r="L18" i="6" s="1"/>
</calcChain>
</file>

<file path=xl/sharedStrings.xml><?xml version="1.0" encoding="utf-8"?>
<sst xmlns="http://schemas.openxmlformats.org/spreadsheetml/2006/main" count="113" uniqueCount="48">
  <si>
    <t>kWh Billed (per Northstar)</t>
  </si>
  <si>
    <t>Revenue</t>
  </si>
  <si>
    <t>January</t>
  </si>
  <si>
    <t>February</t>
  </si>
  <si>
    <t>March</t>
  </si>
  <si>
    <t>April</t>
  </si>
  <si>
    <t>May</t>
  </si>
  <si>
    <t>June</t>
  </si>
  <si>
    <t>July</t>
  </si>
  <si>
    <t>August</t>
  </si>
  <si>
    <t>September</t>
  </si>
  <si>
    <t>October</t>
  </si>
  <si>
    <t>November</t>
  </si>
  <si>
    <t>December</t>
  </si>
  <si>
    <t>2015 Unbilled Revenue</t>
  </si>
  <si>
    <t>2016 Unbilled Revenue</t>
  </si>
  <si>
    <t xml:space="preserve">Total </t>
  </si>
  <si>
    <t>RPP kWh</t>
  </si>
  <si>
    <t>non-RPP Kwh</t>
  </si>
  <si>
    <t>Total</t>
  </si>
  <si>
    <t>RPP Split</t>
  </si>
  <si>
    <t>non-RPP Split</t>
  </si>
  <si>
    <t>Global Adjustment (per IESO invoice)</t>
  </si>
  <si>
    <t>RPP Portion</t>
  </si>
  <si>
    <t>Non-RPP Portion</t>
  </si>
  <si>
    <t>Expenses</t>
  </si>
  <si>
    <t>Difference (recorded in 1589)</t>
  </si>
  <si>
    <t>Difference</t>
  </si>
  <si>
    <t>Month</t>
  </si>
  <si>
    <t>Reconciling kWh</t>
  </si>
  <si>
    <t>Period</t>
  </si>
  <si>
    <t>Original Expensed Non-RPP kWh</t>
  </si>
  <si>
    <t>Retailer Residential, Retailer Small Commercial, Missing RPP Customer, Incorrect NSLS data</t>
  </si>
  <si>
    <t>Generation kWh (microFIT, FIT)</t>
  </si>
  <si>
    <t>Actual Non-RPP kWh Billed (NorthStar Effective Date)</t>
  </si>
  <si>
    <t>Non-RPP kWh Differences</t>
  </si>
  <si>
    <t>Expected GA Variance</t>
  </si>
  <si>
    <t>Actual GA Variance</t>
  </si>
  <si>
    <t>Reconciling Amount</t>
  </si>
  <si>
    <t>Revenue (CxD)</t>
  </si>
  <si>
    <t>Actual Revenue per GL</t>
  </si>
  <si>
    <t xml:space="preserve">Danielle - does this wording make sense? </t>
  </si>
  <si>
    <t>Total Reconciling items (F, G, H)</t>
  </si>
  <si>
    <t>GA Rate (first estimate)</t>
  </si>
  <si>
    <t xml:space="preserve"> </t>
  </si>
  <si>
    <t>Actual kWh (NS Effective Date) Less Billing (NS Posted Date) kWh</t>
  </si>
  <si>
    <t>Weighted Average First Estimate GA Rate</t>
  </si>
  <si>
    <t>Adjusted 1589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</si>
</sst>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7" formatCode="&quot;$&quot;#,##0.00_);\(&quot;$&quot;#,##0.00\)"/>
    <numFmt numFmtId="164" formatCode="_-* #,##0.00_-;\-* #,##0.00_-;_-* &quot;-&quot;??_-;_-@_-"/>
    <numFmt numFmtId="165" formatCode="&quot;$&quot;#,##0.00"/>
    <numFmt numFmtId="166" formatCode="0.0000"/>
    <numFmt numFmtId="167" formatCode="_-* #,##0.0000_-;\-* #,##0.0000_-;_-* &quot;-&quot;??_-;_-@_-"/>
  </numFmts>
  <fonts count="8" x14ac:knownFonts="1">
    <font>
      <sz val="11"/>
      <color theme="1"/>
      <name val="Calibri"/>
      <family val="2"/>
      <scheme val="minor"/>
    </font>
    <font>
      <sz val="11"/>
      <color theme="1"/>
      <name val="Arial Narrow"/>
      <family val="2"/>
    </font>
    <font>
      <b/>
      <sz val="11"/>
      <color theme="1"/>
      <name val="Arial Narrow"/>
      <family val="2"/>
    </font>
    <font>
      <b/>
      <sz val="11"/>
      <color theme="0"/>
      <name val="Arial Narrow"/>
      <family val="2"/>
    </font>
    <font>
      <sz val="11"/>
      <color rgb="FFFF0000"/>
      <name val="Arial Narrow"/>
      <family val="2"/>
    </font>
    <font>
      <sz val="11"/>
      <color theme="1"/>
      <name val="Calibri"/>
      <family val="2"/>
      <scheme val="minor"/>
    </font>
    <font>
      <b/>
      <sz val="11"/>
      <color rgb="FFFF0000"/>
      <name val="Arial Narrow"/>
      <family val="2"/>
    </font>
    <font>
      <sz val="11"/>
      <color rgb="FF00B050"/>
      <name val="Arial Narrow"/>
      <family val="2"/>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9" tint="0.59999389629810485"/>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164" fontId="5" fillId="0" borderId="0" applyFont="0" applyFill="0" applyBorder="0" applyAlignment="0" applyProtection="0"/>
  </cellStyleXfs>
  <cellXfs count="58">
    <xf numFmtId="0" fontId="0" fillId="0" borderId="0" xfId="0"/>
    <xf numFmtId="0" fontId="1" fillId="0" borderId="0" xfId="0" applyFont="1"/>
    <xf numFmtId="37" fontId="1" fillId="0" borderId="0" xfId="0" applyNumberFormat="1" applyFont="1"/>
    <xf numFmtId="37" fontId="1" fillId="0" borderId="0" xfId="0" applyNumberFormat="1" applyFont="1" applyAlignment="1">
      <alignment horizontal="center"/>
    </xf>
    <xf numFmtId="0" fontId="2" fillId="0" borderId="0" xfId="0" applyFont="1"/>
    <xf numFmtId="39" fontId="1" fillId="0" borderId="0" xfId="0" applyNumberFormat="1" applyFont="1"/>
    <xf numFmtId="0" fontId="1" fillId="0" borderId="0" xfId="0" applyFont="1" applyAlignment="1">
      <alignment horizontal="center"/>
    </xf>
    <xf numFmtId="39" fontId="1" fillId="0" borderId="0" xfId="0" applyNumberFormat="1" applyFont="1" applyAlignment="1">
      <alignment horizontal="center"/>
    </xf>
    <xf numFmtId="7" fontId="1" fillId="0" borderId="0" xfId="0" applyNumberFormat="1" applyFont="1"/>
    <xf numFmtId="37" fontId="2" fillId="0" borderId="0" xfId="0" applyNumberFormat="1" applyFont="1" applyAlignment="1">
      <alignment horizontal="center"/>
    </xf>
    <xf numFmtId="0" fontId="1" fillId="0" borderId="3" xfId="0" applyFont="1" applyBorder="1"/>
    <xf numFmtId="37" fontId="1" fillId="0" borderId="3" xfId="0" applyNumberFormat="1" applyFont="1" applyBorder="1" applyAlignment="1">
      <alignment horizontal="center"/>
    </xf>
    <xf numFmtId="0" fontId="2" fillId="0" borderId="3" xfId="0" applyFont="1" applyBorder="1"/>
    <xf numFmtId="37" fontId="2" fillId="0" borderId="3" xfId="0" applyNumberFormat="1" applyFont="1" applyBorder="1" applyAlignment="1">
      <alignment horizontal="center"/>
    </xf>
    <xf numFmtId="0" fontId="3" fillId="2" borderId="3" xfId="0" applyFont="1" applyFill="1" applyBorder="1"/>
    <xf numFmtId="37" fontId="3" fillId="2" borderId="3" xfId="0" applyNumberFormat="1" applyFont="1" applyFill="1" applyBorder="1" applyAlignment="1">
      <alignment horizontal="center" wrapText="1"/>
    </xf>
    <xf numFmtId="0" fontId="3" fillId="2" borderId="3" xfId="0" applyFont="1" applyFill="1" applyBorder="1" applyAlignment="1">
      <alignment horizontal="left"/>
    </xf>
    <xf numFmtId="0" fontId="3" fillId="2" borderId="3" xfId="0" applyFont="1" applyFill="1" applyBorder="1" applyAlignment="1">
      <alignment horizontal="center"/>
    </xf>
    <xf numFmtId="7" fontId="1" fillId="0" borderId="3" xfId="0" applyNumberFormat="1" applyFont="1" applyBorder="1" applyAlignment="1">
      <alignment horizontal="center"/>
    </xf>
    <xf numFmtId="7" fontId="2" fillId="0" borderId="3" xfId="0" applyNumberFormat="1" applyFont="1" applyBorder="1" applyAlignment="1">
      <alignment horizontal="center"/>
    </xf>
    <xf numFmtId="0" fontId="3" fillId="2" borderId="3" xfId="0" applyFont="1" applyFill="1" applyBorder="1" applyAlignment="1">
      <alignment horizontal="center" wrapText="1"/>
    </xf>
    <xf numFmtId="7" fontId="3" fillId="2" borderId="3" xfId="0" applyNumberFormat="1" applyFont="1" applyFill="1" applyBorder="1" applyAlignment="1">
      <alignment horizontal="center" wrapText="1"/>
    </xf>
    <xf numFmtId="0" fontId="1" fillId="0" borderId="3" xfId="0" applyFont="1" applyBorder="1" applyAlignment="1">
      <alignment horizontal="center"/>
    </xf>
    <xf numFmtId="5" fontId="1" fillId="0" borderId="3" xfId="0" applyNumberFormat="1" applyFont="1" applyBorder="1" applyAlignment="1">
      <alignment horizontal="center"/>
    </xf>
    <xf numFmtId="166" fontId="1" fillId="0" borderId="3" xfId="0" applyNumberFormat="1" applyFont="1" applyBorder="1" applyAlignment="1">
      <alignment horizontal="center"/>
    </xf>
    <xf numFmtId="0" fontId="2" fillId="0" borderId="3" xfId="0" applyFont="1" applyBorder="1" applyAlignment="1">
      <alignment horizontal="center"/>
    </xf>
    <xf numFmtId="5" fontId="2" fillId="0" borderId="3" xfId="0" applyNumberFormat="1" applyFont="1" applyBorder="1" applyAlignment="1">
      <alignment horizontal="center"/>
    </xf>
    <xf numFmtId="0" fontId="1" fillId="3" borderId="0" xfId="0" applyFont="1" applyFill="1"/>
    <xf numFmtId="7" fontId="1" fillId="3" borderId="0" xfId="0" applyNumberFormat="1" applyFont="1" applyFill="1"/>
    <xf numFmtId="0" fontId="1" fillId="3" borderId="0" xfId="0" applyFont="1" applyFill="1" applyAlignment="1">
      <alignment horizontal="center"/>
    </xf>
    <xf numFmtId="0" fontId="1" fillId="2" borderId="3" xfId="0" applyFont="1" applyFill="1" applyBorder="1"/>
    <xf numFmtId="10" fontId="1" fillId="0" borderId="3" xfId="0" applyNumberFormat="1" applyFont="1" applyBorder="1" applyAlignment="1">
      <alignment horizontal="center"/>
    </xf>
    <xf numFmtId="165" fontId="1" fillId="0" borderId="3" xfId="0" applyNumberFormat="1" applyFont="1" applyBorder="1" applyAlignment="1">
      <alignment horizontal="center"/>
    </xf>
    <xf numFmtId="0" fontId="2" fillId="0" borderId="0" xfId="0" applyFont="1" applyAlignment="1">
      <alignment horizontal="center"/>
    </xf>
    <xf numFmtId="0" fontId="3"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0" xfId="0" applyNumberFormat="1" applyFont="1" applyAlignment="1">
      <alignment horizontal="center"/>
    </xf>
    <xf numFmtId="37" fontId="1" fillId="0" borderId="0" xfId="1" applyNumberFormat="1" applyFont="1" applyAlignment="1">
      <alignment horizontal="center"/>
    </xf>
    <xf numFmtId="14" fontId="1" fillId="0" borderId="0" xfId="0" applyNumberFormat="1" applyFont="1"/>
    <xf numFmtId="37" fontId="3" fillId="2" borderId="0" xfId="0" applyNumberFormat="1" applyFont="1" applyFill="1" applyAlignment="1">
      <alignment horizontal="center"/>
    </xf>
    <xf numFmtId="37" fontId="6" fillId="3" borderId="0" xfId="0" applyNumberFormat="1" applyFont="1" applyFill="1" applyAlignment="1">
      <alignment horizontal="center"/>
    </xf>
    <xf numFmtId="0" fontId="2" fillId="0" borderId="0" xfId="0" applyFont="1"/>
    <xf numFmtId="0" fontId="1" fillId="0" borderId="0" xfId="0" applyFont="1" applyAlignment="1">
      <alignment horizontal="center"/>
    </xf>
    <xf numFmtId="167" fontId="1" fillId="0" borderId="0" xfId="1" applyNumberFormat="1" applyFont="1"/>
    <xf numFmtId="164" fontId="1" fillId="0" borderId="0" xfId="1" applyNumberFormat="1" applyFont="1"/>
    <xf numFmtId="0" fontId="7" fillId="0" borderId="0" xfId="0" applyFont="1"/>
    <xf numFmtId="0" fontId="1" fillId="0" borderId="0" xfId="0" applyFont="1" applyFill="1"/>
    <xf numFmtId="0" fontId="4" fillId="0" borderId="0" xfId="0" applyFont="1" applyFill="1"/>
    <xf numFmtId="7" fontId="1" fillId="0" borderId="0" xfId="0" applyNumberFormat="1" applyFont="1" applyFill="1"/>
    <xf numFmtId="0" fontId="1" fillId="0" borderId="0" xfId="0" applyFont="1" applyFill="1" applyAlignment="1">
      <alignment horizontal="center"/>
    </xf>
    <xf numFmtId="0" fontId="3" fillId="2" borderId="2" xfId="0" applyFont="1" applyFill="1" applyBorder="1" applyAlignment="1">
      <alignment horizontal="center"/>
    </xf>
    <xf numFmtId="0" fontId="3" fillId="2" borderId="2" xfId="0" applyFont="1" applyFill="1" applyBorder="1" applyAlignment="1">
      <alignment horizontal="center" wrapText="1"/>
    </xf>
    <xf numFmtId="37" fontId="1" fillId="0" borderId="2" xfId="0" applyNumberFormat="1" applyFont="1" applyBorder="1" applyAlignment="1">
      <alignment horizontal="center"/>
    </xf>
    <xf numFmtId="37" fontId="2" fillId="0" borderId="2" xfId="0" applyNumberFormat="1" applyFont="1" applyBorder="1" applyAlignment="1">
      <alignment horizontal="center"/>
    </xf>
    <xf numFmtId="37" fontId="2" fillId="4" borderId="2" xfId="0" applyNumberFormat="1" applyFont="1" applyFill="1" applyBorder="1" applyAlignment="1">
      <alignment horizontal="center"/>
    </xf>
    <xf numFmtId="165" fontId="2" fillId="0" borderId="3" xfId="0" applyNumberFormat="1" applyFont="1" applyBorder="1" applyAlignment="1">
      <alignment horizontal="center"/>
    </xf>
    <xf numFmtId="164" fontId="6" fillId="3" borderId="1" xfId="1" applyFont="1" applyFill="1" applyBorder="1" applyAlignment="1">
      <alignment horizontal="center"/>
    </xf>
    <xf numFmtId="0" fontId="2" fillId="4" borderId="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846</xdr:colOff>
      <xdr:row>19</xdr:row>
      <xdr:rowOff>134055</xdr:rowOff>
    </xdr:from>
    <xdr:ext cx="4409722" cy="901529"/>
    <xdr:sp macro="" textlink="">
      <xdr:nvSpPr>
        <xdr:cNvPr id="2" name="TextBox 1"/>
        <xdr:cNvSpPr txBox="1"/>
      </xdr:nvSpPr>
      <xdr:spPr>
        <a:xfrm>
          <a:off x="1253913" y="3512255"/>
          <a:ext cx="4409722" cy="9015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CA" sz="1100">
              <a:solidFill>
                <a:srgbClr val="00B050"/>
              </a:solidFill>
              <a:latin typeface="Arial Narrow" panose="020B0606020202030204" pitchFamily="34" charset="0"/>
            </a:rPr>
            <a:t>The table above summarizes</a:t>
          </a:r>
          <a:r>
            <a:rPr lang="en-CA" sz="1100" baseline="0">
              <a:solidFill>
                <a:srgbClr val="00B050"/>
              </a:solidFill>
              <a:latin typeface="Arial Narrow" panose="020B0606020202030204" pitchFamily="34" charset="0"/>
            </a:rPr>
            <a:t> the monthly recorded revenue and expenses associated with account 1589.  The total revenue is based on the First Estimate Global Adjustment charges to customers.  This revenue is recorded in seperate Sales of Electricity sub-accounts.  The expenses are based on a percentage split of the Class B Global Adjustment amount from Line 148 on the IESO invoices.</a:t>
          </a:r>
          <a:endParaRPr lang="en-CA" sz="1100">
            <a:solidFill>
              <a:srgbClr val="00B050"/>
            </a:solidFill>
            <a:latin typeface="Arial Narrow" panose="020B060602020203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233589</xdr:colOff>
      <xdr:row>18</xdr:row>
      <xdr:rowOff>197037</xdr:rowOff>
    </xdr:from>
    <xdr:ext cx="7739944" cy="1576294"/>
    <xdr:sp macro="" textlink="">
      <xdr:nvSpPr>
        <xdr:cNvPr id="2" name="TextBox 1"/>
        <xdr:cNvSpPr txBox="1"/>
      </xdr:nvSpPr>
      <xdr:spPr>
        <a:xfrm>
          <a:off x="233589" y="4340412"/>
          <a:ext cx="7739944" cy="15762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CA" sz="1100">
              <a:solidFill>
                <a:srgbClr val="00B050"/>
              </a:solidFill>
              <a:latin typeface="Arial Narrow" panose="020B0606020202030204" pitchFamily="34" charset="0"/>
            </a:rPr>
            <a:t>The kWh Billed per Northstar is obtained from a report prepared by Lakefront's CIS provider and is the actual billed kWh to non-RPP customers for each applicable month. The total billed kWh of 135,572,925 agrees to the total included in the GA Analysis Workfrom (column E). </a:t>
          </a:r>
        </a:p>
        <a:p>
          <a:endParaRPr lang="en-CA" sz="1100">
            <a:solidFill>
              <a:srgbClr val="00B050"/>
            </a:solidFill>
            <a:latin typeface="Arial Narrow" panose="020B0606020202030204" pitchFamily="34" charset="0"/>
          </a:endParaRPr>
        </a:p>
        <a:p>
          <a:r>
            <a:rPr lang="en-CA" sz="1100">
              <a:solidFill>
                <a:srgbClr val="00B050"/>
              </a:solidFill>
              <a:latin typeface="Arial Narrow" panose="020B0606020202030204" pitchFamily="34" charset="0"/>
            </a:rPr>
            <a:t>Lakefront's</a:t>
          </a:r>
          <a:r>
            <a:rPr lang="en-CA" sz="1100" baseline="0">
              <a:solidFill>
                <a:srgbClr val="00B050"/>
              </a:solidFill>
              <a:latin typeface="Arial Narrow" panose="020B0606020202030204" pitchFamily="34" charset="0"/>
            </a:rPr>
            <a:t> CIS (NorthStar) bills Non-RPP customers the First Estimate GA rate based on the associated consumption period.  This explains the difference between the Actual First Estimate GA rate and the Weighted Average GA rate shown above.  The total revenue of $13,501,930 from our CIS based on the Weighted Average GA rate is reasonable compared to the Actual Revenue booked in the GL.  The difference of $15,182 is considered immaterial.</a:t>
          </a:r>
          <a:endParaRPr lang="en-CA" sz="1100">
            <a:solidFill>
              <a:srgbClr val="00B050"/>
            </a:solidFill>
            <a:latin typeface="Arial Narrow" panose="020B060602020203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517508</xdr:colOff>
      <xdr:row>20</xdr:row>
      <xdr:rowOff>116812</xdr:rowOff>
    </xdr:from>
    <xdr:ext cx="10633364" cy="3457864"/>
    <xdr:sp macro="" textlink="">
      <xdr:nvSpPr>
        <xdr:cNvPr id="3" name="TextBox 2"/>
        <xdr:cNvSpPr txBox="1"/>
      </xdr:nvSpPr>
      <xdr:spPr>
        <a:xfrm>
          <a:off x="1750155" y="5002577"/>
          <a:ext cx="10633364" cy="34578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CA" sz="1100" b="0" i="0" u="none" strike="noStrike">
              <a:solidFill>
                <a:srgbClr val="00B050"/>
              </a:solidFill>
              <a:effectLst/>
              <a:latin typeface="Arial Narrow" panose="020B0606020202030204" pitchFamily="34" charset="0"/>
              <a:ea typeface="+mn-ea"/>
              <a:cs typeface="+mn-cs"/>
            </a:rPr>
            <a:t>The columns above are defined</a:t>
          </a:r>
          <a:r>
            <a:rPr lang="en-CA" sz="1100" b="0" i="0" u="none" strike="noStrike" baseline="0">
              <a:solidFill>
                <a:srgbClr val="00B050"/>
              </a:solidFill>
              <a:effectLst/>
              <a:latin typeface="Arial Narrow" panose="020B0606020202030204" pitchFamily="34" charset="0"/>
              <a:ea typeface="+mn-ea"/>
              <a:cs typeface="+mn-cs"/>
            </a:rPr>
            <a:t> as followed:</a:t>
          </a:r>
        </a:p>
        <a:p>
          <a:endParaRPr lang="en-CA" sz="1100" b="0" i="0" u="none" strike="noStrike" baseline="0">
            <a:solidFill>
              <a:srgbClr val="00B050"/>
            </a:solidFill>
            <a:effectLst/>
            <a:latin typeface="Arial Narrow" panose="020B0606020202030204" pitchFamily="34" charset="0"/>
            <a:ea typeface="+mn-ea"/>
            <a:cs typeface="+mn-cs"/>
          </a:endParaRPr>
        </a:p>
        <a:p>
          <a:r>
            <a:rPr lang="en-CA" sz="1100" b="1">
              <a:solidFill>
                <a:srgbClr val="00B050"/>
              </a:solidFill>
              <a:latin typeface="Arial Narrow" panose="020B0606020202030204" pitchFamily="34" charset="0"/>
            </a:rPr>
            <a:t>Original Expensed Non-RPP kWh</a:t>
          </a:r>
          <a:r>
            <a:rPr lang="en-CA" sz="1100">
              <a:solidFill>
                <a:srgbClr val="00B050"/>
              </a:solidFill>
              <a:latin typeface="Arial Narrow" panose="020B0606020202030204" pitchFamily="34" charset="0"/>
            </a:rPr>
            <a:t>:</a:t>
          </a:r>
          <a:r>
            <a:rPr lang="en-CA" sz="1100" baseline="0">
              <a:solidFill>
                <a:srgbClr val="00B050"/>
              </a:solidFill>
              <a:latin typeface="Arial Narrow" panose="020B0606020202030204" pitchFamily="34" charset="0"/>
            </a:rPr>
            <a:t>  Actual monthly consumption retrieved from Utilismart, our metering data management system, was used to split this portion of the Non-RPP kWh expenses</a:t>
          </a:r>
          <a:r>
            <a:rPr lang="en-CA" sz="1100">
              <a:solidFill>
                <a:srgbClr val="00B050"/>
              </a:solidFill>
              <a:latin typeface="Arial Narrow" panose="020B0606020202030204" pitchFamily="34" charset="0"/>
            </a:rPr>
            <a:t>.  In addition,</a:t>
          </a:r>
          <a:r>
            <a:rPr lang="en-CA" sz="1100" baseline="0">
              <a:solidFill>
                <a:srgbClr val="00B050"/>
              </a:solidFill>
              <a:latin typeface="Arial Narrow" panose="020B0606020202030204" pitchFamily="34" charset="0"/>
            </a:rPr>
            <a:t> Non-RPP billed customer data from NorthStar, our CIS, was used since these customers are not identified in Utilismart.  The net kWh retrieved from these two sources equals</a:t>
          </a:r>
          <a:r>
            <a:rPr lang="en-CA" sz="1100">
              <a:solidFill>
                <a:srgbClr val="00B050"/>
              </a:solidFill>
              <a:latin typeface="Arial Narrow" panose="020B0606020202030204" pitchFamily="34" charset="0"/>
            </a:rPr>
            <a:t> 122,177,615 kWh agreeing</a:t>
          </a:r>
          <a:r>
            <a:rPr lang="en-CA" sz="1100" baseline="0">
              <a:solidFill>
                <a:srgbClr val="00B050"/>
              </a:solidFill>
              <a:latin typeface="Arial Narrow" panose="020B0606020202030204" pitchFamily="34" charset="0"/>
            </a:rPr>
            <a:t> </a:t>
          </a:r>
          <a:r>
            <a:rPr lang="en-CA" sz="1100">
              <a:solidFill>
                <a:srgbClr val="00B050"/>
              </a:solidFill>
              <a:latin typeface="Arial Narrow" panose="020B0606020202030204" pitchFamily="34" charset="0"/>
            </a:rPr>
            <a:t>to column E</a:t>
          </a:r>
          <a:r>
            <a:rPr lang="en-CA" sz="1100" baseline="0">
              <a:solidFill>
                <a:srgbClr val="00B050"/>
              </a:solidFill>
              <a:latin typeface="Arial Narrow" panose="020B0606020202030204" pitchFamily="34" charset="0"/>
            </a:rPr>
            <a:t> on the "Expenses" worksheet.</a:t>
          </a:r>
          <a:endParaRPr lang="en-CA" sz="1100">
            <a:solidFill>
              <a:srgbClr val="00B050"/>
            </a:solidFill>
            <a:latin typeface="Arial Narrow" panose="020B0606020202030204" pitchFamily="34" charset="0"/>
          </a:endParaRPr>
        </a:p>
        <a:p>
          <a:r>
            <a:rPr lang="en-CA" sz="1100">
              <a:solidFill>
                <a:srgbClr val="00B050"/>
              </a:solidFill>
              <a:latin typeface="Arial Narrow" panose="020B0606020202030204" pitchFamily="34" charset="0"/>
            </a:rPr>
            <a:t> </a:t>
          </a:r>
          <a:endParaRPr lang="en-CA" sz="1100" b="1" i="0" u="none" strike="noStrike">
            <a:solidFill>
              <a:srgbClr val="00B050"/>
            </a:solidFill>
            <a:effectLst/>
            <a:latin typeface="Arial Narrow" panose="020B0606020202030204" pitchFamily="34" charset="0"/>
            <a:ea typeface="+mn-ea"/>
            <a:cs typeface="+mn-cs"/>
          </a:endParaRPr>
        </a:p>
        <a:p>
          <a:r>
            <a:rPr lang="en-CA" sz="1100" b="1" i="0" u="none" strike="noStrike">
              <a:solidFill>
                <a:srgbClr val="00B050"/>
              </a:solidFill>
              <a:effectLst/>
              <a:latin typeface="Arial Narrow" panose="020B0606020202030204" pitchFamily="34" charset="0"/>
              <a:ea typeface="+mn-ea"/>
              <a:cs typeface="+mn-cs"/>
            </a:rPr>
            <a:t>Retailer</a:t>
          </a:r>
          <a:r>
            <a:rPr lang="en-CA" sz="1100" b="1" i="0" u="none" strike="noStrike" baseline="0">
              <a:solidFill>
                <a:srgbClr val="00B050"/>
              </a:solidFill>
              <a:effectLst/>
              <a:latin typeface="Arial Narrow" panose="020B0606020202030204" pitchFamily="34" charset="0"/>
              <a:ea typeface="+mn-ea"/>
              <a:cs typeface="+mn-cs"/>
            </a:rPr>
            <a:t> </a:t>
          </a:r>
          <a:r>
            <a:rPr lang="en-CA" sz="1100" b="1" i="0" u="none" strike="noStrike">
              <a:solidFill>
                <a:srgbClr val="00B050"/>
              </a:solidFill>
              <a:effectLst/>
              <a:latin typeface="Arial Narrow" panose="020B0606020202030204" pitchFamily="34" charset="0"/>
              <a:ea typeface="+mn-ea"/>
              <a:cs typeface="+mn-cs"/>
            </a:rPr>
            <a:t>Residential</a:t>
          </a:r>
          <a:r>
            <a:rPr lang="en-CA" sz="1100" b="1" i="0" u="none" strike="noStrike" baseline="0">
              <a:solidFill>
                <a:srgbClr val="00B050"/>
              </a:solidFill>
              <a:effectLst/>
              <a:latin typeface="Arial Narrow" panose="020B0606020202030204" pitchFamily="34" charset="0"/>
              <a:ea typeface="+mn-ea"/>
              <a:cs typeface="+mn-cs"/>
            </a:rPr>
            <a:t> &amp; </a:t>
          </a:r>
          <a:r>
            <a:rPr lang="en-CA" sz="1100" b="1" i="0" u="none" strike="noStrike">
              <a:solidFill>
                <a:srgbClr val="00B050"/>
              </a:solidFill>
              <a:effectLst/>
              <a:latin typeface="Arial Narrow" panose="020B0606020202030204" pitchFamily="34" charset="0"/>
              <a:ea typeface="+mn-ea"/>
              <a:cs typeface="+mn-cs"/>
            </a:rPr>
            <a:t>Retailer Small Commercial…: </a:t>
          </a:r>
          <a:r>
            <a:rPr lang="en-CA" sz="1100" b="0" i="0" u="none" strike="noStrike">
              <a:solidFill>
                <a:srgbClr val="00B050"/>
              </a:solidFill>
              <a:effectLst/>
              <a:latin typeface="Arial Narrow" panose="020B0606020202030204" pitchFamily="34" charset="0"/>
              <a:ea typeface="+mn-ea"/>
              <a:cs typeface="+mn-cs"/>
            </a:rPr>
            <a:t>This missing Non-RPP billed consumption</a:t>
          </a:r>
          <a:r>
            <a:rPr lang="en-CA" sz="1100" b="0" i="0" u="none" strike="noStrike" baseline="0">
              <a:solidFill>
                <a:srgbClr val="00B050"/>
              </a:solidFill>
              <a:effectLst/>
              <a:latin typeface="Arial Narrow" panose="020B0606020202030204" pitchFamily="34" charset="0"/>
              <a:ea typeface="+mn-ea"/>
              <a:cs typeface="+mn-cs"/>
            </a:rPr>
            <a:t>, retrieved from NorthStar (CIS) should have been added to the 122,177,615 kWh from column E on the "Expenses" tab.  This consumption mainly consists of Non-RPP residential and small commercial customers contracted with retailers.   </a:t>
          </a:r>
        </a:p>
        <a:p>
          <a:endParaRPr lang="en-CA" sz="1100">
            <a:solidFill>
              <a:srgbClr val="00B050"/>
            </a:solidFill>
            <a:latin typeface="Arial Narrow" panose="020B0606020202030204" pitchFamily="34" charset="0"/>
          </a:endParaRPr>
        </a:p>
        <a:p>
          <a:r>
            <a:rPr lang="en-CA" sz="1100" b="1" baseline="0">
              <a:solidFill>
                <a:srgbClr val="00B050"/>
              </a:solidFill>
              <a:latin typeface="Arial Narrow" panose="020B0606020202030204" pitchFamily="34" charset="0"/>
            </a:rPr>
            <a:t>Actual kWh vs. Billed kWh:  </a:t>
          </a:r>
          <a:r>
            <a:rPr lang="en-CA" sz="1100" b="0" baseline="0">
              <a:solidFill>
                <a:srgbClr val="00B050"/>
              </a:solidFill>
              <a:latin typeface="Arial Narrow" panose="020B0606020202030204" pitchFamily="34" charset="0"/>
            </a:rPr>
            <a:t>This is the difference between the actual kWh consumption and the billed kWh within the 2016 period.  NorthStar (CIS) is able to capture the kWh consumption period and billed period by date to retrieve this difference.</a:t>
          </a:r>
        </a:p>
        <a:p>
          <a:endParaRPr lang="en-CA" sz="1100" b="1">
            <a:solidFill>
              <a:srgbClr val="00B050"/>
            </a:solidFill>
            <a:latin typeface="Arial Narrow" panose="020B0606020202030204" pitchFamily="34" charset="0"/>
          </a:endParaRPr>
        </a:p>
        <a:p>
          <a:r>
            <a:rPr lang="en-CA" sz="1100" b="1">
              <a:solidFill>
                <a:srgbClr val="00B050"/>
              </a:solidFill>
              <a:latin typeface="Arial Narrow" panose="020B0606020202030204" pitchFamily="34" charset="0"/>
            </a:rPr>
            <a:t>Generation kWh</a:t>
          </a:r>
          <a:r>
            <a:rPr lang="en-CA" sz="1100">
              <a:solidFill>
                <a:srgbClr val="00B050"/>
              </a:solidFill>
              <a:latin typeface="Arial Narrow" panose="020B0606020202030204" pitchFamily="34" charset="0"/>
            </a:rPr>
            <a:t>: The kWh associated with Lakefront's MicroFIT and FIT customers was not included in the </a:t>
          </a:r>
          <a:r>
            <a:rPr lang="en-CA" sz="1100" baseline="0">
              <a:solidFill>
                <a:srgbClr val="00B050"/>
              </a:solidFill>
              <a:latin typeface="Arial Narrow" panose="020B0606020202030204" pitchFamily="34" charset="0"/>
            </a:rPr>
            <a:t>combined NorthStar or </a:t>
          </a:r>
          <a:r>
            <a:rPr lang="en-CA" sz="1100" baseline="0">
              <a:solidFill>
                <a:srgbClr val="00B050"/>
              </a:solidFill>
              <a:latin typeface="Arial Narrow" panose="020B0606020202030204" pitchFamily="34" charset="0"/>
              <a:ea typeface="+mn-ea"/>
              <a:cs typeface="+mn-cs"/>
            </a:rPr>
            <a:t>Utilismart non-RPP kWh query data presented in column E on the "Expenses" worksheet and </a:t>
          </a:r>
          <a:r>
            <a:rPr lang="en-CA" sz="1100" u="none">
              <a:solidFill>
                <a:srgbClr val="00B050"/>
              </a:solidFill>
              <a:latin typeface="Arial Narrow" panose="020B0606020202030204" pitchFamily="34" charset="0"/>
            </a:rPr>
            <a:t>therefore included as</a:t>
          </a:r>
          <a:r>
            <a:rPr lang="en-CA" sz="1100" u="none" baseline="0">
              <a:solidFill>
                <a:srgbClr val="00B050"/>
              </a:solidFill>
              <a:latin typeface="Arial Narrow" panose="020B0606020202030204" pitchFamily="34" charset="0"/>
            </a:rPr>
            <a:t> </a:t>
          </a:r>
          <a:r>
            <a:rPr lang="en-CA" sz="1100" baseline="0">
              <a:solidFill>
                <a:srgbClr val="00B050"/>
              </a:solidFill>
              <a:latin typeface="Arial Narrow" panose="020B0606020202030204" pitchFamily="34" charset="0"/>
            </a:rPr>
            <a:t>a </a:t>
          </a:r>
          <a:r>
            <a:rPr lang="en-CA" sz="1100">
              <a:solidFill>
                <a:srgbClr val="00B050"/>
              </a:solidFill>
              <a:latin typeface="Arial Narrow" panose="020B0606020202030204" pitchFamily="34" charset="0"/>
            </a:rPr>
            <a:t>reconciling</a:t>
          </a:r>
          <a:r>
            <a:rPr lang="en-CA" sz="1100" baseline="0">
              <a:solidFill>
                <a:srgbClr val="00B050"/>
              </a:solidFill>
              <a:latin typeface="Arial Narrow" panose="020B0606020202030204" pitchFamily="34" charset="0"/>
            </a:rPr>
            <a:t> item</a:t>
          </a:r>
          <a:r>
            <a:rPr lang="en-CA" sz="1100">
              <a:solidFill>
                <a:srgbClr val="00B050"/>
              </a:solidFill>
              <a:latin typeface="Arial Narrow" panose="020B0606020202030204" pitchFamily="34" charset="0"/>
            </a:rPr>
            <a:t>.</a:t>
          </a:r>
          <a:r>
            <a:rPr lang="en-CA" sz="1100" baseline="0">
              <a:solidFill>
                <a:srgbClr val="00B050"/>
              </a:solidFill>
              <a:latin typeface="Arial Narrow" panose="020B0606020202030204" pitchFamily="34" charset="0"/>
            </a:rPr>
            <a:t>  To determine the generated kWh associated to Non-RPP, the % portion of actual kWh within the period is used.</a:t>
          </a:r>
        </a:p>
        <a:p>
          <a:endParaRPr lang="en-CA" sz="1100" baseline="0">
            <a:solidFill>
              <a:srgbClr val="00B050"/>
            </a:solidFill>
            <a:latin typeface="Arial Narrow" panose="020B0606020202030204" pitchFamily="34" charset="0"/>
          </a:endParaRPr>
        </a:p>
        <a:p>
          <a:r>
            <a:rPr lang="en-CA" sz="1100" b="1">
              <a:solidFill>
                <a:srgbClr val="00B050"/>
              </a:solidFill>
              <a:latin typeface="Arial Narrow" panose="020B0606020202030204" pitchFamily="34" charset="0"/>
            </a:rPr>
            <a:t>Actual Non-RPP kWh Billed:  </a:t>
          </a:r>
          <a:r>
            <a:rPr lang="en-CA" sz="1100">
              <a:solidFill>
                <a:srgbClr val="00B050"/>
              </a:solidFill>
              <a:latin typeface="Arial Narrow" panose="020B0606020202030204" pitchFamily="34" charset="0"/>
            </a:rPr>
            <a:t>This is the monthly billed amount per Northstar. The amounts agree to the "Revenue" tab and the total of 135,572,925 agrees to the GA Analysis Workform, column 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476250</xdr:colOff>
      <xdr:row>19</xdr:row>
      <xdr:rowOff>0</xdr:rowOff>
    </xdr:from>
    <xdr:ext cx="3520440" cy="1447800"/>
    <xdr:sp macro="" textlink="">
      <xdr:nvSpPr>
        <xdr:cNvPr id="2" name="TextBox 1"/>
        <xdr:cNvSpPr txBox="1"/>
      </xdr:nvSpPr>
      <xdr:spPr>
        <a:xfrm>
          <a:off x="1095375" y="4191000"/>
          <a:ext cx="3520440" cy="1447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CA" sz="1100" b="0" i="0" u="none" strike="noStrike">
              <a:solidFill>
                <a:srgbClr val="00B050"/>
              </a:solidFill>
              <a:effectLst/>
              <a:latin typeface="Arial Narrow" panose="020B0606020202030204" pitchFamily="34" charset="0"/>
              <a:ea typeface="+mn-ea"/>
              <a:cs typeface="+mn-cs"/>
            </a:rPr>
            <a:t>The Expected GA Variance amount is obtained from the GA Analysis </a:t>
          </a:r>
          <a:r>
            <a:rPr lang="en-CA">
              <a:solidFill>
                <a:srgbClr val="00B050"/>
              </a:solidFill>
              <a:latin typeface="Arial Narrow" panose="020B0606020202030204" pitchFamily="34" charset="0"/>
            </a:rPr>
            <a:t> </a:t>
          </a:r>
          <a:r>
            <a:rPr lang="en-CA" sz="1100" b="0" i="0" u="none" strike="noStrike">
              <a:solidFill>
                <a:srgbClr val="00B050"/>
              </a:solidFill>
              <a:effectLst/>
              <a:latin typeface="Arial Narrow" panose="020B0606020202030204" pitchFamily="34" charset="0"/>
              <a:ea typeface="+mn-ea"/>
              <a:cs typeface="+mn-cs"/>
            </a:rPr>
            <a:t>Workform (column K). </a:t>
          </a:r>
          <a:r>
            <a:rPr lang="en-CA">
              <a:solidFill>
                <a:srgbClr val="00B050"/>
              </a:solidFill>
              <a:latin typeface="Arial Narrow" panose="020B0606020202030204" pitchFamily="34" charset="0"/>
            </a:rPr>
            <a:t> </a:t>
          </a:r>
          <a:r>
            <a:rPr lang="en-CA" sz="1100" b="0" i="0" u="none" strike="noStrike">
              <a:solidFill>
                <a:srgbClr val="00B050"/>
              </a:solidFill>
              <a:effectLst/>
              <a:latin typeface="Arial Narrow" panose="020B0606020202030204" pitchFamily="34" charset="0"/>
              <a:ea typeface="+mn-ea"/>
              <a:cs typeface="+mn-cs"/>
            </a:rPr>
            <a:t>The Actual GA Variance is obtained from tab "1589 Balance" is the actual</a:t>
          </a:r>
          <a:r>
            <a:rPr lang="en-CA">
              <a:solidFill>
                <a:srgbClr val="00B050"/>
              </a:solidFill>
              <a:latin typeface="Arial Narrow" panose="020B0606020202030204" pitchFamily="34" charset="0"/>
            </a:rPr>
            <a:t> </a:t>
          </a:r>
          <a:r>
            <a:rPr lang="en-CA" sz="1100" b="0" i="0" u="none" strike="noStrike">
              <a:solidFill>
                <a:srgbClr val="00B050"/>
              </a:solidFill>
              <a:effectLst/>
              <a:latin typeface="Arial Narrow" panose="020B0606020202030204" pitchFamily="34" charset="0"/>
              <a:ea typeface="+mn-ea"/>
              <a:cs typeface="+mn-cs"/>
            </a:rPr>
            <a:t>GA variance that was recorded in Lakefront's monthly 1589 account. </a:t>
          </a:r>
          <a:r>
            <a:rPr lang="en-CA">
              <a:solidFill>
                <a:srgbClr val="00B050"/>
              </a:solidFill>
              <a:latin typeface="Arial Narrow" panose="020B0606020202030204" pitchFamily="34" charset="0"/>
            </a:rPr>
            <a:t> </a:t>
          </a:r>
          <a:r>
            <a:rPr lang="en-CA" sz="1100" b="0" i="0" u="none" strike="noStrike">
              <a:solidFill>
                <a:srgbClr val="00B050"/>
              </a:solidFill>
              <a:effectLst/>
              <a:latin typeface="Arial Narrow" panose="020B0606020202030204" pitchFamily="34" charset="0"/>
              <a:ea typeface="+mn-ea"/>
              <a:cs typeface="+mn-cs"/>
            </a:rPr>
            <a:t>The total of $1,563,022 has been entered on line D75 on the GA </a:t>
          </a:r>
          <a:r>
            <a:rPr lang="en-CA">
              <a:solidFill>
                <a:srgbClr val="00B050"/>
              </a:solidFill>
              <a:latin typeface="Arial Narrow" panose="020B0606020202030204" pitchFamily="34" charset="0"/>
            </a:rPr>
            <a:t> </a:t>
          </a:r>
          <a:r>
            <a:rPr lang="en-CA" sz="1100" b="0" i="0" u="none" strike="noStrike">
              <a:solidFill>
                <a:srgbClr val="00B050"/>
              </a:solidFill>
              <a:effectLst/>
              <a:latin typeface="Arial Narrow" panose="020B0606020202030204" pitchFamily="34" charset="0"/>
              <a:ea typeface="+mn-ea"/>
              <a:cs typeface="+mn-cs"/>
            </a:rPr>
            <a:t>Analysis Workform as a reconciling item. </a:t>
          </a:r>
          <a:r>
            <a:rPr lang="en-CA">
              <a:solidFill>
                <a:srgbClr val="00B050"/>
              </a:solidFill>
              <a:latin typeface="Arial Narrow" panose="020B0606020202030204" pitchFamily="34" charset="0"/>
            </a:rPr>
            <a:t> </a:t>
          </a:r>
          <a:endParaRPr lang="en-CA" sz="1100">
            <a:solidFill>
              <a:srgbClr val="00B050"/>
            </a:solidFill>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Finance\Regulatory%20Filings\2018%20IRM\GA%20Analysis\GA_Analysis_Workform_2017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
    </sheetNames>
    <sheetDataSet>
      <sheetData sheetId="0" refreshError="1"/>
      <sheetData sheetId="1">
        <row r="47">
          <cell r="K47">
            <v>74793.610407600063</v>
          </cell>
        </row>
        <row r="48">
          <cell r="K48">
            <v>-56548.768090100028</v>
          </cell>
        </row>
        <row r="49">
          <cell r="K49">
            <v>193354.5865375998</v>
          </cell>
        </row>
        <row r="50">
          <cell r="K50">
            <v>-119690.54377939994</v>
          </cell>
        </row>
        <row r="51">
          <cell r="K51">
            <v>36329.679317599861</v>
          </cell>
        </row>
        <row r="52">
          <cell r="K52">
            <v>-238788.81819250016</v>
          </cell>
        </row>
        <row r="53">
          <cell r="K53">
            <v>81520.65388979984</v>
          </cell>
        </row>
        <row r="54">
          <cell r="K54">
            <v>-140049.17665440007</v>
          </cell>
        </row>
        <row r="55">
          <cell r="K55">
            <v>303676.11508709996</v>
          </cell>
        </row>
        <row r="56">
          <cell r="K56">
            <v>184253.63547900016</v>
          </cell>
        </row>
        <row r="57">
          <cell r="K57">
            <v>-127634.3655034001</v>
          </cell>
        </row>
        <row r="58">
          <cell r="K58">
            <v>-204365.69637999998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17"/>
  <sheetViews>
    <sheetView view="pageBreakPreview" topLeftCell="A3" zoomScale="60" zoomScaleNormal="90" workbookViewId="0">
      <selection activeCell="F5" sqref="F5"/>
    </sheetView>
  </sheetViews>
  <sheetFormatPr defaultColWidth="9.28515625" defaultRowHeight="16.5" x14ac:dyDescent="0.3"/>
  <cols>
    <col min="1" max="2" width="9.28515625" style="1"/>
    <col min="3" max="3" width="10.7109375" style="1" bestFit="1" customWidth="1"/>
    <col min="4" max="5" width="14.5703125" style="1" bestFit="1" customWidth="1"/>
    <col min="6" max="6" width="27.42578125" style="1" bestFit="1" customWidth="1"/>
    <col min="7" max="16384" width="9.28515625" style="1"/>
  </cols>
  <sheetData>
    <row r="4" spans="3:6" x14ac:dyDescent="0.3">
      <c r="C4" s="16" t="s">
        <v>28</v>
      </c>
      <c r="D4" s="17" t="s">
        <v>1</v>
      </c>
      <c r="E4" s="17" t="s">
        <v>25</v>
      </c>
      <c r="F4" s="17" t="s">
        <v>26</v>
      </c>
    </row>
    <row r="5" spans="3:6" x14ac:dyDescent="0.3">
      <c r="C5" s="10" t="s">
        <v>2</v>
      </c>
      <c r="D5" s="18">
        <f>Revenue!F5</f>
        <v>1111194.72</v>
      </c>
      <c r="E5" s="18">
        <f>Expenses!M5</f>
        <v>922568.74817882932</v>
      </c>
      <c r="F5" s="18">
        <f>E5-D5</f>
        <v>-188625.97182117065</v>
      </c>
    </row>
    <row r="6" spans="3:6" x14ac:dyDescent="0.3">
      <c r="C6" s="10" t="s">
        <v>3</v>
      </c>
      <c r="D6" s="18">
        <f>Revenue!F6</f>
        <v>923827.18000000017</v>
      </c>
      <c r="E6" s="18">
        <f>Expenses!M6</f>
        <v>1001572.3601848257</v>
      </c>
      <c r="F6" s="18">
        <f t="shared" ref="F6:F16" si="0">E6-D6</f>
        <v>77745.180184825556</v>
      </c>
    </row>
    <row r="7" spans="3:6" x14ac:dyDescent="0.3">
      <c r="C7" s="10" t="s">
        <v>4</v>
      </c>
      <c r="D7" s="18">
        <f>Revenue!F7</f>
        <v>1231022.25</v>
      </c>
      <c r="E7" s="18">
        <f>Expenses!M7</f>
        <v>1098371.2690422158</v>
      </c>
      <c r="F7" s="18">
        <f t="shared" si="0"/>
        <v>-132650.98095778422</v>
      </c>
    </row>
    <row r="8" spans="3:6" x14ac:dyDescent="0.3">
      <c r="C8" s="10" t="s">
        <v>5</v>
      </c>
      <c r="D8" s="18">
        <f>Revenue!F8</f>
        <v>1114864.44</v>
      </c>
      <c r="E8" s="18">
        <f>Expenses!M8</f>
        <v>1180303.2212532137</v>
      </c>
      <c r="F8" s="18">
        <f t="shared" si="0"/>
        <v>65438.781253213761</v>
      </c>
    </row>
    <row r="9" spans="3:6" x14ac:dyDescent="0.3">
      <c r="C9" s="10" t="s">
        <v>6</v>
      </c>
      <c r="D9" s="18">
        <f>Revenue!F9</f>
        <v>1271362.83</v>
      </c>
      <c r="E9" s="18">
        <f>Expenses!M9</f>
        <v>1208693.0561614111</v>
      </c>
      <c r="F9" s="18">
        <f t="shared" si="0"/>
        <v>-62669.773838588968</v>
      </c>
    </row>
    <row r="10" spans="3:6" x14ac:dyDescent="0.3">
      <c r="C10" s="10" t="s">
        <v>7</v>
      </c>
      <c r="D10" s="18">
        <f>Revenue!F10</f>
        <v>1180063.73</v>
      </c>
      <c r="E10" s="18">
        <f>Expenses!M10</f>
        <v>936449.5454808491</v>
      </c>
      <c r="F10" s="18">
        <f t="shared" si="0"/>
        <v>-243614.18451915088</v>
      </c>
    </row>
    <row r="11" spans="3:6" x14ac:dyDescent="0.3">
      <c r="C11" s="10" t="s">
        <v>8</v>
      </c>
      <c r="D11" s="18">
        <f>Revenue!F11</f>
        <v>1453201.97</v>
      </c>
      <c r="E11" s="18">
        <f>Expenses!M11</f>
        <v>778393.32187423762</v>
      </c>
      <c r="F11" s="18">
        <f t="shared" si="0"/>
        <v>-674808.64812576235</v>
      </c>
    </row>
    <row r="12" spans="3:6" x14ac:dyDescent="0.3">
      <c r="C12" s="10" t="s">
        <v>9</v>
      </c>
      <c r="D12" s="18">
        <f>Revenue!F12</f>
        <v>719977.04</v>
      </c>
      <c r="E12" s="18">
        <f>Expenses!M12</f>
        <v>705758.95113027422</v>
      </c>
      <c r="F12" s="18">
        <f t="shared" si="0"/>
        <v>-14218.08886972582</v>
      </c>
    </row>
    <row r="13" spans="3:6" x14ac:dyDescent="0.3">
      <c r="C13" s="10" t="s">
        <v>10</v>
      </c>
      <c r="D13" s="18">
        <f>Revenue!F13</f>
        <v>1046769.6799999998</v>
      </c>
      <c r="E13" s="18">
        <f>Expenses!M13</f>
        <v>974115.24443509488</v>
      </c>
      <c r="F13" s="18">
        <f t="shared" si="0"/>
        <v>-72654.435564904939</v>
      </c>
    </row>
    <row r="14" spans="3:6" x14ac:dyDescent="0.3">
      <c r="C14" s="10" t="s">
        <v>11</v>
      </c>
      <c r="D14" s="18">
        <f>Revenue!F14</f>
        <v>895178.27</v>
      </c>
      <c r="E14" s="18">
        <f>Expenses!M14</f>
        <v>1129757.7345287623</v>
      </c>
      <c r="F14" s="18">
        <f t="shared" si="0"/>
        <v>234579.46452876227</v>
      </c>
    </row>
    <row r="15" spans="3:6" x14ac:dyDescent="0.3">
      <c r="C15" s="10" t="s">
        <v>12</v>
      </c>
      <c r="D15" s="18">
        <f>Revenue!F15</f>
        <v>1062915.28</v>
      </c>
      <c r="E15" s="18">
        <f>Expenses!M15</f>
        <v>1074593.6266245907</v>
      </c>
      <c r="F15" s="18">
        <f t="shared" si="0"/>
        <v>11678.346624590689</v>
      </c>
    </row>
    <row r="16" spans="3:6" x14ac:dyDescent="0.3">
      <c r="C16" s="10" t="s">
        <v>13</v>
      </c>
      <c r="D16" s="18">
        <f>Revenue!F16+Revenue!F4+Revenue!F17</f>
        <v>1506733.7600000002</v>
      </c>
      <c r="E16" s="18">
        <f>Expenses!M16</f>
        <v>930362.83082205756</v>
      </c>
      <c r="F16" s="18">
        <f t="shared" si="0"/>
        <v>-576370.92917794269</v>
      </c>
    </row>
    <row r="17" spans="3:6" x14ac:dyDescent="0.3">
      <c r="C17" s="10"/>
      <c r="D17" s="19">
        <f>SUM(D5:D16)</f>
        <v>13517111.149999999</v>
      </c>
      <c r="E17" s="19">
        <f t="shared" ref="E17:F17" si="1">SUM(E5:E16)</f>
        <v>11940939.909716364</v>
      </c>
      <c r="F17" s="19">
        <f t="shared" si="1"/>
        <v>-1576171.2402836382</v>
      </c>
    </row>
  </sheetData>
  <pageMargins left="0.7" right="0.7" top="0.75" bottom="0.7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3"/>
  <sheetViews>
    <sheetView zoomScale="85" zoomScaleNormal="85" workbookViewId="0">
      <selection activeCell="D19" sqref="D19"/>
    </sheetView>
  </sheetViews>
  <sheetFormatPr defaultColWidth="9.28515625" defaultRowHeight="16.5" x14ac:dyDescent="0.3"/>
  <cols>
    <col min="1" max="1" width="9.28515625" style="1"/>
    <col min="2" max="2" width="21.7109375" style="1" bestFit="1" customWidth="1"/>
    <col min="3" max="3" width="24.7109375" style="1" customWidth="1"/>
    <col min="4" max="4" width="17" style="1" customWidth="1"/>
    <col min="5" max="5" width="22.28515625" style="1" customWidth="1"/>
    <col min="6" max="6" width="14.5703125" style="8" bestFit="1" customWidth="1"/>
    <col min="7" max="7" width="11" style="6" bestFit="1" customWidth="1"/>
    <col min="8" max="8" width="13.5703125" style="1" hidden="1" customWidth="1"/>
    <col min="9" max="9" width="0" style="1" hidden="1" customWidth="1"/>
    <col min="10" max="10" width="12.7109375" style="1" hidden="1" customWidth="1"/>
    <col min="11" max="11" width="12" style="1" bestFit="1" customWidth="1"/>
    <col min="12" max="16384" width="9.28515625" style="1"/>
  </cols>
  <sheetData>
    <row r="2" spans="2:11" x14ac:dyDescent="0.3">
      <c r="C2" s="1" t="s">
        <v>44</v>
      </c>
      <c r="D2" s="45"/>
    </row>
    <row r="3" spans="2:11" ht="49.5" x14ac:dyDescent="0.3">
      <c r="B3" s="10"/>
      <c r="C3" s="17" t="s">
        <v>0</v>
      </c>
      <c r="D3" s="20" t="s">
        <v>46</v>
      </c>
      <c r="E3" s="20" t="s">
        <v>39</v>
      </c>
      <c r="F3" s="21" t="s">
        <v>40</v>
      </c>
      <c r="G3" s="21" t="s">
        <v>27</v>
      </c>
    </row>
    <row r="4" spans="2:11" x14ac:dyDescent="0.3">
      <c r="B4" s="10" t="s">
        <v>14</v>
      </c>
      <c r="C4" s="22"/>
      <c r="D4" s="22"/>
      <c r="E4" s="23">
        <v>-1018782</v>
      </c>
      <c r="F4" s="23">
        <v>-1018782</v>
      </c>
      <c r="G4" s="23"/>
      <c r="I4" s="1" t="s">
        <v>43</v>
      </c>
    </row>
    <row r="5" spans="2:11" x14ac:dyDescent="0.3">
      <c r="B5" s="10" t="s">
        <v>2</v>
      </c>
      <c r="C5" s="11">
        <v>9893334.7100000009</v>
      </c>
      <c r="D5" s="24">
        <v>0.11253331789883417</v>
      </c>
      <c r="E5" s="23">
        <f>D5*C5</f>
        <v>1113329.7800000005</v>
      </c>
      <c r="F5" s="23">
        <v>1111194.72</v>
      </c>
      <c r="G5" s="23">
        <f>F5-E5</f>
        <v>-2135.0600000005215</v>
      </c>
      <c r="H5" s="43">
        <f>+E5/C5</f>
        <v>0.11253331789883417</v>
      </c>
      <c r="I5" s="42">
        <v>8.4229999999999999E-2</v>
      </c>
      <c r="J5" s="44">
        <f>+D6-I5</f>
        <v>2.743517910481913E-3</v>
      </c>
      <c r="K5" s="8"/>
    </row>
    <row r="6" spans="2:11" x14ac:dyDescent="0.3">
      <c r="B6" s="10" t="s">
        <v>3</v>
      </c>
      <c r="C6" s="11">
        <v>10609524.970000001</v>
      </c>
      <c r="D6" s="24">
        <v>8.6973517910481912E-2</v>
      </c>
      <c r="E6" s="23">
        <f t="shared" ref="E6:E16" si="0">D6*C6</f>
        <v>922747.71000000008</v>
      </c>
      <c r="F6" s="23">
        <v>923827.18000000017</v>
      </c>
      <c r="G6" s="23">
        <f t="shared" ref="G6:G16" si="1">F6-E6</f>
        <v>1079.4700000000885</v>
      </c>
      <c r="H6" s="43">
        <f t="shared" ref="H6:H16" si="2">+E6/C6</f>
        <v>8.6973517910481912E-2</v>
      </c>
      <c r="I6" s="42">
        <v>0.10384</v>
      </c>
      <c r="J6" s="44">
        <f t="shared" ref="J6:J16" si="3">+D7-I6</f>
        <v>-2.7019719915605533E-3</v>
      </c>
      <c r="K6" s="8"/>
    </row>
    <row r="7" spans="2:11" x14ac:dyDescent="0.3">
      <c r="B7" s="10" t="s">
        <v>4</v>
      </c>
      <c r="C7" s="11">
        <v>12175981.519999994</v>
      </c>
      <c r="D7" s="24">
        <v>0.10113802800843945</v>
      </c>
      <c r="E7" s="23">
        <f t="shared" si="0"/>
        <v>1231454.7600000005</v>
      </c>
      <c r="F7" s="23">
        <v>1231022.25</v>
      </c>
      <c r="G7" s="23">
        <f t="shared" si="1"/>
        <v>-432.51000000047497</v>
      </c>
      <c r="H7" s="43">
        <f t="shared" si="2"/>
        <v>0.10113802800843945</v>
      </c>
      <c r="I7" s="42">
        <v>9.0219999999999995E-2</v>
      </c>
      <c r="J7" s="44">
        <f t="shared" si="3"/>
        <v>1.3736973233705457E-3</v>
      </c>
      <c r="K7" s="8"/>
    </row>
    <row r="8" spans="2:11" x14ac:dyDescent="0.3">
      <c r="B8" s="10" t="s">
        <v>5</v>
      </c>
      <c r="C8" s="11">
        <v>12176047.179999996</v>
      </c>
      <c r="D8" s="24">
        <v>9.159369732337054E-2</v>
      </c>
      <c r="E8" s="23">
        <f t="shared" si="0"/>
        <v>1115249.179999999</v>
      </c>
      <c r="F8" s="23">
        <v>1114864.44</v>
      </c>
      <c r="G8" s="23">
        <f t="shared" si="1"/>
        <v>-384.73999999905936</v>
      </c>
      <c r="H8" s="43">
        <f t="shared" si="2"/>
        <v>9.159369732337054E-2</v>
      </c>
      <c r="I8" s="42">
        <v>0.12114999999999999</v>
      </c>
      <c r="J8" s="44">
        <f t="shared" si="3"/>
        <v>-1.694532736968582E-3</v>
      </c>
      <c r="K8" s="8"/>
    </row>
    <row r="9" spans="2:11" x14ac:dyDescent="0.3">
      <c r="B9" s="10" t="s">
        <v>6</v>
      </c>
      <c r="C9" s="11">
        <v>10560953.290000007</v>
      </c>
      <c r="D9" s="24">
        <v>0.11945546726303141</v>
      </c>
      <c r="E9" s="23">
        <f t="shared" si="0"/>
        <v>1261563.6099999996</v>
      </c>
      <c r="F9" s="23">
        <v>1271362.83</v>
      </c>
      <c r="G9" s="23">
        <f t="shared" si="1"/>
        <v>9799.2200000004377</v>
      </c>
      <c r="H9" s="43">
        <f t="shared" si="2"/>
        <v>0.11945546726303141</v>
      </c>
      <c r="I9" s="42">
        <v>0.10405</v>
      </c>
      <c r="J9" s="44">
        <f t="shared" si="3"/>
        <v>9.1755175233435016E-4</v>
      </c>
      <c r="K9" s="8"/>
    </row>
    <row r="10" spans="2:11" x14ac:dyDescent="0.3">
      <c r="B10" s="10" t="s">
        <v>7</v>
      </c>
      <c r="C10" s="11">
        <v>11343886.850000003</v>
      </c>
      <c r="D10" s="24">
        <v>0.10496755175233435</v>
      </c>
      <c r="E10" s="23">
        <f t="shared" si="0"/>
        <v>1190740.0300000005</v>
      </c>
      <c r="F10" s="23">
        <v>1180063.73</v>
      </c>
      <c r="G10" s="23">
        <f t="shared" si="1"/>
        <v>-10676.300000000512</v>
      </c>
      <c r="H10" s="43">
        <f t="shared" si="2"/>
        <v>0.10496755175233435</v>
      </c>
      <c r="I10" s="42">
        <v>0.11650000000000001</v>
      </c>
      <c r="J10" s="44">
        <f t="shared" si="3"/>
        <v>-2.5604249512505284E-3</v>
      </c>
      <c r="K10" s="8"/>
    </row>
    <row r="11" spans="2:11" x14ac:dyDescent="0.3">
      <c r="B11" s="10" t="s">
        <v>8</v>
      </c>
      <c r="C11" s="11">
        <v>12757535.819999998</v>
      </c>
      <c r="D11" s="24">
        <v>0.11393957504874948</v>
      </c>
      <c r="E11" s="23">
        <f t="shared" si="0"/>
        <v>1453588.2099999995</v>
      </c>
      <c r="F11" s="23">
        <v>1453201.97</v>
      </c>
      <c r="G11" s="23">
        <f t="shared" si="1"/>
        <v>-386.23999999952503</v>
      </c>
      <c r="H11" s="43">
        <f t="shared" si="2"/>
        <v>0.11393957504874948</v>
      </c>
      <c r="I11" s="42">
        <v>7.6670000000000002E-2</v>
      </c>
      <c r="J11" s="44">
        <f t="shared" si="3"/>
        <v>-1.2763327736938501E-3</v>
      </c>
      <c r="K11" s="8"/>
    </row>
    <row r="12" spans="2:11" x14ac:dyDescent="0.3">
      <c r="B12" s="10" t="s">
        <v>9</v>
      </c>
      <c r="C12" s="11">
        <v>9553149.8399999961</v>
      </c>
      <c r="D12" s="24">
        <v>7.5393667226306152E-2</v>
      </c>
      <c r="E12" s="23">
        <f t="shared" si="0"/>
        <v>720246.99999999953</v>
      </c>
      <c r="F12" s="23">
        <v>719977.04</v>
      </c>
      <c r="G12" s="23">
        <f t="shared" si="1"/>
        <v>-269.95999999949709</v>
      </c>
      <c r="H12" s="43">
        <f t="shared" si="2"/>
        <v>7.5393667226306152E-2</v>
      </c>
      <c r="I12" s="42">
        <v>8.5690000000000002E-2</v>
      </c>
      <c r="J12" s="44">
        <f t="shared" si="3"/>
        <v>-4.8691541338767574E-4</v>
      </c>
      <c r="K12" s="8"/>
    </row>
    <row r="13" spans="2:11" x14ac:dyDescent="0.3">
      <c r="B13" s="10" t="s">
        <v>10</v>
      </c>
      <c r="C13" s="11">
        <v>12289604.009999992</v>
      </c>
      <c r="D13" s="24">
        <v>8.5203084586612327E-2</v>
      </c>
      <c r="E13" s="23">
        <f t="shared" si="0"/>
        <v>1047112.1699999993</v>
      </c>
      <c r="F13" s="23">
        <v>1046769.6799999998</v>
      </c>
      <c r="G13" s="23">
        <f t="shared" si="1"/>
        <v>-342.48999999952503</v>
      </c>
      <c r="H13" s="43">
        <f t="shared" si="2"/>
        <v>8.5203084586612327E-2</v>
      </c>
      <c r="I13" s="42">
        <v>7.0599999999999996E-2</v>
      </c>
      <c r="J13" s="44">
        <f t="shared" si="3"/>
        <v>2.5925139275585068E-3</v>
      </c>
      <c r="K13" s="8"/>
    </row>
    <row r="14" spans="2:11" x14ac:dyDescent="0.3">
      <c r="B14" s="10" t="s">
        <v>11</v>
      </c>
      <c r="C14" s="11">
        <v>12234637.149999999</v>
      </c>
      <c r="D14" s="24">
        <v>7.3192513927558503E-2</v>
      </c>
      <c r="E14" s="23">
        <f t="shared" si="0"/>
        <v>895483.84999999951</v>
      </c>
      <c r="F14" s="23">
        <v>895178.27</v>
      </c>
      <c r="G14" s="23">
        <f t="shared" si="1"/>
        <v>-305.57999999949243</v>
      </c>
      <c r="H14" s="43">
        <f t="shared" si="2"/>
        <v>7.3192513927558503E-2</v>
      </c>
      <c r="I14" s="42">
        <v>9.7199999999999995E-2</v>
      </c>
      <c r="J14" s="44">
        <f t="shared" si="3"/>
        <v>-3.861670353128982E-4</v>
      </c>
      <c r="K14" s="8"/>
    </row>
    <row r="15" spans="2:11" x14ac:dyDescent="0.3">
      <c r="B15" s="10" t="s">
        <v>12</v>
      </c>
      <c r="C15" s="11">
        <v>10984024.569999997</v>
      </c>
      <c r="D15" s="24">
        <v>9.6813832964687097E-2</v>
      </c>
      <c r="E15" s="23">
        <f t="shared" si="0"/>
        <v>1063405.5199999986</v>
      </c>
      <c r="F15" s="23">
        <v>1062915.28</v>
      </c>
      <c r="G15" s="23">
        <f t="shared" si="1"/>
        <v>-490.2399999985937</v>
      </c>
      <c r="H15" s="43">
        <f t="shared" si="2"/>
        <v>9.6813832964687097E-2</v>
      </c>
      <c r="I15" s="42">
        <v>0.12271</v>
      </c>
      <c r="J15" s="44">
        <f t="shared" si="3"/>
        <v>-1.0856694796652772E-3</v>
      </c>
      <c r="K15" s="8"/>
    </row>
    <row r="16" spans="2:11" x14ac:dyDescent="0.3">
      <c r="B16" s="10" t="s">
        <v>13</v>
      </c>
      <c r="C16" s="11">
        <v>10994245.43</v>
      </c>
      <c r="D16" s="24">
        <v>0.12162433052033472</v>
      </c>
      <c r="E16" s="23">
        <f t="shared" si="0"/>
        <v>1337167.7399999995</v>
      </c>
      <c r="F16" s="23">
        <v>1356893.7600000002</v>
      </c>
      <c r="G16" s="23">
        <f t="shared" si="1"/>
        <v>19726.020000000717</v>
      </c>
      <c r="H16" s="43">
        <f t="shared" si="2"/>
        <v>0.12162433052033472</v>
      </c>
      <c r="I16" s="42">
        <v>0.10594000000000001</v>
      </c>
      <c r="J16" s="44">
        <f t="shared" si="3"/>
        <v>-0.10594000000000001</v>
      </c>
      <c r="K16" s="8"/>
    </row>
    <row r="17" spans="2:8" x14ac:dyDescent="0.3">
      <c r="B17" s="10" t="s">
        <v>15</v>
      </c>
      <c r="C17" s="22"/>
      <c r="D17" s="22"/>
      <c r="E17" s="23">
        <v>1168622</v>
      </c>
      <c r="F17" s="23">
        <v>1168622</v>
      </c>
      <c r="G17" s="23">
        <f t="shared" ref="G17" si="4">D17*C17</f>
        <v>0</v>
      </c>
      <c r="H17" s="8"/>
    </row>
    <row r="18" spans="2:8" x14ac:dyDescent="0.3">
      <c r="B18" s="12" t="s">
        <v>16</v>
      </c>
      <c r="C18" s="13">
        <f>SUM(C5:C17)</f>
        <v>135572925.34</v>
      </c>
      <c r="D18" s="25"/>
      <c r="E18" s="26">
        <f>SUM(E4:E17)</f>
        <v>13501929.559999997</v>
      </c>
      <c r="F18" s="26">
        <f>SUM(F4:F17)</f>
        <v>13517111.149999999</v>
      </c>
      <c r="G18" s="26">
        <f>SUM(G4:G17)</f>
        <v>15181.590000004042</v>
      </c>
    </row>
    <row r="21" spans="2:8" s="46" customFormat="1" x14ac:dyDescent="0.3">
      <c r="B21" s="47" t="s">
        <v>41</v>
      </c>
      <c r="F21" s="48"/>
      <c r="G21" s="49"/>
    </row>
    <row r="22" spans="2:8" x14ac:dyDescent="0.3">
      <c r="B22" s="27"/>
      <c r="C22" s="27"/>
      <c r="D22" s="27"/>
      <c r="E22" s="27"/>
      <c r="F22" s="28"/>
      <c r="G22" s="29"/>
    </row>
    <row r="23" spans="2:8" x14ac:dyDescent="0.3">
      <c r="B23" s="27"/>
      <c r="C23" s="27"/>
      <c r="D23" s="27"/>
      <c r="E23" s="27"/>
      <c r="F23" s="28"/>
      <c r="G23" s="29"/>
    </row>
  </sheetData>
  <pageMargins left="0.7" right="0.7" top="0.75" bottom="0.75" header="0.3" footer="0.3"/>
  <pageSetup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M21"/>
  <sheetViews>
    <sheetView zoomScaleNormal="100" workbookViewId="0">
      <selection activeCell="D5" sqref="D5:F5"/>
    </sheetView>
  </sheetViews>
  <sheetFormatPr defaultColWidth="9.28515625" defaultRowHeight="16.5" x14ac:dyDescent="0.3"/>
  <cols>
    <col min="1" max="1" width="2.42578125" style="1" customWidth="1"/>
    <col min="2" max="2" width="1.28515625" style="1" customWidth="1"/>
    <col min="3" max="3" width="10.7109375" style="1" bestFit="1" customWidth="1"/>
    <col min="4" max="4" width="13.5703125" style="1" bestFit="1" customWidth="1"/>
    <col min="5" max="5" width="13.5703125" style="1" customWidth="1"/>
    <col min="6" max="6" width="13.5703125" style="1" bestFit="1" customWidth="1"/>
    <col min="7" max="7" width="0.42578125" style="1" customWidth="1"/>
    <col min="8" max="8" width="9" style="1" bestFit="1" customWidth="1"/>
    <col min="9" max="9" width="13.28515625" style="1" bestFit="1" customWidth="1"/>
    <col min="10" max="10" width="0.42578125" style="1" customWidth="1"/>
    <col min="11" max="11" width="23.7109375" style="6" customWidth="1"/>
    <col min="12" max="12" width="14.28515625" style="1" bestFit="1" customWidth="1"/>
    <col min="13" max="13" width="24.140625" style="1" bestFit="1" customWidth="1"/>
    <col min="14" max="16384" width="9.28515625" style="1"/>
  </cols>
  <sheetData>
    <row r="4" spans="3:13" s="4" customFormat="1" ht="33" x14ac:dyDescent="0.3">
      <c r="C4" s="14" t="s">
        <v>28</v>
      </c>
      <c r="D4" s="17" t="s">
        <v>17</v>
      </c>
      <c r="E4" s="17" t="s">
        <v>18</v>
      </c>
      <c r="F4" s="17" t="s">
        <v>19</v>
      </c>
      <c r="G4" s="17"/>
      <c r="H4" s="17" t="s">
        <v>20</v>
      </c>
      <c r="I4" s="17" t="s">
        <v>21</v>
      </c>
      <c r="J4" s="17"/>
      <c r="K4" s="20" t="s">
        <v>22</v>
      </c>
      <c r="L4" s="17" t="s">
        <v>23</v>
      </c>
      <c r="M4" s="17" t="s">
        <v>24</v>
      </c>
    </row>
    <row r="5" spans="3:13" x14ac:dyDescent="0.3">
      <c r="C5" s="10" t="s">
        <v>2</v>
      </c>
      <c r="D5" s="11">
        <v>12325075.560000001</v>
      </c>
      <c r="E5" s="11">
        <f>22375444.31-12325075.56</f>
        <v>10050368.749999998</v>
      </c>
      <c r="F5" s="11">
        <f>SUM(D5:E5)</f>
        <v>22375444.309999999</v>
      </c>
      <c r="G5" s="30"/>
      <c r="H5" s="31">
        <f>(D5/F5)</f>
        <v>0.55083042773330304</v>
      </c>
      <c r="I5" s="31">
        <f>(E5/F5)</f>
        <v>0.44916957226669696</v>
      </c>
      <c r="J5" s="30"/>
      <c r="K5" s="32">
        <v>2053943.11</v>
      </c>
      <c r="L5" s="18">
        <f>K5*H5</f>
        <v>1131374.3618211707</v>
      </c>
      <c r="M5" s="18">
        <f>K5*I5</f>
        <v>922568.74817882932</v>
      </c>
    </row>
    <row r="6" spans="3:13" x14ac:dyDescent="0.3">
      <c r="C6" s="10" t="s">
        <v>3</v>
      </c>
      <c r="D6" s="11">
        <v>10851840.85</v>
      </c>
      <c r="E6" s="11">
        <f>21018846.65-10851840.85</f>
        <v>10167005.799999999</v>
      </c>
      <c r="F6" s="11">
        <f t="shared" ref="F6:F16" si="0">SUM(D6:E6)</f>
        <v>21018846.649999999</v>
      </c>
      <c r="G6" s="30"/>
      <c r="H6" s="31">
        <f t="shared" ref="H6:H16" si="1">(D6/F6)</f>
        <v>0.51629097593706452</v>
      </c>
      <c r="I6" s="31">
        <f t="shared" ref="I6:I16" si="2">(E6/F6)</f>
        <v>0.48370902406293542</v>
      </c>
      <c r="J6" s="30"/>
      <c r="K6" s="32">
        <v>2070609.21</v>
      </c>
      <c r="L6" s="18">
        <f t="shared" ref="L6:L16" si="3">H6*K6</f>
        <v>1069036.8498151742</v>
      </c>
      <c r="M6" s="18">
        <f t="shared" ref="M6:M16" si="4">K6*I6</f>
        <v>1001572.3601848257</v>
      </c>
    </row>
    <row r="7" spans="3:13" x14ac:dyDescent="0.3">
      <c r="C7" s="10" t="s">
        <v>4</v>
      </c>
      <c r="D7" s="11">
        <v>10604397.380000001</v>
      </c>
      <c r="E7" s="11">
        <f>20957335.34-10604397.38</f>
        <v>10352937.959999999</v>
      </c>
      <c r="F7" s="11">
        <f t="shared" si="0"/>
        <v>20957335.34</v>
      </c>
      <c r="G7" s="30"/>
      <c r="H7" s="31">
        <f t="shared" si="1"/>
        <v>0.50599931756400485</v>
      </c>
      <c r="I7" s="31">
        <f t="shared" si="2"/>
        <v>0.49400068243599521</v>
      </c>
      <c r="J7" s="30"/>
      <c r="K7" s="32">
        <v>2223420.5499999998</v>
      </c>
      <c r="L7" s="18">
        <f t="shared" si="3"/>
        <v>1125049.2809577843</v>
      </c>
      <c r="M7" s="18">
        <f t="shared" si="4"/>
        <v>1098371.2690422158</v>
      </c>
    </row>
    <row r="8" spans="3:13" x14ac:dyDescent="0.3">
      <c r="C8" s="10" t="s">
        <v>5</v>
      </c>
      <c r="D8" s="11">
        <v>8521004.3000000007</v>
      </c>
      <c r="E8" s="11">
        <f>19123126.95-8521004.3</f>
        <v>10602122.649999999</v>
      </c>
      <c r="F8" s="11">
        <f t="shared" si="0"/>
        <v>19123126.949999999</v>
      </c>
      <c r="G8" s="30"/>
      <c r="H8" s="31">
        <f t="shared" si="1"/>
        <v>0.44558634800047703</v>
      </c>
      <c r="I8" s="31">
        <f t="shared" si="2"/>
        <v>0.55441365199952297</v>
      </c>
      <c r="J8" s="30"/>
      <c r="K8" s="32">
        <v>2128921.64</v>
      </c>
      <c r="L8" s="18">
        <f t="shared" si="3"/>
        <v>948618.41874678631</v>
      </c>
      <c r="M8" s="18">
        <f t="shared" si="4"/>
        <v>1180303.2212532137</v>
      </c>
    </row>
    <row r="9" spans="3:13" x14ac:dyDescent="0.3">
      <c r="C9" s="10" t="s">
        <v>6</v>
      </c>
      <c r="D9" s="11">
        <v>7589368</v>
      </c>
      <c r="E9" s="11">
        <f>18834392.53-7589368</f>
        <v>11245024.530000001</v>
      </c>
      <c r="F9" s="11">
        <f t="shared" si="0"/>
        <v>18834392.530000001</v>
      </c>
      <c r="G9" s="30"/>
      <c r="H9" s="31">
        <f t="shared" si="1"/>
        <v>0.40295262976554302</v>
      </c>
      <c r="I9" s="31">
        <f t="shared" si="2"/>
        <v>0.59704737023445698</v>
      </c>
      <c r="J9" s="30"/>
      <c r="K9" s="32">
        <v>2024450.85</v>
      </c>
      <c r="L9" s="18">
        <f t="shared" si="3"/>
        <v>815757.79383858887</v>
      </c>
      <c r="M9" s="18">
        <f t="shared" si="4"/>
        <v>1208693.0561614111</v>
      </c>
    </row>
    <row r="10" spans="3:13" x14ac:dyDescent="0.3">
      <c r="C10" s="10" t="s">
        <v>7</v>
      </c>
      <c r="D10" s="11">
        <v>9282407.8900000006</v>
      </c>
      <c r="E10" s="11">
        <f>19090270.85-9282407.89</f>
        <v>9807862.9600000009</v>
      </c>
      <c r="F10" s="11">
        <f t="shared" si="0"/>
        <v>19090270.850000001</v>
      </c>
      <c r="G10" s="30"/>
      <c r="H10" s="31">
        <f t="shared" si="1"/>
        <v>0.48623762140074611</v>
      </c>
      <c r="I10" s="31">
        <f t="shared" si="2"/>
        <v>0.51376237859925389</v>
      </c>
      <c r="J10" s="30"/>
      <c r="K10" s="32">
        <v>1822728.92</v>
      </c>
      <c r="L10" s="18">
        <f t="shared" si="3"/>
        <v>886279.37451915082</v>
      </c>
      <c r="M10" s="18">
        <f t="shared" si="4"/>
        <v>936449.5454808491</v>
      </c>
    </row>
    <row r="11" spans="3:13" x14ac:dyDescent="0.3">
      <c r="C11" s="10" t="s">
        <v>8</v>
      </c>
      <c r="D11" s="11">
        <v>11280881.220000001</v>
      </c>
      <c r="E11" s="11">
        <f>20652474.45-11280881.22</f>
        <v>9371593.2299999986</v>
      </c>
      <c r="F11" s="11">
        <f t="shared" si="0"/>
        <v>20652474.449999999</v>
      </c>
      <c r="G11" s="30"/>
      <c r="H11" s="31">
        <f t="shared" si="1"/>
        <v>0.54622419445724102</v>
      </c>
      <c r="I11" s="31">
        <f t="shared" si="2"/>
        <v>0.45377580554275904</v>
      </c>
      <c r="J11" s="30"/>
      <c r="K11" s="32">
        <v>1715369.82</v>
      </c>
      <c r="L11" s="18">
        <f t="shared" si="3"/>
        <v>936976.49812576256</v>
      </c>
      <c r="M11" s="18">
        <f t="shared" si="4"/>
        <v>778393.32187423762</v>
      </c>
    </row>
    <row r="12" spans="3:13" x14ac:dyDescent="0.3">
      <c r="C12" s="10" t="s">
        <v>9</v>
      </c>
      <c r="D12" s="11">
        <v>12826965.6</v>
      </c>
      <c r="E12" s="11">
        <f>22763342.9-12826965.6</f>
        <v>9936377.2999999989</v>
      </c>
      <c r="F12" s="11">
        <f t="shared" si="0"/>
        <v>22763342.899999999</v>
      </c>
      <c r="G12" s="30"/>
      <c r="H12" s="31">
        <f t="shared" si="1"/>
        <v>0.56349217495642967</v>
      </c>
      <c r="I12" s="31">
        <f t="shared" si="2"/>
        <v>0.43650782504357039</v>
      </c>
      <c r="J12" s="30"/>
      <c r="K12" s="32">
        <v>1616830.01</v>
      </c>
      <c r="L12" s="18">
        <f t="shared" si="3"/>
        <v>911071.05886972591</v>
      </c>
      <c r="M12" s="18">
        <f t="shared" si="4"/>
        <v>705758.95113027422</v>
      </c>
    </row>
    <row r="13" spans="3:13" x14ac:dyDescent="0.3">
      <c r="C13" s="10" t="s">
        <v>10</v>
      </c>
      <c r="D13" s="11">
        <v>9113797.9700000007</v>
      </c>
      <c r="E13" s="11">
        <f>19334918.49-9113797.97</f>
        <v>10221120.519999998</v>
      </c>
      <c r="F13" s="11">
        <f t="shared" si="0"/>
        <v>19334918.489999998</v>
      </c>
      <c r="G13" s="30"/>
      <c r="H13" s="31">
        <f t="shared" si="1"/>
        <v>0.47136469567811462</v>
      </c>
      <c r="I13" s="31">
        <f t="shared" si="2"/>
        <v>0.52863530432188544</v>
      </c>
      <c r="J13" s="30"/>
      <c r="K13" s="32">
        <v>1842698.05</v>
      </c>
      <c r="L13" s="18">
        <f t="shared" si="3"/>
        <v>868582.80556490528</v>
      </c>
      <c r="M13" s="18">
        <f t="shared" si="4"/>
        <v>974115.24443509488</v>
      </c>
    </row>
    <row r="14" spans="3:13" ht="15" customHeight="1" x14ac:dyDescent="0.3">
      <c r="C14" s="10" t="s">
        <v>11</v>
      </c>
      <c r="D14" s="11">
        <v>8619915.3300000001</v>
      </c>
      <c r="E14" s="11">
        <f>18686084.76-8619915.33</f>
        <v>10066169.430000002</v>
      </c>
      <c r="F14" s="11">
        <f t="shared" si="0"/>
        <v>18686084.760000002</v>
      </c>
      <c r="G14" s="30"/>
      <c r="H14" s="31">
        <f t="shared" si="1"/>
        <v>0.46130130740132635</v>
      </c>
      <c r="I14" s="31">
        <f t="shared" si="2"/>
        <v>0.53869869259867365</v>
      </c>
      <c r="J14" s="30"/>
      <c r="K14" s="32">
        <v>2097197.84</v>
      </c>
      <c r="L14" s="18">
        <f t="shared" si="3"/>
        <v>967440.10547123756</v>
      </c>
      <c r="M14" s="18">
        <f t="shared" si="4"/>
        <v>1129757.7345287623</v>
      </c>
    </row>
    <row r="15" spans="3:13" x14ac:dyDescent="0.3">
      <c r="C15" s="10" t="s">
        <v>12</v>
      </c>
      <c r="D15" s="11">
        <v>9759529.0399999991</v>
      </c>
      <c r="E15" s="11">
        <f>19432254.47-9759529.04</f>
        <v>9672725.4299999997</v>
      </c>
      <c r="F15" s="11">
        <f t="shared" si="0"/>
        <v>19432254.469999999</v>
      </c>
      <c r="G15" s="30"/>
      <c r="H15" s="31">
        <f t="shared" si="1"/>
        <v>0.50223349303432618</v>
      </c>
      <c r="I15" s="31">
        <f t="shared" si="2"/>
        <v>0.49776650696567376</v>
      </c>
      <c r="J15" s="30"/>
      <c r="K15" s="32">
        <v>2158830.7200000002</v>
      </c>
      <c r="L15" s="18">
        <f t="shared" si="3"/>
        <v>1084237.0933754095</v>
      </c>
      <c r="M15" s="18">
        <f t="shared" si="4"/>
        <v>1074593.6266245907</v>
      </c>
    </row>
    <row r="16" spans="3:13" x14ac:dyDescent="0.3">
      <c r="C16" s="10" t="s">
        <v>13</v>
      </c>
      <c r="D16" s="11">
        <v>10778974.560000001</v>
      </c>
      <c r="E16" s="11">
        <v>10684305.939999999</v>
      </c>
      <c r="F16" s="11">
        <f t="shared" si="0"/>
        <v>21463280.5</v>
      </c>
      <c r="G16" s="30"/>
      <c r="H16" s="31">
        <f t="shared" si="1"/>
        <v>0.50220536231635238</v>
      </c>
      <c r="I16" s="31">
        <f t="shared" si="2"/>
        <v>0.49779463768364762</v>
      </c>
      <c r="J16" s="30"/>
      <c r="K16" s="32">
        <v>1868969.17</v>
      </c>
      <c r="L16" s="18">
        <f t="shared" si="3"/>
        <v>938606.33917794237</v>
      </c>
      <c r="M16" s="18">
        <f t="shared" si="4"/>
        <v>930362.83082205756</v>
      </c>
    </row>
    <row r="17" spans="3:13" s="4" customFormat="1" x14ac:dyDescent="0.3">
      <c r="C17" s="12" t="s">
        <v>19</v>
      </c>
      <c r="D17" s="13">
        <f>SUM(D5:D16)</f>
        <v>121554157.69999999</v>
      </c>
      <c r="E17" s="13">
        <f t="shared" ref="E17:F17" si="5">SUM(E5:E16)</f>
        <v>122177614.5</v>
      </c>
      <c r="F17" s="13">
        <f t="shared" si="5"/>
        <v>243731772.19999999</v>
      </c>
      <c r="G17" s="12"/>
      <c r="H17" s="12"/>
      <c r="I17" s="12"/>
      <c r="J17" s="12"/>
      <c r="K17" s="25"/>
      <c r="L17" s="19">
        <f>SUM(L5:L16)</f>
        <v>11683029.980283637</v>
      </c>
      <c r="M17" s="19">
        <f>SUM(M5:M16)</f>
        <v>11940939.909716364</v>
      </c>
    </row>
    <row r="18" spans="3:13" x14ac:dyDescent="0.3">
      <c r="F18" s="7"/>
    </row>
    <row r="19" spans="3:13" x14ac:dyDescent="0.3">
      <c r="F19" s="5"/>
    </row>
    <row r="21" spans="3:13" x14ac:dyDescent="0.3">
      <c r="E21" s="2"/>
    </row>
  </sheetData>
  <pageMargins left="0.7" right="0.7" top="0.75" bottom="0.75" header="0.3" footer="0.3"/>
  <pageSetup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K20"/>
  <sheetViews>
    <sheetView view="pageBreakPreview" zoomScale="60" zoomScaleNormal="85" workbookViewId="0">
      <selection activeCell="K3" sqref="K3"/>
    </sheetView>
  </sheetViews>
  <sheetFormatPr defaultColWidth="9.28515625" defaultRowHeight="16.5" x14ac:dyDescent="0.3"/>
  <cols>
    <col min="1" max="1" width="3.85546875" style="1" customWidth="1"/>
    <col min="2" max="2" width="3.5703125" style="1" customWidth="1"/>
    <col min="3" max="3" width="3" style="1" customWidth="1"/>
    <col min="4" max="4" width="12.42578125" style="1" customWidth="1"/>
    <col min="5" max="5" width="19.28515625" style="1" bestFit="1" customWidth="1"/>
    <col min="6" max="6" width="25" style="1" bestFit="1" customWidth="1"/>
    <col min="7" max="7" width="29.28515625" style="1" bestFit="1" customWidth="1"/>
    <col min="8" max="8" width="20" style="1" bestFit="1" customWidth="1"/>
    <col min="9" max="9" width="22" style="1" bestFit="1" customWidth="1"/>
    <col min="10" max="10" width="20.5703125" style="1" bestFit="1" customWidth="1"/>
    <col min="11" max="11" width="17.7109375" style="1" bestFit="1" customWidth="1"/>
    <col min="12" max="12" width="9.28515625" style="1"/>
    <col min="13" max="13" width="15.7109375" style="1" bestFit="1" customWidth="1"/>
    <col min="14" max="14" width="9.28515625" style="1"/>
    <col min="15" max="15" width="10.42578125" style="1" bestFit="1" customWidth="1"/>
    <col min="16" max="16" width="9.28515625" style="1"/>
    <col min="17" max="17" width="10" style="1" bestFit="1" customWidth="1"/>
    <col min="18" max="16384" width="9.28515625" style="1"/>
  </cols>
  <sheetData>
    <row r="4" spans="4:11" x14ac:dyDescent="0.3">
      <c r="F4" s="41"/>
      <c r="G4" s="41"/>
      <c r="H4" s="41"/>
    </row>
    <row r="6" spans="4:11" x14ac:dyDescent="0.3">
      <c r="F6" s="56" t="s">
        <v>29</v>
      </c>
      <c r="G6" s="56"/>
      <c r="H6" s="56"/>
      <c r="I6" s="56"/>
    </row>
    <row r="7" spans="4:11" ht="66" x14ac:dyDescent="0.3">
      <c r="D7" s="33" t="s">
        <v>30</v>
      </c>
      <c r="E7" s="34" t="s">
        <v>31</v>
      </c>
      <c r="F7" s="35" t="s">
        <v>32</v>
      </c>
      <c r="G7" s="35" t="s">
        <v>45</v>
      </c>
      <c r="H7" s="35" t="s">
        <v>33</v>
      </c>
      <c r="I7" s="35" t="s">
        <v>42</v>
      </c>
      <c r="J7" s="34" t="s">
        <v>34</v>
      </c>
      <c r="K7" s="35" t="s">
        <v>35</v>
      </c>
    </row>
    <row r="8" spans="4:11" x14ac:dyDescent="0.3">
      <c r="D8" s="36">
        <v>42370</v>
      </c>
      <c r="E8" s="37">
        <f>Expenses!E5</f>
        <v>10050368.749999998</v>
      </c>
      <c r="F8" s="37">
        <v>222209.47000000067</v>
      </c>
      <c r="G8" s="37">
        <v>1211278.920000013</v>
      </c>
      <c r="H8" s="37">
        <v>51316.22590732322</v>
      </c>
      <c r="I8" s="37">
        <f>SUM(E8:H8)</f>
        <v>11535173.365907336</v>
      </c>
      <c r="J8" s="37">
        <v>9893334.7100000009</v>
      </c>
      <c r="K8" s="37">
        <f>+I8-J8</f>
        <v>1641838.6559073348</v>
      </c>
    </row>
    <row r="9" spans="4:11" x14ac:dyDescent="0.3">
      <c r="D9" s="36">
        <v>42401</v>
      </c>
      <c r="E9" s="37">
        <f>Expenses!E6</f>
        <v>10167005.799999999</v>
      </c>
      <c r="F9" s="37">
        <v>1167886.1100000013</v>
      </c>
      <c r="G9" s="37">
        <v>419581.41999998316</v>
      </c>
      <c r="H9" s="37">
        <v>91853.616767646483</v>
      </c>
      <c r="I9" s="37">
        <f t="shared" ref="I9:I19" si="0">SUM(E9:H9)</f>
        <v>11846326.94676763</v>
      </c>
      <c r="J9" s="37">
        <v>10609524.970000001</v>
      </c>
      <c r="K9" s="37">
        <f t="shared" ref="K9:K19" si="1">+I9-J9</f>
        <v>1236801.9767676294</v>
      </c>
    </row>
    <row r="10" spans="4:11" x14ac:dyDescent="0.3">
      <c r="D10" s="36">
        <v>42430</v>
      </c>
      <c r="E10" s="37">
        <f>Expenses!E7</f>
        <v>10352937.959999999</v>
      </c>
      <c r="F10" s="37">
        <v>1346939.0300000012</v>
      </c>
      <c r="G10" s="37">
        <v>301532.12999999709</v>
      </c>
      <c r="H10" s="37">
        <v>154560.01086908509</v>
      </c>
      <c r="I10" s="37">
        <f t="shared" si="0"/>
        <v>12155969.130869083</v>
      </c>
      <c r="J10" s="37">
        <v>12175981.519999994</v>
      </c>
      <c r="K10" s="37">
        <f t="shared" si="1"/>
        <v>-20012.389130910859</v>
      </c>
    </row>
    <row r="11" spans="4:11" x14ac:dyDescent="0.3">
      <c r="D11" s="36">
        <v>42461</v>
      </c>
      <c r="E11" s="37">
        <f>Expenses!E8</f>
        <v>10602122.649999999</v>
      </c>
      <c r="F11" s="37">
        <v>1213213.6300000027</v>
      </c>
      <c r="G11" s="37">
        <v>-1809701.7200000007</v>
      </c>
      <c r="H11" s="37">
        <v>234882.26470764063</v>
      </c>
      <c r="I11" s="37">
        <f t="shared" si="0"/>
        <v>10240516.82470764</v>
      </c>
      <c r="J11" s="37">
        <v>12176047.179999996</v>
      </c>
      <c r="K11" s="37">
        <f t="shared" si="1"/>
        <v>-1935530.3552923556</v>
      </c>
    </row>
    <row r="12" spans="4:11" x14ac:dyDescent="0.3">
      <c r="D12" s="36">
        <v>42491</v>
      </c>
      <c r="E12" s="37">
        <f>Expenses!E9</f>
        <v>11245024.530000001</v>
      </c>
      <c r="F12" s="37">
        <v>-317374.68999999762</v>
      </c>
      <c r="G12" s="37">
        <v>1067789.6100000106</v>
      </c>
      <c r="H12" s="37">
        <v>299901.53808183072</v>
      </c>
      <c r="I12" s="37">
        <f t="shared" si="0"/>
        <v>12295340.988081845</v>
      </c>
      <c r="J12" s="37">
        <v>10560953.290000007</v>
      </c>
      <c r="K12" s="37">
        <f t="shared" si="1"/>
        <v>1734387.698081838</v>
      </c>
    </row>
    <row r="13" spans="4:11" x14ac:dyDescent="0.3">
      <c r="D13" s="36">
        <v>42522</v>
      </c>
      <c r="E13" s="37">
        <f>Expenses!E10</f>
        <v>9807862.9600000009</v>
      </c>
      <c r="F13" s="37">
        <v>999332.65000000037</v>
      </c>
      <c r="G13" s="37">
        <v>636383.70000000857</v>
      </c>
      <c r="H13" s="37">
        <v>289618.40079788858</v>
      </c>
      <c r="I13" s="37">
        <f t="shared" si="0"/>
        <v>11733197.710797898</v>
      </c>
      <c r="J13" s="37">
        <v>11343886.850000003</v>
      </c>
      <c r="K13" s="37">
        <f t="shared" si="1"/>
        <v>389310.86079789512</v>
      </c>
    </row>
    <row r="14" spans="4:11" x14ac:dyDescent="0.3">
      <c r="D14" s="36">
        <v>42552</v>
      </c>
      <c r="E14" s="37">
        <f>Expenses!E11</f>
        <v>9371593.2299999986</v>
      </c>
      <c r="F14" s="37">
        <v>474613.33000000007</v>
      </c>
      <c r="G14" s="37">
        <v>-1978337.2200000025</v>
      </c>
      <c r="H14" s="37">
        <v>270068.84939293581</v>
      </c>
      <c r="I14" s="37">
        <f t="shared" si="0"/>
        <v>8137938.1893929318</v>
      </c>
      <c r="J14" s="37">
        <v>12757535.819999998</v>
      </c>
      <c r="K14" s="37">
        <f t="shared" si="1"/>
        <v>-4619597.6306070667</v>
      </c>
    </row>
    <row r="15" spans="4:11" x14ac:dyDescent="0.3">
      <c r="D15" s="36">
        <v>42583</v>
      </c>
      <c r="E15" s="37">
        <f>Expenses!E12</f>
        <v>9936377.2999999989</v>
      </c>
      <c r="F15" s="37">
        <v>1136513.5099999998</v>
      </c>
      <c r="G15" s="37">
        <v>3262869.0199999921</v>
      </c>
      <c r="H15" s="37">
        <v>256985.38225118237</v>
      </c>
      <c r="I15" s="37">
        <f t="shared" si="0"/>
        <v>14592745.212251173</v>
      </c>
      <c r="J15" s="37">
        <v>9553149.8399999961</v>
      </c>
      <c r="K15" s="37">
        <f t="shared" si="1"/>
        <v>5039595.3722511772</v>
      </c>
    </row>
    <row r="16" spans="4:11" x14ac:dyDescent="0.3">
      <c r="D16" s="36">
        <v>42614</v>
      </c>
      <c r="E16" s="37">
        <f>Expenses!E13</f>
        <v>10221120.519999998</v>
      </c>
      <c r="F16" s="37">
        <v>1251976.6000000015</v>
      </c>
      <c r="G16" s="37">
        <v>-564704.69000001252</v>
      </c>
      <c r="H16" s="37">
        <v>255410.57477665908</v>
      </c>
      <c r="I16" s="37">
        <f t="shared" si="0"/>
        <v>11163803.004776645</v>
      </c>
      <c r="J16" s="37">
        <v>12289604.009999992</v>
      </c>
      <c r="K16" s="37">
        <f t="shared" si="1"/>
        <v>-1125801.0052233469</v>
      </c>
    </row>
    <row r="17" spans="4:11" x14ac:dyDescent="0.3">
      <c r="D17" s="36">
        <v>42644</v>
      </c>
      <c r="E17" s="37">
        <f>Expenses!E14</f>
        <v>10066169.430000002</v>
      </c>
      <c r="F17" s="37">
        <v>1026693.6899999976</v>
      </c>
      <c r="G17" s="37">
        <v>-1455046.3900000174</v>
      </c>
      <c r="H17" s="37">
        <v>243514.71652296584</v>
      </c>
      <c r="I17" s="37">
        <f t="shared" si="0"/>
        <v>9881331.4465229474</v>
      </c>
      <c r="J17" s="37">
        <v>12234637.149999999</v>
      </c>
      <c r="K17" s="37">
        <f t="shared" si="1"/>
        <v>-2353305.7034770511</v>
      </c>
    </row>
    <row r="18" spans="4:11" x14ac:dyDescent="0.3">
      <c r="D18" s="36">
        <v>42675</v>
      </c>
      <c r="E18" s="37">
        <f>Expenses!E15</f>
        <v>9672725.4299999997</v>
      </c>
      <c r="F18" s="37">
        <v>977684.54000000097</v>
      </c>
      <c r="G18" s="37">
        <v>322132.92999999784</v>
      </c>
      <c r="H18" s="37">
        <v>161398.03507180657</v>
      </c>
      <c r="I18" s="37">
        <f t="shared" si="0"/>
        <v>11133940.935071805</v>
      </c>
      <c r="J18" s="37">
        <v>10984024.569999997</v>
      </c>
      <c r="K18" s="37">
        <f t="shared" si="1"/>
        <v>149916.36507180892</v>
      </c>
    </row>
    <row r="19" spans="4:11" x14ac:dyDescent="0.3">
      <c r="D19" s="36">
        <v>42705</v>
      </c>
      <c r="E19" s="37">
        <f>Expenses!E16</f>
        <v>10684305.939999999</v>
      </c>
      <c r="F19" s="37">
        <v>-420897.93000000715</v>
      </c>
      <c r="G19" s="37">
        <v>-158312.53999999538</v>
      </c>
      <c r="H19" s="37">
        <v>55571.606088412263</v>
      </c>
      <c r="I19" s="37">
        <f t="shared" si="0"/>
        <v>10160667.07608841</v>
      </c>
      <c r="J19" s="37">
        <v>10994245.43</v>
      </c>
      <c r="K19" s="37">
        <f t="shared" si="1"/>
        <v>-833578.35391158983</v>
      </c>
    </row>
    <row r="20" spans="4:11" x14ac:dyDescent="0.3">
      <c r="D20" s="38"/>
      <c r="E20" s="39">
        <f>SUM(E8:E19)</f>
        <v>122177614.5</v>
      </c>
      <c r="F20" s="40">
        <f>SUM(F8:F19)</f>
        <v>9078789.9400000013</v>
      </c>
      <c r="G20" s="40">
        <f>SUM(G8:G19)</f>
        <v>1255465.1699999738</v>
      </c>
      <c r="H20" s="40">
        <f>SUM(H8:H19)</f>
        <v>2365081.2212353768</v>
      </c>
      <c r="I20" s="40">
        <f>SUM(E20:H20)</f>
        <v>134876950.83123535</v>
      </c>
      <c r="J20" s="39">
        <f>SUM(J8:J19)</f>
        <v>135572925.34</v>
      </c>
      <c r="K20" s="9">
        <f>SUM(K8:K19)</f>
        <v>-695974.50876463763</v>
      </c>
    </row>
  </sheetData>
  <mergeCells count="1">
    <mergeCell ref="F6:I6"/>
  </mergeCells>
  <pageMargins left="0.7" right="0.7" top="0.75" bottom="0.75" header="0.3" footer="0.3"/>
  <pageSetup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P20"/>
  <sheetViews>
    <sheetView view="pageBreakPreview" zoomScale="60" zoomScaleNormal="100" workbookViewId="0">
      <selection activeCell="J20" sqref="J20"/>
    </sheetView>
  </sheetViews>
  <sheetFormatPr defaultColWidth="9.28515625" defaultRowHeight="16.5" x14ac:dyDescent="0.3"/>
  <cols>
    <col min="1" max="2" width="9.28515625" style="1"/>
    <col min="3" max="3" width="10.7109375" style="1" bestFit="1" customWidth="1"/>
    <col min="4" max="4" width="18.28515625" style="1" customWidth="1"/>
    <col min="5" max="5" width="10" style="1" bestFit="1" customWidth="1"/>
    <col min="6" max="6" width="11.7109375" style="1" customWidth="1"/>
    <col min="7" max="16384" width="9.28515625" style="1"/>
  </cols>
  <sheetData>
    <row r="5" spans="3:16" ht="33" x14ac:dyDescent="0.3">
      <c r="C5" s="14" t="s">
        <v>28</v>
      </c>
      <c r="D5" s="15" t="s">
        <v>36</v>
      </c>
      <c r="E5" s="15" t="s">
        <v>37</v>
      </c>
      <c r="F5" s="15" t="s">
        <v>38</v>
      </c>
      <c r="G5" s="3"/>
      <c r="H5" s="3"/>
      <c r="I5" s="3"/>
      <c r="J5" s="3"/>
      <c r="K5" s="3"/>
      <c r="L5" s="3"/>
      <c r="M5" s="3"/>
      <c r="N5" s="3"/>
      <c r="O5" s="3"/>
      <c r="P5" s="3"/>
    </row>
    <row r="6" spans="3:16" x14ac:dyDescent="0.3">
      <c r="C6" s="10" t="s">
        <v>2</v>
      </c>
      <c r="D6" s="11">
        <f>'[1]GA Analysis '!K47</f>
        <v>74793.610407600063</v>
      </c>
      <c r="E6" s="11">
        <f>'1589 Balance'!F5</f>
        <v>-188625.97182117065</v>
      </c>
      <c r="F6" s="11">
        <f>E6-D6</f>
        <v>-263419.58222877071</v>
      </c>
      <c r="G6" s="3"/>
      <c r="H6" s="3"/>
      <c r="I6" s="3"/>
      <c r="J6" s="3"/>
      <c r="K6" s="3"/>
      <c r="L6" s="3"/>
      <c r="M6" s="3"/>
      <c r="N6" s="3"/>
      <c r="O6" s="3"/>
      <c r="P6" s="3"/>
    </row>
    <row r="7" spans="3:16" x14ac:dyDescent="0.3">
      <c r="C7" s="10" t="s">
        <v>3</v>
      </c>
      <c r="D7" s="11">
        <f>'[1]GA Analysis '!K48</f>
        <v>-56548.768090100028</v>
      </c>
      <c r="E7" s="11">
        <f>'1589 Balance'!F6</f>
        <v>77745.180184825556</v>
      </c>
      <c r="F7" s="11">
        <f t="shared" ref="F7:F17" si="0">E7-D7</f>
        <v>134293.94827492558</v>
      </c>
      <c r="G7" s="3"/>
      <c r="H7" s="3"/>
      <c r="I7" s="3"/>
      <c r="J7" s="3"/>
      <c r="K7" s="3"/>
      <c r="L7" s="3"/>
      <c r="M7" s="3"/>
      <c r="N7" s="3"/>
      <c r="O7" s="3"/>
      <c r="P7" s="3"/>
    </row>
    <row r="8" spans="3:16" x14ac:dyDescent="0.3">
      <c r="C8" s="10" t="s">
        <v>4</v>
      </c>
      <c r="D8" s="11">
        <f>'[1]GA Analysis '!K49</f>
        <v>193354.5865375998</v>
      </c>
      <c r="E8" s="11">
        <f>'1589 Balance'!F7</f>
        <v>-132650.98095778422</v>
      </c>
      <c r="F8" s="11">
        <f t="shared" si="0"/>
        <v>-326005.56749538402</v>
      </c>
      <c r="G8" s="3"/>
      <c r="H8" s="3"/>
      <c r="I8" s="3"/>
      <c r="J8" s="3"/>
      <c r="K8" s="3"/>
      <c r="L8" s="3"/>
      <c r="M8" s="3"/>
      <c r="N8" s="3"/>
      <c r="O8" s="3"/>
      <c r="P8" s="3"/>
    </row>
    <row r="9" spans="3:16" x14ac:dyDescent="0.3">
      <c r="C9" s="10" t="s">
        <v>5</v>
      </c>
      <c r="D9" s="11">
        <f>'[1]GA Analysis '!K50</f>
        <v>-119690.54377939994</v>
      </c>
      <c r="E9" s="11">
        <f>'1589 Balance'!F8</f>
        <v>65438.781253213761</v>
      </c>
      <c r="F9" s="11">
        <f t="shared" si="0"/>
        <v>185129.32503261371</v>
      </c>
      <c r="G9" s="3"/>
      <c r="H9" s="3"/>
      <c r="I9" s="3"/>
      <c r="J9" s="3"/>
      <c r="K9" s="3"/>
      <c r="L9" s="3"/>
      <c r="M9" s="3"/>
      <c r="N9" s="3"/>
      <c r="O9" s="3"/>
      <c r="P9" s="3"/>
    </row>
    <row r="10" spans="3:16" x14ac:dyDescent="0.3">
      <c r="C10" s="10" t="s">
        <v>6</v>
      </c>
      <c r="D10" s="11">
        <f>'[1]GA Analysis '!K51</f>
        <v>36329.679317599861</v>
      </c>
      <c r="E10" s="11">
        <f>'1589 Balance'!F9</f>
        <v>-62669.773838588968</v>
      </c>
      <c r="F10" s="11">
        <f t="shared" si="0"/>
        <v>-98999.453156188829</v>
      </c>
      <c r="G10" s="3"/>
      <c r="H10" s="3"/>
      <c r="I10" s="3"/>
      <c r="J10" s="3"/>
      <c r="K10" s="3"/>
      <c r="L10" s="3"/>
      <c r="M10" s="3"/>
      <c r="N10" s="3"/>
      <c r="O10" s="3"/>
      <c r="P10" s="3"/>
    </row>
    <row r="11" spans="3:16" x14ac:dyDescent="0.3">
      <c r="C11" s="10" t="s">
        <v>7</v>
      </c>
      <c r="D11" s="11">
        <f>'[1]GA Analysis '!K52</f>
        <v>-238788.81819250016</v>
      </c>
      <c r="E11" s="11">
        <f>'1589 Balance'!F10</f>
        <v>-243614.18451915088</v>
      </c>
      <c r="F11" s="11">
        <f t="shared" si="0"/>
        <v>-4825.366326650721</v>
      </c>
      <c r="G11" s="3"/>
      <c r="H11" s="3"/>
      <c r="I11" s="3"/>
      <c r="J11" s="3"/>
      <c r="K11" s="3"/>
      <c r="L11" s="3"/>
      <c r="M11" s="3"/>
      <c r="N11" s="3"/>
      <c r="O11" s="3"/>
      <c r="P11" s="3"/>
    </row>
    <row r="12" spans="3:16" x14ac:dyDescent="0.3">
      <c r="C12" s="10" t="s">
        <v>8</v>
      </c>
      <c r="D12" s="11">
        <f>'[1]GA Analysis '!K53</f>
        <v>81520.65388979984</v>
      </c>
      <c r="E12" s="11">
        <f>'1589 Balance'!F11</f>
        <v>-674808.64812576235</v>
      </c>
      <c r="F12" s="11">
        <f t="shared" si="0"/>
        <v>-756329.30201556219</v>
      </c>
      <c r="G12" s="3"/>
      <c r="H12" s="3"/>
      <c r="I12" s="3"/>
      <c r="J12" s="3"/>
      <c r="K12" s="3"/>
      <c r="L12" s="3"/>
      <c r="M12" s="3"/>
      <c r="N12" s="3"/>
      <c r="O12" s="3"/>
      <c r="P12" s="3"/>
    </row>
    <row r="13" spans="3:16" x14ac:dyDescent="0.3">
      <c r="C13" s="10" t="s">
        <v>9</v>
      </c>
      <c r="D13" s="11">
        <f>'[1]GA Analysis '!K54</f>
        <v>-140049.17665440007</v>
      </c>
      <c r="E13" s="11">
        <f>'1589 Balance'!F12</f>
        <v>-14218.08886972582</v>
      </c>
      <c r="F13" s="11">
        <f t="shared" si="0"/>
        <v>125831.08778467425</v>
      </c>
      <c r="G13" s="3"/>
      <c r="H13" s="3"/>
      <c r="I13" s="3"/>
      <c r="J13" s="3"/>
      <c r="K13" s="3"/>
      <c r="L13" s="3"/>
      <c r="M13" s="3"/>
      <c r="N13" s="3"/>
      <c r="O13" s="3"/>
      <c r="P13" s="3"/>
    </row>
    <row r="14" spans="3:16" x14ac:dyDescent="0.3">
      <c r="C14" s="10" t="s">
        <v>10</v>
      </c>
      <c r="D14" s="11">
        <f>'[1]GA Analysis '!K55</f>
        <v>303676.11508709996</v>
      </c>
      <c r="E14" s="11">
        <f>'1589 Balance'!F13</f>
        <v>-72654.435564904939</v>
      </c>
      <c r="F14" s="11">
        <f t="shared" si="0"/>
        <v>-376330.55065200489</v>
      </c>
      <c r="G14" s="3"/>
      <c r="H14" s="3"/>
      <c r="I14" s="3"/>
      <c r="J14" s="3"/>
      <c r="K14" s="3"/>
      <c r="L14" s="3"/>
      <c r="M14" s="3"/>
      <c r="N14" s="3"/>
      <c r="O14" s="3"/>
      <c r="P14" s="3"/>
    </row>
    <row r="15" spans="3:16" x14ac:dyDescent="0.3">
      <c r="C15" s="10" t="s">
        <v>11</v>
      </c>
      <c r="D15" s="11">
        <f>'[1]GA Analysis '!K56</f>
        <v>184253.63547900016</v>
      </c>
      <c r="E15" s="11">
        <f>'1589 Balance'!F14</f>
        <v>234579.46452876227</v>
      </c>
      <c r="F15" s="11">
        <f t="shared" si="0"/>
        <v>50325.829049762106</v>
      </c>
      <c r="G15" s="3"/>
      <c r="H15" s="3"/>
      <c r="I15" s="3"/>
      <c r="J15" s="3"/>
      <c r="K15" s="3"/>
      <c r="L15" s="3"/>
      <c r="M15" s="3"/>
      <c r="N15" s="3"/>
      <c r="O15" s="3"/>
      <c r="P15" s="3"/>
    </row>
    <row r="16" spans="3:16" x14ac:dyDescent="0.3">
      <c r="C16" s="10" t="s">
        <v>12</v>
      </c>
      <c r="D16" s="11">
        <f>'[1]GA Analysis '!K57</f>
        <v>-127634.3655034001</v>
      </c>
      <c r="E16" s="11">
        <f>'1589 Balance'!F15</f>
        <v>11678.346624590689</v>
      </c>
      <c r="F16" s="11">
        <f t="shared" si="0"/>
        <v>139312.71212799079</v>
      </c>
      <c r="G16" s="3"/>
      <c r="H16" s="3"/>
      <c r="I16" s="3"/>
      <c r="J16" s="3"/>
      <c r="K16" s="3"/>
      <c r="L16" s="3"/>
      <c r="M16" s="3"/>
      <c r="N16" s="3"/>
      <c r="O16" s="3"/>
      <c r="P16" s="3"/>
    </row>
    <row r="17" spans="3:16" x14ac:dyDescent="0.3">
      <c r="C17" s="10" t="s">
        <v>13</v>
      </c>
      <c r="D17" s="11">
        <f>'[1]GA Analysis '!K58</f>
        <v>-204365.69637999998</v>
      </c>
      <c r="E17" s="11">
        <f>'1589 Balance'!F16</f>
        <v>-576370.92917794269</v>
      </c>
      <c r="F17" s="11">
        <f t="shared" si="0"/>
        <v>-372005.23279794271</v>
      </c>
      <c r="G17" s="3"/>
      <c r="H17" s="3"/>
      <c r="I17" s="3"/>
      <c r="J17" s="3"/>
      <c r="K17" s="3"/>
      <c r="L17" s="3"/>
      <c r="M17" s="3"/>
      <c r="N17" s="3"/>
      <c r="O17" s="3"/>
      <c r="P17" s="3"/>
    </row>
    <row r="18" spans="3:16" s="4" customFormat="1" x14ac:dyDescent="0.3">
      <c r="C18" s="12" t="s">
        <v>19</v>
      </c>
      <c r="D18" s="13">
        <f t="shared" ref="D18:E18" si="1">SUM(D6:D17)</f>
        <v>-13149.087881100597</v>
      </c>
      <c r="E18" s="13">
        <f t="shared" si="1"/>
        <v>-1576171.2402836382</v>
      </c>
      <c r="F18" s="13">
        <f>SUM(F6:F17)</f>
        <v>-1563022.1524025374</v>
      </c>
      <c r="G18" s="9"/>
      <c r="H18" s="9"/>
      <c r="I18" s="9"/>
      <c r="J18" s="9"/>
      <c r="K18" s="9"/>
      <c r="L18" s="9"/>
      <c r="M18" s="9"/>
      <c r="N18" s="9"/>
      <c r="O18" s="9"/>
      <c r="P18" s="9"/>
    </row>
    <row r="19" spans="3:16" x14ac:dyDescent="0.3">
      <c r="D19" s="3"/>
      <c r="E19" s="3"/>
      <c r="F19" s="3"/>
      <c r="G19" s="3"/>
      <c r="H19" s="3"/>
      <c r="I19" s="3"/>
      <c r="J19" s="3"/>
      <c r="K19" s="3"/>
      <c r="L19" s="3"/>
      <c r="M19" s="3"/>
      <c r="N19" s="3"/>
      <c r="O19" s="3"/>
      <c r="P19" s="3"/>
    </row>
    <row r="20" spans="3:16" x14ac:dyDescent="0.3">
      <c r="D20" s="3"/>
      <c r="E20" s="3"/>
      <c r="F20" s="3"/>
      <c r="G20" s="3"/>
      <c r="H20" s="3"/>
      <c r="I20" s="3"/>
      <c r="J20" s="3"/>
      <c r="K20" s="3"/>
      <c r="L20" s="3"/>
      <c r="M20" s="3"/>
      <c r="N20" s="3"/>
      <c r="O20" s="3"/>
      <c r="P20" s="3"/>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C2:Q18"/>
  <sheetViews>
    <sheetView tabSelected="1" view="pageBreakPreview" zoomScale="60" zoomScaleNormal="70" workbookViewId="0">
      <pane xSplit="2" ySplit="2" topLeftCell="C3" activePane="bottomRight" state="frozen"/>
      <selection pane="topRight" activeCell="C1" sqref="C1"/>
      <selection pane="bottomLeft" activeCell="A5" sqref="A5"/>
      <selection pane="bottomRight" activeCell="P23" sqref="P23"/>
    </sheetView>
  </sheetViews>
  <sheetFormatPr defaultColWidth="9.28515625" defaultRowHeight="16.5" x14ac:dyDescent="0.3"/>
  <cols>
    <col min="1" max="1" width="3.5703125" style="1" customWidth="1"/>
    <col min="2" max="2" width="4" style="1" customWidth="1"/>
    <col min="3" max="3" width="10.7109375" style="1" bestFit="1" customWidth="1"/>
    <col min="4" max="4" width="16.42578125" style="1" bestFit="1" customWidth="1"/>
    <col min="5" max="5" width="17.7109375" style="1" bestFit="1" customWidth="1"/>
    <col min="6" max="6" width="16.85546875" style="1" bestFit="1" customWidth="1"/>
    <col min="7" max="7" width="0.42578125" style="1" customWidth="1"/>
    <col min="8" max="8" width="12.42578125" style="1" bestFit="1" customWidth="1"/>
    <col min="9" max="9" width="18.140625" style="1" bestFit="1" customWidth="1"/>
    <col min="10" max="10" width="0.42578125" style="1" customWidth="1"/>
    <col min="11" max="11" width="23.7109375" style="42" customWidth="1"/>
    <col min="12" max="12" width="20.140625" style="1" bestFit="1" customWidth="1"/>
    <col min="13" max="13" width="21.5703125" style="1" bestFit="1" customWidth="1"/>
    <col min="14" max="14" width="4.42578125" style="1" customWidth="1"/>
    <col min="15" max="15" width="13.5703125" style="1" bestFit="1" customWidth="1"/>
    <col min="16" max="16" width="14.85546875" style="1" bestFit="1" customWidth="1"/>
    <col min="17" max="17" width="19.5703125" style="1" customWidth="1"/>
    <col min="18" max="16384" width="9.28515625" style="1"/>
  </cols>
  <sheetData>
    <row r="2" spans="3:17" ht="19.5" customHeight="1" x14ac:dyDescent="0.3"/>
    <row r="4" spans="3:17" x14ac:dyDescent="0.3">
      <c r="O4" s="57" t="s">
        <v>47</v>
      </c>
      <c r="P4" s="57"/>
      <c r="Q4" s="57"/>
    </row>
    <row r="5" spans="3:17" ht="33" x14ac:dyDescent="0.3">
      <c r="C5" s="14" t="s">
        <v>28</v>
      </c>
      <c r="D5" s="17" t="s">
        <v>17</v>
      </c>
      <c r="E5" s="17" t="s">
        <v>18</v>
      </c>
      <c r="F5" s="17" t="s">
        <v>19</v>
      </c>
      <c r="G5" s="17"/>
      <c r="H5" s="17" t="s">
        <v>20</v>
      </c>
      <c r="I5" s="17" t="s">
        <v>21</v>
      </c>
      <c r="J5" s="17"/>
      <c r="K5" s="20" t="s">
        <v>22</v>
      </c>
      <c r="L5" s="17" t="s">
        <v>23</v>
      </c>
      <c r="M5" s="17" t="s">
        <v>24</v>
      </c>
      <c r="N5" s="41"/>
      <c r="O5" s="50" t="s">
        <v>1</v>
      </c>
      <c r="P5" s="50" t="s">
        <v>25</v>
      </c>
      <c r="Q5" s="51" t="s">
        <v>26</v>
      </c>
    </row>
    <row r="6" spans="3:17" x14ac:dyDescent="0.3">
      <c r="C6" s="10" t="s">
        <v>2</v>
      </c>
      <c r="D6" s="11">
        <f>+F6-E6</f>
        <v>12102866.09</v>
      </c>
      <c r="E6" s="11">
        <f>SUM('Utilismart and Northstar Reconc'!E8:F8)</f>
        <v>10272578.219999999</v>
      </c>
      <c r="F6" s="11">
        <v>22375444.309999999</v>
      </c>
      <c r="G6" s="30"/>
      <c r="H6" s="31">
        <f>(D6/F6)</f>
        <v>0.54089947543928796</v>
      </c>
      <c r="I6" s="31">
        <f>(E6/F6)</f>
        <v>0.45910052456071204</v>
      </c>
      <c r="J6" s="30"/>
      <c r="K6" s="32">
        <v>2053943.11</v>
      </c>
      <c r="L6" s="18">
        <f>K6*H6</f>
        <v>1110976.7507811398</v>
      </c>
      <c r="M6" s="18">
        <f>K6*I6</f>
        <v>942966.35921886028</v>
      </c>
      <c r="O6" s="52">
        <v>1111194.72</v>
      </c>
      <c r="P6" s="52">
        <f>M6</f>
        <v>942966.35921886028</v>
      </c>
      <c r="Q6" s="52">
        <f>P6-O6</f>
        <v>-168228.36078113969</v>
      </c>
    </row>
    <row r="7" spans="3:17" x14ac:dyDescent="0.3">
      <c r="C7" s="10" t="s">
        <v>3</v>
      </c>
      <c r="D7" s="11">
        <f>+F7-E7</f>
        <v>9683954.7399999984</v>
      </c>
      <c r="E7" s="11">
        <f>SUM('Utilismart and Northstar Reconc'!E9:F9)</f>
        <v>11334891.91</v>
      </c>
      <c r="F7" s="11">
        <v>21018846.649999999</v>
      </c>
      <c r="G7" s="30"/>
      <c r="H7" s="31">
        <f t="shared" ref="H7:H17" si="0">(D7/F7)</f>
        <v>0.46072721787520149</v>
      </c>
      <c r="I7" s="31">
        <f t="shared" ref="I7:I17" si="1">(E7/F7)</f>
        <v>0.53927278212479846</v>
      </c>
      <c r="J7" s="30"/>
      <c r="K7" s="32">
        <v>2070609.21</v>
      </c>
      <c r="L7" s="18">
        <f t="shared" ref="L7:L17" si="2">H7*K7</f>
        <v>953986.02063006884</v>
      </c>
      <c r="M7" s="18">
        <f t="shared" ref="M7:M17" si="3">K7*I7</f>
        <v>1116623.1893699311</v>
      </c>
      <c r="O7" s="52">
        <v>923827.18000000017</v>
      </c>
      <c r="P7" s="52">
        <f t="shared" ref="P7:P18" si="4">M7</f>
        <v>1116623.1893699311</v>
      </c>
      <c r="Q7" s="52">
        <f t="shared" ref="Q7:Q17" si="5">P7-O7</f>
        <v>192796.00936993095</v>
      </c>
    </row>
    <row r="8" spans="3:17" x14ac:dyDescent="0.3">
      <c r="C8" s="10" t="s">
        <v>4</v>
      </c>
      <c r="D8" s="11">
        <f t="shared" ref="D8:D17" si="6">+F8-E8</f>
        <v>9257458.3499999959</v>
      </c>
      <c r="E8" s="11">
        <f>SUM('Utilismart and Northstar Reconc'!E10:F10)</f>
        <v>11699876.99</v>
      </c>
      <c r="F8" s="11">
        <v>20957335.339999996</v>
      </c>
      <c r="G8" s="30"/>
      <c r="H8" s="31">
        <f t="shared" si="0"/>
        <v>0.44172878850351011</v>
      </c>
      <c r="I8" s="31">
        <f t="shared" si="1"/>
        <v>0.55827121149648995</v>
      </c>
      <c r="J8" s="30"/>
      <c r="K8" s="32">
        <v>2223420.5499999998</v>
      </c>
      <c r="L8" s="18">
        <f t="shared" si="2"/>
        <v>982148.86588530801</v>
      </c>
      <c r="M8" s="18">
        <f t="shared" si="3"/>
        <v>1241271.6841146918</v>
      </c>
      <c r="O8" s="52">
        <v>1231022.25</v>
      </c>
      <c r="P8" s="52">
        <f t="shared" si="4"/>
        <v>1241271.6841146918</v>
      </c>
      <c r="Q8" s="52">
        <f t="shared" si="5"/>
        <v>10249.434114691801</v>
      </c>
    </row>
    <row r="9" spans="3:17" x14ac:dyDescent="0.3">
      <c r="C9" s="10" t="s">
        <v>5</v>
      </c>
      <c r="D9" s="11">
        <f t="shared" si="6"/>
        <v>7307790.6700000018</v>
      </c>
      <c r="E9" s="11">
        <f>SUM('Utilismart and Northstar Reconc'!E11:F11)</f>
        <v>11815336.280000001</v>
      </c>
      <c r="F9" s="11">
        <v>19123126.950000003</v>
      </c>
      <c r="G9" s="30"/>
      <c r="H9" s="31">
        <f t="shared" si="0"/>
        <v>0.38214412784620461</v>
      </c>
      <c r="I9" s="31">
        <f t="shared" si="1"/>
        <v>0.61785587215379545</v>
      </c>
      <c r="J9" s="30"/>
      <c r="K9" s="32">
        <v>2128921.64</v>
      </c>
      <c r="L9" s="18">
        <f t="shared" si="2"/>
        <v>813554.9033707116</v>
      </c>
      <c r="M9" s="18">
        <f t="shared" si="3"/>
        <v>1315366.7366292886</v>
      </c>
      <c r="O9" s="52">
        <v>1114864.44</v>
      </c>
      <c r="P9" s="52">
        <f t="shared" si="4"/>
        <v>1315366.7366292886</v>
      </c>
      <c r="Q9" s="52">
        <f t="shared" si="5"/>
        <v>200502.2966292887</v>
      </c>
    </row>
    <row r="10" spans="3:17" x14ac:dyDescent="0.3">
      <c r="C10" s="10" t="s">
        <v>6</v>
      </c>
      <c r="D10" s="11">
        <f t="shared" si="6"/>
        <v>7906742.6899999976</v>
      </c>
      <c r="E10" s="11">
        <f>SUM('Utilismart and Northstar Reconc'!E12:F12)</f>
        <v>10927649.840000004</v>
      </c>
      <c r="F10" s="11">
        <v>18834392.530000001</v>
      </c>
      <c r="G10" s="30"/>
      <c r="H10" s="31">
        <f t="shared" si="0"/>
        <v>0.41980343551860744</v>
      </c>
      <c r="I10" s="31">
        <f t="shared" si="1"/>
        <v>0.58019656448139256</v>
      </c>
      <c r="J10" s="30"/>
      <c r="K10" s="32">
        <v>2024450.85</v>
      </c>
      <c r="L10" s="18">
        <f t="shared" si="2"/>
        <v>849871.42186856503</v>
      </c>
      <c r="M10" s="18">
        <f t="shared" si="3"/>
        <v>1174579.4281314351</v>
      </c>
      <c r="O10" s="52">
        <v>1271362.83</v>
      </c>
      <c r="P10" s="52">
        <f t="shared" si="4"/>
        <v>1174579.4281314351</v>
      </c>
      <c r="Q10" s="52">
        <f t="shared" si="5"/>
        <v>-96783.401868565008</v>
      </c>
    </row>
    <row r="11" spans="3:17" x14ac:dyDescent="0.3">
      <c r="C11" s="10" t="s">
        <v>7</v>
      </c>
      <c r="D11" s="11">
        <f t="shared" si="6"/>
        <v>8283075.2400000002</v>
      </c>
      <c r="E11" s="11">
        <f>SUM('Utilismart and Northstar Reconc'!E13:F13)</f>
        <v>10807195.610000001</v>
      </c>
      <c r="F11" s="11">
        <v>19090270.850000001</v>
      </c>
      <c r="G11" s="30"/>
      <c r="H11" s="31">
        <f t="shared" si="0"/>
        <v>0.43388987537596929</v>
      </c>
      <c r="I11" s="31">
        <f t="shared" si="1"/>
        <v>0.56611012462403065</v>
      </c>
      <c r="J11" s="30"/>
      <c r="K11" s="32">
        <v>1822728.92</v>
      </c>
      <c r="L11" s="18">
        <f t="shared" si="2"/>
        <v>790863.62394297507</v>
      </c>
      <c r="M11" s="18">
        <f t="shared" si="3"/>
        <v>1031865.2960570247</v>
      </c>
      <c r="O11" s="52">
        <v>1180063.73</v>
      </c>
      <c r="P11" s="52">
        <f t="shared" si="4"/>
        <v>1031865.2960570247</v>
      </c>
      <c r="Q11" s="52">
        <f t="shared" si="5"/>
        <v>-148198.43394297524</v>
      </c>
    </row>
    <row r="12" spans="3:17" x14ac:dyDescent="0.3">
      <c r="C12" s="10" t="s">
        <v>8</v>
      </c>
      <c r="D12" s="11">
        <f t="shared" si="6"/>
        <v>10806267.890000004</v>
      </c>
      <c r="E12" s="11">
        <f>SUM('Utilismart and Northstar Reconc'!E14:F14)</f>
        <v>9846206.5599999987</v>
      </c>
      <c r="F12" s="11">
        <v>20652474.450000003</v>
      </c>
      <c r="G12" s="30"/>
      <c r="H12" s="31">
        <f t="shared" si="0"/>
        <v>0.52324325185159604</v>
      </c>
      <c r="I12" s="31">
        <f t="shared" si="1"/>
        <v>0.47675674814840396</v>
      </c>
      <c r="J12" s="30"/>
      <c r="K12" s="32">
        <v>1715369.82</v>
      </c>
      <c r="L12" s="18">
        <f t="shared" si="2"/>
        <v>897555.68274488696</v>
      </c>
      <c r="M12" s="18">
        <f t="shared" si="3"/>
        <v>817814.13725511311</v>
      </c>
      <c r="O12" s="52">
        <v>1453201.97</v>
      </c>
      <c r="P12" s="52">
        <f t="shared" si="4"/>
        <v>817814.13725511311</v>
      </c>
      <c r="Q12" s="52">
        <f t="shared" si="5"/>
        <v>-635387.83274488687</v>
      </c>
    </row>
    <row r="13" spans="3:17" x14ac:dyDescent="0.3">
      <c r="C13" s="10" t="s">
        <v>9</v>
      </c>
      <c r="D13" s="11">
        <f t="shared" si="6"/>
        <v>11690452.09</v>
      </c>
      <c r="E13" s="11">
        <f>SUM('Utilismart and Northstar Reconc'!E15:F15)</f>
        <v>11072890.809999999</v>
      </c>
      <c r="F13" s="11">
        <v>22763342.899999999</v>
      </c>
      <c r="G13" s="30"/>
      <c r="H13" s="31">
        <f t="shared" si="0"/>
        <v>0.51356481960301181</v>
      </c>
      <c r="I13" s="31">
        <f t="shared" si="1"/>
        <v>0.48643518039698813</v>
      </c>
      <c r="J13" s="30"/>
      <c r="K13" s="32">
        <v>1616830.01</v>
      </c>
      <c r="L13" s="18">
        <f t="shared" si="2"/>
        <v>830347.0124143858</v>
      </c>
      <c r="M13" s="18">
        <f t="shared" si="3"/>
        <v>786482.9975856141</v>
      </c>
      <c r="O13" s="52">
        <v>719977.04</v>
      </c>
      <c r="P13" s="52">
        <f t="shared" si="4"/>
        <v>786482.9975856141</v>
      </c>
      <c r="Q13" s="52">
        <f t="shared" si="5"/>
        <v>66505.957585614058</v>
      </c>
    </row>
    <row r="14" spans="3:17" x14ac:dyDescent="0.3">
      <c r="C14" s="10" t="s">
        <v>10</v>
      </c>
      <c r="D14" s="11">
        <f t="shared" si="6"/>
        <v>7861821.3699999955</v>
      </c>
      <c r="E14" s="11">
        <f>SUM('Utilismart and Northstar Reconc'!E16:F16)</f>
        <v>11473097.119999999</v>
      </c>
      <c r="F14" s="11">
        <v>19334918.489999995</v>
      </c>
      <c r="G14" s="30"/>
      <c r="H14" s="31">
        <f t="shared" si="0"/>
        <v>0.40661259441389025</v>
      </c>
      <c r="I14" s="31">
        <f t="shared" si="1"/>
        <v>0.5933874055861097</v>
      </c>
      <c r="J14" s="30"/>
      <c r="K14" s="32">
        <v>1842698.05</v>
      </c>
      <c r="L14" s="18">
        <f t="shared" si="2"/>
        <v>749264.23483191652</v>
      </c>
      <c r="M14" s="18">
        <f t="shared" si="3"/>
        <v>1093433.8151680834</v>
      </c>
      <c r="O14" s="52">
        <v>1046769.6799999998</v>
      </c>
      <c r="P14" s="52">
        <f t="shared" si="4"/>
        <v>1093433.8151680834</v>
      </c>
      <c r="Q14" s="52">
        <f t="shared" si="5"/>
        <v>46664.135168083594</v>
      </c>
    </row>
    <row r="15" spans="3:17" x14ac:dyDescent="0.3">
      <c r="C15" s="10" t="s">
        <v>11</v>
      </c>
      <c r="D15" s="11">
        <f t="shared" si="6"/>
        <v>7593221.6399999987</v>
      </c>
      <c r="E15" s="11">
        <f>SUM('Utilismart and Northstar Reconc'!E17:F17)</f>
        <v>11092863.119999999</v>
      </c>
      <c r="F15" s="11">
        <v>18686084.759999998</v>
      </c>
      <c r="G15" s="30"/>
      <c r="H15" s="31">
        <f t="shared" si="0"/>
        <v>0.40635701579681799</v>
      </c>
      <c r="I15" s="31">
        <f t="shared" si="1"/>
        <v>0.59364298420318207</v>
      </c>
      <c r="J15" s="30"/>
      <c r="K15" s="32">
        <v>2097197.84</v>
      </c>
      <c r="L15" s="18">
        <f t="shared" si="2"/>
        <v>852211.05579793255</v>
      </c>
      <c r="M15" s="18">
        <f t="shared" si="3"/>
        <v>1244986.7842020674</v>
      </c>
      <c r="O15" s="52">
        <v>895178.27</v>
      </c>
      <c r="P15" s="52">
        <f t="shared" si="4"/>
        <v>1244986.7842020674</v>
      </c>
      <c r="Q15" s="52">
        <f t="shared" si="5"/>
        <v>349808.5142020674</v>
      </c>
    </row>
    <row r="16" spans="3:17" x14ac:dyDescent="0.3">
      <c r="C16" s="10" t="s">
        <v>12</v>
      </c>
      <c r="D16" s="11">
        <f t="shared" si="6"/>
        <v>8781844.4999999981</v>
      </c>
      <c r="E16" s="11">
        <f>SUM('Utilismart and Northstar Reconc'!E18:F18)</f>
        <v>10650409.970000001</v>
      </c>
      <c r="F16" s="11">
        <v>19432254.469999999</v>
      </c>
      <c r="G16" s="30"/>
      <c r="H16" s="31">
        <f t="shared" si="0"/>
        <v>0.45192103230006736</v>
      </c>
      <c r="I16" s="31">
        <f t="shared" si="1"/>
        <v>0.54807896769993258</v>
      </c>
      <c r="J16" s="30"/>
      <c r="K16" s="32">
        <v>2158830.7200000002</v>
      </c>
      <c r="L16" s="18">
        <f t="shared" si="2"/>
        <v>975621.00754349772</v>
      </c>
      <c r="M16" s="18">
        <f t="shared" si="3"/>
        <v>1183209.7124565023</v>
      </c>
      <c r="O16" s="52">
        <v>1062915.28</v>
      </c>
      <c r="P16" s="52">
        <f t="shared" si="4"/>
        <v>1183209.7124565023</v>
      </c>
      <c r="Q16" s="52">
        <f t="shared" si="5"/>
        <v>120294.43245650223</v>
      </c>
    </row>
    <row r="17" spans="3:17" x14ac:dyDescent="0.3">
      <c r="C17" s="10" t="s">
        <v>13</v>
      </c>
      <c r="D17" s="11">
        <f t="shared" si="6"/>
        <v>11199872.490000008</v>
      </c>
      <c r="E17" s="11">
        <f>SUM('Utilismart and Northstar Reconc'!E19:F19)</f>
        <v>10263408.009999992</v>
      </c>
      <c r="F17" s="11">
        <v>21463280.5</v>
      </c>
      <c r="G17" s="30"/>
      <c r="H17" s="31">
        <f t="shared" si="0"/>
        <v>0.52181550206176575</v>
      </c>
      <c r="I17" s="31">
        <f t="shared" si="1"/>
        <v>0.4781844979382342</v>
      </c>
      <c r="J17" s="30"/>
      <c r="K17" s="32">
        <v>1868969.17</v>
      </c>
      <c r="L17" s="18">
        <f t="shared" si="2"/>
        <v>975257.08578151162</v>
      </c>
      <c r="M17" s="18">
        <f t="shared" si="3"/>
        <v>893712.08421848819</v>
      </c>
      <c r="O17" s="52">
        <v>1506733.7600000002</v>
      </c>
      <c r="P17" s="52">
        <f t="shared" si="4"/>
        <v>893712.08421848819</v>
      </c>
      <c r="Q17" s="52">
        <f t="shared" si="5"/>
        <v>-613021.67578151205</v>
      </c>
    </row>
    <row r="18" spans="3:17" x14ac:dyDescent="0.3">
      <c r="C18" s="12" t="s">
        <v>19</v>
      </c>
      <c r="D18" s="13">
        <f>SUM(D6:D17)</f>
        <v>112475367.76000001</v>
      </c>
      <c r="E18" s="13">
        <f t="shared" ref="E18:F18" si="7">SUM(E6:E17)</f>
        <v>131256404.44</v>
      </c>
      <c r="F18" s="13">
        <f t="shared" si="7"/>
        <v>243731772.19999996</v>
      </c>
      <c r="G18" s="30"/>
      <c r="H18" s="12"/>
      <c r="I18" s="12"/>
      <c r="J18" s="30"/>
      <c r="K18" s="55">
        <f>SUM(K6:K17)</f>
        <v>23623969.890000001</v>
      </c>
      <c r="L18" s="19">
        <f>SUM(L6:L17)</f>
        <v>10781657.665592898</v>
      </c>
      <c r="M18" s="19">
        <f>SUM(M6:M17)</f>
        <v>12842312.224407099</v>
      </c>
      <c r="N18" s="41"/>
      <c r="O18" s="53">
        <v>13517111.149999999</v>
      </c>
      <c r="P18" s="53">
        <f t="shared" si="4"/>
        <v>12842312.224407099</v>
      </c>
      <c r="Q18" s="54">
        <f>P18-O18</f>
        <v>-674798.92559289932</v>
      </c>
    </row>
  </sheetData>
  <mergeCells count="1">
    <mergeCell ref="O4:Q4"/>
  </mergeCells>
  <pageMargins left="0.7" right="0.7" top="0.75" bottom="0.75" header="0.3" footer="0.3"/>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1589 Balance</vt:lpstr>
      <vt:lpstr>Revenue</vt:lpstr>
      <vt:lpstr>Expenses</vt:lpstr>
      <vt:lpstr>Utilismart and Northstar Reconc</vt:lpstr>
      <vt:lpstr>GA Analysis Workform Adjustment</vt:lpstr>
      <vt:lpstr>Adjusted 1589 Balance</vt:lpstr>
      <vt:lpstr>'1589 Balance'!Print_Area</vt:lpstr>
      <vt:lpstr>Expenses!Print_Area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Giddings</dc:creator>
  <cp:lastModifiedBy>Katherine Wang</cp:lastModifiedBy>
  <cp:lastPrinted>2017-10-16T13:21:19Z</cp:lastPrinted>
  <dcterms:created xsi:type="dcterms:W3CDTF">2017-09-22T17:10:13Z</dcterms:created>
  <dcterms:modified xsi:type="dcterms:W3CDTF">2017-10-16T15:25:10Z</dcterms:modified>
</cp:coreProperties>
</file>