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1AED2BDD-1FA3-CEF2-32D4-FBADEFEB71EE}"/>
  <workbookPr codeName="ThisWorkbook"/>
  <mc:AlternateContent xmlns:mc="http://schemas.openxmlformats.org/markup-compatibility/2006">
    <mc:Choice Requires="x15">
      <x15ac:absPath xmlns:x15ac="http://schemas.microsoft.com/office/spreadsheetml/2010/11/ac" url="S:\Finance\Rates\_Alectra\Rate Applications\EDR Rate Applications\2021 EDR Application\0. Application and Adjudication Process\A. Complete Application and Evidence\Attachments\"/>
    </mc:Choice>
  </mc:AlternateContent>
  <xr:revisionPtr revIDLastSave="0" documentId="13_ncr:1_{106EFBBF-DD2B-4321-9C4C-CE94714CD3FC}" xr6:coauthVersionLast="45" xr6:coauthVersionMax="45" xr10:uidLastSave="{00000000-0000-0000-0000-000000000000}"/>
  <workbookProtection workbookPassword="F8BD" lockStructure="1"/>
  <bookViews>
    <workbookView xWindow="-60" yWindow="-60" windowWidth="28920" windowHeight="15720" activeTab="2" xr2:uid="{00000000-000D-0000-FFFF-FFFF00000000}"/>
  </bookViews>
  <sheets>
    <sheet name="lists" sheetId="4"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definedNames>
    <definedName name="_xlnm._FilterDatabase" localSheetId="0" hidden="1">lists!$I$1:$I$123</definedName>
    <definedName name="BI_LDCLIST">'2. Rate Class Selection'!$B$19:$B$20</definedName>
    <definedName name="CustomerAdministration">lists!$Z$1:$Z$36</definedName>
    <definedName name="d" localSheetId="13">'8. Threshold Test'!$E$51</definedName>
    <definedName name="d" localSheetId="10">'8. Threshold Test'!$E$51</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3">'2. Rate Class Selection'!$A$1:$N$32</definedName>
    <definedName name="_xlnm.Print_Area" localSheetId="6">'5. Rev_Requ_Check'!$A$1:$H$65</definedName>
    <definedName name="Rate_Class">lists!$A$2:$A$50</definedName>
    <definedName name="RB" localSheetId="13">'8. Threshold Test'!$E$49</definedName>
    <definedName name="RB" localSheetId="10">'8. Threshold Test'!$E$49</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4" i="13" l="1"/>
  <c r="H64" i="13"/>
  <c r="I65" i="13" l="1"/>
  <c r="H65" i="13"/>
  <c r="D24" i="6" l="1"/>
  <c r="M26" i="15" l="1"/>
  <c r="L26" i="15"/>
  <c r="K26" i="15"/>
  <c r="M25" i="15"/>
  <c r="L25" i="15"/>
  <c r="K25" i="15"/>
  <c r="M24" i="15"/>
  <c r="L24" i="15"/>
  <c r="K24" i="15"/>
  <c r="M23" i="15"/>
  <c r="L23" i="15"/>
  <c r="K23" i="15"/>
  <c r="M22" i="15"/>
  <c r="L22" i="15"/>
  <c r="K22" i="15"/>
  <c r="M21" i="15"/>
  <c r="L21" i="15"/>
  <c r="K21" i="15"/>
  <c r="M20" i="15"/>
  <c r="L20" i="15"/>
  <c r="K20" i="15"/>
  <c r="M19" i="15"/>
  <c r="L19" i="15"/>
  <c r="K19" i="15"/>
  <c r="M18" i="15"/>
  <c r="L18" i="15"/>
  <c r="K18" i="15"/>
  <c r="M17" i="15"/>
  <c r="L17" i="15"/>
  <c r="K17" i="15"/>
  <c r="M26" i="10"/>
  <c r="L26" i="10"/>
  <c r="I26" i="10"/>
  <c r="H26" i="10"/>
  <c r="G26" i="10"/>
  <c r="K26" i="10" s="1"/>
  <c r="E26" i="10"/>
  <c r="D26" i="10"/>
  <c r="C26" i="10"/>
  <c r="I25" i="10"/>
  <c r="H25" i="10"/>
  <c r="G25" i="10"/>
  <c r="K25" i="10" s="1"/>
  <c r="E25" i="10"/>
  <c r="M25" i="10" s="1"/>
  <c r="D25" i="10"/>
  <c r="C25" i="10"/>
  <c r="I24" i="10"/>
  <c r="H24" i="10"/>
  <c r="G24" i="10"/>
  <c r="K24" i="10" s="1"/>
  <c r="E24" i="10"/>
  <c r="D24" i="10"/>
  <c r="L24" i="10" s="1"/>
  <c r="C24" i="10"/>
  <c r="I23" i="10"/>
  <c r="M23" i="10" s="1"/>
  <c r="H23" i="10"/>
  <c r="L23" i="10" s="1"/>
  <c r="G23" i="10"/>
  <c r="E23" i="10"/>
  <c r="D23" i="10"/>
  <c r="C23" i="10"/>
  <c r="I22" i="10"/>
  <c r="M22" i="10" s="1"/>
  <c r="H22" i="10"/>
  <c r="G22" i="10"/>
  <c r="K22" i="10" s="1"/>
  <c r="E22" i="10"/>
  <c r="D22" i="10"/>
  <c r="C22" i="10"/>
  <c r="L21" i="10"/>
  <c r="I21" i="10"/>
  <c r="H21" i="10"/>
  <c r="G21" i="10"/>
  <c r="E21" i="10"/>
  <c r="D21" i="10"/>
  <c r="C21" i="10"/>
  <c r="L20" i="10"/>
  <c r="I20" i="10"/>
  <c r="H20" i="10"/>
  <c r="G20" i="10"/>
  <c r="E20" i="10"/>
  <c r="M20" i="10" s="1"/>
  <c r="D20" i="10"/>
  <c r="C20" i="10"/>
  <c r="I19" i="10"/>
  <c r="M19" i="10" s="1"/>
  <c r="H19" i="10"/>
  <c r="G19" i="10"/>
  <c r="E19" i="10"/>
  <c r="D19" i="10"/>
  <c r="L19" i="10" s="1"/>
  <c r="C19" i="10"/>
  <c r="I18" i="10"/>
  <c r="M18" i="10" s="1"/>
  <c r="H18" i="10"/>
  <c r="G18" i="10"/>
  <c r="E18" i="10"/>
  <c r="D18" i="10"/>
  <c r="C18" i="10"/>
  <c r="I17" i="10"/>
  <c r="M17" i="10" s="1"/>
  <c r="H17" i="10"/>
  <c r="L17" i="10" s="1"/>
  <c r="G17" i="10"/>
  <c r="E17" i="10"/>
  <c r="D17" i="10"/>
  <c r="C17" i="10"/>
  <c r="E27" i="9"/>
  <c r="D27" i="9"/>
  <c r="C27" i="9"/>
  <c r="L26" i="9"/>
  <c r="K26" i="9"/>
  <c r="I26" i="9"/>
  <c r="M26" i="9" s="1"/>
  <c r="H26" i="9"/>
  <c r="G26" i="9"/>
  <c r="M25" i="9"/>
  <c r="I25" i="9"/>
  <c r="H25" i="9"/>
  <c r="L25" i="9" s="1"/>
  <c r="G25" i="9"/>
  <c r="K25" i="9" s="1"/>
  <c r="K24" i="9"/>
  <c r="I24" i="9"/>
  <c r="M24" i="9" s="1"/>
  <c r="H24" i="9"/>
  <c r="L24" i="9" s="1"/>
  <c r="G24" i="9"/>
  <c r="L23" i="9"/>
  <c r="I23" i="9"/>
  <c r="M23" i="9" s="1"/>
  <c r="H23" i="9"/>
  <c r="G23" i="9"/>
  <c r="K23" i="9" s="1"/>
  <c r="I22" i="9"/>
  <c r="M22" i="9" s="1"/>
  <c r="H22" i="9"/>
  <c r="L22" i="9" s="1"/>
  <c r="G22" i="9"/>
  <c r="K22" i="9" s="1"/>
  <c r="L21" i="9"/>
  <c r="I21" i="9"/>
  <c r="M21" i="9" s="1"/>
  <c r="H21" i="9"/>
  <c r="G21" i="9"/>
  <c r="K21" i="9" s="1"/>
  <c r="L20" i="9"/>
  <c r="K20" i="9"/>
  <c r="I20" i="9"/>
  <c r="M20" i="9" s="1"/>
  <c r="H20" i="9"/>
  <c r="G20" i="9"/>
  <c r="L19" i="9"/>
  <c r="I19" i="9"/>
  <c r="M19" i="9" s="1"/>
  <c r="H19" i="9"/>
  <c r="G19" i="9"/>
  <c r="K19" i="9" s="1"/>
  <c r="M18" i="9"/>
  <c r="I18" i="9"/>
  <c r="H18" i="9"/>
  <c r="L18" i="9" s="1"/>
  <c r="G18" i="9"/>
  <c r="K18" i="9" s="1"/>
  <c r="M17" i="9"/>
  <c r="I17" i="9"/>
  <c r="H17" i="9"/>
  <c r="L17" i="9" s="1"/>
  <c r="G17" i="9"/>
  <c r="K17" i="9" s="1"/>
  <c r="K26" i="7"/>
  <c r="I26" i="7"/>
  <c r="M26" i="7" s="1"/>
  <c r="N26" i="7" s="1"/>
  <c r="H26" i="7"/>
  <c r="G26" i="7"/>
  <c r="E26" i="7"/>
  <c r="D26" i="7"/>
  <c r="L26" i="7" s="1"/>
  <c r="C26" i="7"/>
  <c r="I25" i="7"/>
  <c r="M25" i="7" s="1"/>
  <c r="H25" i="7"/>
  <c r="G25" i="7"/>
  <c r="E25" i="7"/>
  <c r="D25" i="7"/>
  <c r="C25" i="7"/>
  <c r="I24" i="7"/>
  <c r="H24" i="7"/>
  <c r="G24" i="7"/>
  <c r="E24" i="7"/>
  <c r="D24" i="7"/>
  <c r="C24" i="7"/>
  <c r="I23" i="7"/>
  <c r="H23" i="7"/>
  <c r="G23" i="7"/>
  <c r="E23" i="7"/>
  <c r="D23" i="7"/>
  <c r="L23" i="7" s="1"/>
  <c r="C23" i="7"/>
  <c r="I22" i="7"/>
  <c r="M22" i="7" s="1"/>
  <c r="H22" i="7"/>
  <c r="L22" i="7" s="1"/>
  <c r="G22" i="7"/>
  <c r="E22" i="7"/>
  <c r="D22" i="7"/>
  <c r="C22" i="7"/>
  <c r="K22" i="7" s="1"/>
  <c r="I21" i="7"/>
  <c r="H21" i="7"/>
  <c r="G21" i="7"/>
  <c r="E21" i="7"/>
  <c r="D21" i="7"/>
  <c r="C21" i="7"/>
  <c r="I20" i="7"/>
  <c r="M20" i="7" s="1"/>
  <c r="H20" i="7"/>
  <c r="G20" i="7"/>
  <c r="E20" i="7"/>
  <c r="D20" i="7"/>
  <c r="C20" i="7"/>
  <c r="K20" i="7" s="1"/>
  <c r="I19" i="7"/>
  <c r="H19" i="7"/>
  <c r="L19" i="7" s="1"/>
  <c r="G19" i="7"/>
  <c r="E19" i="7"/>
  <c r="D19" i="7"/>
  <c r="C19" i="7"/>
  <c r="K19" i="7" s="1"/>
  <c r="I18" i="7"/>
  <c r="M18" i="7" s="1"/>
  <c r="H18" i="7"/>
  <c r="G18" i="7"/>
  <c r="E18" i="7"/>
  <c r="D18" i="7"/>
  <c r="C18" i="7"/>
  <c r="M17" i="7"/>
  <c r="I17" i="7"/>
  <c r="H17" i="7"/>
  <c r="G17" i="7"/>
  <c r="E17" i="7"/>
  <c r="D17" i="7"/>
  <c r="C17" i="7"/>
  <c r="L20" i="7" l="1"/>
  <c r="K20" i="10"/>
  <c r="K21" i="10"/>
  <c r="L22" i="10"/>
  <c r="N22" i="10" s="1"/>
  <c r="N26" i="10"/>
  <c r="L18" i="7"/>
  <c r="K21" i="7"/>
  <c r="K24" i="7"/>
  <c r="L21" i="7"/>
  <c r="M21" i="7"/>
  <c r="L24" i="7"/>
  <c r="K18" i="10"/>
  <c r="K27" i="10" s="1"/>
  <c r="K19" i="10"/>
  <c r="M21" i="10"/>
  <c r="K23" i="10"/>
  <c r="L25" i="10"/>
  <c r="N25" i="10" s="1"/>
  <c r="M19" i="7"/>
  <c r="E27" i="7"/>
  <c r="M24" i="10"/>
  <c r="M27" i="10" s="1"/>
  <c r="M27" i="15"/>
  <c r="M24" i="7"/>
  <c r="N23" i="9"/>
  <c r="N26" i="9"/>
  <c r="N25" i="9"/>
  <c r="L25" i="7"/>
  <c r="K25" i="7"/>
  <c r="N24" i="9"/>
  <c r="P26" i="7"/>
  <c r="Q26" i="7"/>
  <c r="R26" i="7"/>
  <c r="K23" i="7"/>
  <c r="L27" i="9"/>
  <c r="N22" i="9"/>
  <c r="N21" i="9"/>
  <c r="N21" i="10"/>
  <c r="N20" i="9"/>
  <c r="M27" i="9"/>
  <c r="N19" i="9"/>
  <c r="N18" i="9"/>
  <c r="L18" i="10"/>
  <c r="L27" i="10" s="1"/>
  <c r="K18" i="7"/>
  <c r="K27" i="9"/>
  <c r="N17" i="9"/>
  <c r="K17" i="10"/>
  <c r="N17" i="10" s="1"/>
  <c r="N22" i="7"/>
  <c r="P22" i="7" s="1"/>
  <c r="N23" i="10"/>
  <c r="N24" i="10"/>
  <c r="C27" i="7"/>
  <c r="K27" i="15"/>
  <c r="M23" i="7"/>
  <c r="N23" i="7" s="1"/>
  <c r="N19" i="10"/>
  <c r="N19" i="7"/>
  <c r="R19" i="7" s="1"/>
  <c r="N20" i="10"/>
  <c r="Q22" i="7"/>
  <c r="D27" i="7"/>
  <c r="N20" i="7"/>
  <c r="Q20" i="7" s="1"/>
  <c r="N21" i="7"/>
  <c r="Q21" i="7" s="1"/>
  <c r="L27" i="15"/>
  <c r="L17" i="7"/>
  <c r="N18" i="10"/>
  <c r="N18" i="7"/>
  <c r="P18" i="7" s="1"/>
  <c r="K17" i="7"/>
  <c r="M27" i="7" l="1"/>
  <c r="N25" i="7"/>
  <c r="Q25" i="7" s="1"/>
  <c r="N24" i="7"/>
  <c r="Q24" i="7" s="1"/>
  <c r="L27" i="7"/>
  <c r="R22" i="7"/>
  <c r="P19" i="7"/>
  <c r="N27" i="9"/>
  <c r="Q19" i="7"/>
  <c r="P23" i="7"/>
  <c r="R23" i="7"/>
  <c r="Q23" i="7"/>
  <c r="P25" i="7"/>
  <c r="R25" i="7"/>
  <c r="P24" i="7"/>
  <c r="R21" i="7"/>
  <c r="P21" i="7"/>
  <c r="R20" i="7"/>
  <c r="P20" i="7"/>
  <c r="K27" i="7"/>
  <c r="N17" i="7"/>
  <c r="Q18" i="7"/>
  <c r="R18" i="7"/>
  <c r="N27" i="10"/>
  <c r="S17" i="10" s="1"/>
  <c r="R24" i="7" l="1"/>
  <c r="S25" i="9"/>
  <c r="S21" i="9"/>
  <c r="Q25" i="9"/>
  <c r="Q23" i="9"/>
  <c r="Q21" i="9"/>
  <c r="Q19" i="9"/>
  <c r="Q17" i="9"/>
  <c r="S24" i="9"/>
  <c r="S20" i="9"/>
  <c r="R26" i="9"/>
  <c r="P25" i="9"/>
  <c r="R24" i="9"/>
  <c r="P23" i="9"/>
  <c r="R22" i="9"/>
  <c r="P21" i="9"/>
  <c r="R20" i="9"/>
  <c r="P19" i="9"/>
  <c r="R18" i="9"/>
  <c r="E19" i="11"/>
  <c r="S23" i="9"/>
  <c r="S19" i="9"/>
  <c r="Q26" i="9"/>
  <c r="Q24" i="9"/>
  <c r="Q22" i="9"/>
  <c r="Q20" i="9"/>
  <c r="Q18" i="9"/>
  <c r="S26" i="9"/>
  <c r="S22" i="9"/>
  <c r="S18" i="9"/>
  <c r="P26" i="9"/>
  <c r="R25" i="9"/>
  <c r="P24" i="9"/>
  <c r="R23" i="9"/>
  <c r="P22" i="9"/>
  <c r="R21" i="9"/>
  <c r="P20" i="9"/>
  <c r="R19" i="9"/>
  <c r="P18" i="9"/>
  <c r="R17" i="9"/>
  <c r="P17" i="9"/>
  <c r="S17" i="9"/>
  <c r="Q17" i="7"/>
  <c r="N27" i="7"/>
  <c r="S17" i="7" s="1"/>
  <c r="R17" i="7"/>
  <c r="R26" i="10"/>
  <c r="E26" i="15" s="1"/>
  <c r="Q25" i="10"/>
  <c r="D25" i="15" s="1"/>
  <c r="P24" i="10"/>
  <c r="C24" i="15" s="1"/>
  <c r="R22" i="10"/>
  <c r="E22" i="15" s="1"/>
  <c r="Q21" i="10"/>
  <c r="D21" i="15" s="1"/>
  <c r="P20" i="10"/>
  <c r="C20" i="15" s="1"/>
  <c r="R18" i="10"/>
  <c r="E18" i="15" s="1"/>
  <c r="Q17" i="10"/>
  <c r="D17" i="15" s="1"/>
  <c r="S24" i="10"/>
  <c r="S20" i="10"/>
  <c r="Q24" i="10"/>
  <c r="D24" i="15" s="1"/>
  <c r="P19" i="10"/>
  <c r="C19" i="15" s="1"/>
  <c r="S21" i="10"/>
  <c r="Q26" i="10"/>
  <c r="D26" i="15" s="1"/>
  <c r="P25" i="10"/>
  <c r="C25" i="15" s="1"/>
  <c r="R23" i="10"/>
  <c r="E23" i="15" s="1"/>
  <c r="Q22" i="10"/>
  <c r="D22" i="15" s="1"/>
  <c r="P21" i="10"/>
  <c r="C21" i="15" s="1"/>
  <c r="R19" i="10"/>
  <c r="E19" i="15" s="1"/>
  <c r="Q18" i="10"/>
  <c r="D18" i="15" s="1"/>
  <c r="S23" i="10"/>
  <c r="S19" i="10"/>
  <c r="R21" i="10"/>
  <c r="E21" i="15" s="1"/>
  <c r="S25" i="10"/>
  <c r="P26" i="10"/>
  <c r="C26" i="15" s="1"/>
  <c r="R24" i="10"/>
  <c r="E24" i="15" s="1"/>
  <c r="Q23" i="10"/>
  <c r="D23" i="15" s="1"/>
  <c r="P22" i="10"/>
  <c r="C22" i="15" s="1"/>
  <c r="R20" i="10"/>
  <c r="E20" i="15" s="1"/>
  <c r="Q19" i="10"/>
  <c r="D19" i="15" s="1"/>
  <c r="S26" i="10"/>
  <c r="S22" i="10"/>
  <c r="R25" i="10"/>
  <c r="E25" i="15" s="1"/>
  <c r="P23" i="10"/>
  <c r="C23" i="15" s="1"/>
  <c r="Q20" i="10"/>
  <c r="D20" i="15" s="1"/>
  <c r="R17" i="10"/>
  <c r="E17" i="15" s="1"/>
  <c r="P18" i="10"/>
  <c r="C18" i="15" s="1"/>
  <c r="P17" i="10"/>
  <c r="C17" i="15" s="1"/>
  <c r="S18" i="10"/>
  <c r="P17" i="7"/>
  <c r="S27" i="9" l="1"/>
  <c r="S27" i="10"/>
  <c r="E27" i="15"/>
  <c r="D27" i="15"/>
  <c r="S26" i="7"/>
  <c r="S22" i="7"/>
  <c r="S23" i="7"/>
  <c r="S25" i="7"/>
  <c r="S21" i="7"/>
  <c r="E18" i="11"/>
  <c r="E65" i="8"/>
  <c r="S24" i="7"/>
  <c r="S20" i="7"/>
  <c r="S19" i="7"/>
  <c r="S18" i="7"/>
  <c r="C27" i="15"/>
  <c r="S27" i="7" l="1"/>
  <c r="G124" i="13" l="1"/>
  <c r="F23" i="14" l="1"/>
  <c r="D46" i="13" l="1"/>
  <c r="G89" i="13" l="1"/>
  <c r="D89" i="13" l="1"/>
  <c r="B15" i="16" l="1"/>
  <c r="C15" i="16" s="1"/>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l="1"/>
  <c r="C27" i="16"/>
  <c r="D15" i="16"/>
  <c r="D27" i="16" l="1"/>
  <c r="E15" i="16"/>
  <c r="E23" i="14"/>
  <c r="E12" i="14"/>
  <c r="C47" i="14"/>
  <c r="C40" i="14"/>
  <c r="C39" i="14"/>
  <c r="C37" i="14"/>
  <c r="C36" i="14"/>
  <c r="F15" i="16" l="1"/>
  <c r="E27" i="16"/>
  <c r="J28" i="3"/>
  <c r="G15" i="16" l="1"/>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C25" i="14"/>
  <c r="C27" i="14"/>
  <c r="G27" i="16" l="1"/>
  <c r="H15" i="16"/>
  <c r="E46" i="13"/>
  <c r="H85" i="13"/>
  <c r="C26" i="14"/>
  <c r="I15" i="16" l="1"/>
  <c r="H27" i="16"/>
  <c r="J15" i="16" l="1"/>
  <c r="I27" i="16"/>
  <c r="K15" i="16" l="1"/>
  <c r="J27" i="16"/>
  <c r="L15" i="16" l="1"/>
  <c r="L27" i="16" s="1"/>
  <c r="K27" i="16"/>
  <c r="E14" i="11" l="1"/>
  <c r="C9" i="11"/>
  <c r="C14" i="10"/>
  <c r="G15" i="6" l="1"/>
  <c r="E46" i="11" l="1"/>
  <c r="E45" i="11"/>
  <c r="E47" i="11" s="1"/>
  <c r="E36" i="11"/>
  <c r="E35" i="11"/>
  <c r="E34" i="11"/>
  <c r="E51" i="11" s="1"/>
  <c r="E33" i="11"/>
  <c r="E28" i="11"/>
  <c r="E27" i="11"/>
  <c r="E26" i="11"/>
  <c r="E25" i="11"/>
  <c r="E24" i="11"/>
  <c r="E23" i="11"/>
  <c r="E60" i="8"/>
  <c r="E55" i="8"/>
  <c r="C38" i="8"/>
  <c r="C45" i="14" s="1"/>
  <c r="E31" i="8"/>
  <c r="C23" i="8"/>
  <c r="E37" i="11" s="1"/>
  <c r="E39" i="11" s="1"/>
  <c r="C16" i="8"/>
  <c r="E17" i="8" s="1"/>
  <c r="G14" i="9"/>
  <c r="E24" i="8" l="1"/>
  <c r="E26" i="8" s="1"/>
  <c r="E33" i="8" s="1"/>
  <c r="E29" i="11"/>
  <c r="E31" i="11" s="1"/>
  <c r="E41" i="11" s="1"/>
  <c r="E49" i="11" s="1"/>
  <c r="G14" i="7"/>
  <c r="E38" i="8" l="1"/>
  <c r="E42" i="8" s="1"/>
  <c r="E36" i="8"/>
  <c r="E40" i="8" s="1"/>
  <c r="E37" i="8"/>
  <c r="E41" i="8" s="1"/>
  <c r="E43" i="8" l="1"/>
  <c r="E62" i="8" s="1"/>
  <c r="E18" i="14" s="1"/>
  <c r="F34" i="3"/>
  <c r="C15" i="13" s="1"/>
  <c r="D15" i="13" l="1"/>
  <c r="C23" i="13"/>
  <c r="C8" i="8"/>
  <c r="A12" i="7"/>
  <c r="E13" i="11"/>
  <c r="A32" i="3"/>
  <c r="G15" i="13" l="1"/>
  <c r="D23" i="13"/>
  <c r="C63" i="11"/>
  <c r="C75" i="11" s="1"/>
  <c r="C60" i="11"/>
  <c r="C72" i="11" s="1"/>
  <c r="C59" i="11"/>
  <c r="C71" i="11" s="1"/>
  <c r="C62" i="11"/>
  <c r="C74" i="11" s="1"/>
  <c r="C54" i="11"/>
  <c r="C66" i="11" s="1"/>
  <c r="C61" i="11"/>
  <c r="C73" i="11" s="1"/>
  <c r="C56" i="11"/>
  <c r="C68" i="11" s="1"/>
  <c r="C55" i="11"/>
  <c r="C67" i="11" s="1"/>
  <c r="C58" i="11"/>
  <c r="C70" i="11" s="1"/>
  <c r="C57" i="11"/>
  <c r="C69" i="11" s="1"/>
  <c r="AY17" i="4"/>
  <c r="AY15" i="4"/>
  <c r="AZ15" i="4" s="1"/>
  <c r="AZ16" i="4" s="1"/>
  <c r="AW15" i="4"/>
  <c r="AW16" i="4" s="1"/>
  <c r="BB14" i="4"/>
  <c r="AY11" i="4"/>
  <c r="AY9" i="4"/>
  <c r="AZ9" i="4" s="1"/>
  <c r="AW9" i="4"/>
  <c r="AW10" i="4" s="1"/>
  <c r="AW11" i="4" s="1"/>
  <c r="BB8" i="4"/>
  <c r="AY6" i="4"/>
  <c r="AX6" i="4"/>
  <c r="AZ6" i="4" s="1"/>
  <c r="AW6" i="4"/>
  <c r="AY4" i="4"/>
  <c r="AZ4" i="4" s="1"/>
  <c r="AX4" i="4"/>
  <c r="AW4" i="4"/>
  <c r="AY3" i="4"/>
  <c r="AX3" i="4"/>
  <c r="AZ3" i="4" s="1"/>
  <c r="BB3" i="4" s="1"/>
  <c r="BC3" i="4" s="1"/>
  <c r="AW3" i="4"/>
  <c r="AY2" i="4"/>
  <c r="AX2" i="4"/>
  <c r="AW2" i="4"/>
  <c r="C1" i="4"/>
  <c r="AZ2" i="4" l="1"/>
  <c r="BB6" i="4"/>
  <c r="BC6" i="4" s="1"/>
  <c r="AW5" i="4"/>
  <c r="BB4" i="4"/>
  <c r="BC4" i="4" s="1"/>
  <c r="J15" i="13"/>
  <c r="G23" i="13"/>
  <c r="AW17" i="4"/>
  <c r="AW18" i="4" s="1"/>
  <c r="BB9" i="4"/>
  <c r="BC9" i="4" s="1"/>
  <c r="AZ10" i="4"/>
  <c r="AZ17" i="4"/>
  <c r="BB16" i="4"/>
  <c r="BC16" i="4" s="1"/>
  <c r="BB2" i="4"/>
  <c r="BC2" i="4" s="1"/>
  <c r="AZ5" i="4"/>
  <c r="AW12" i="4"/>
  <c r="BB15" i="4"/>
  <c r="BC15" i="4" s="1"/>
  <c r="BB17" i="4" l="1"/>
  <c r="BC17" i="4" s="1"/>
  <c r="BB5" i="4"/>
  <c r="BC5" i="4" s="1"/>
  <c r="M15" i="13"/>
  <c r="J23" i="13"/>
  <c r="AZ11" i="4"/>
  <c r="BB11" i="4" s="1"/>
  <c r="BC11" i="4" s="1"/>
  <c r="BB10" i="4"/>
  <c r="BC10" i="4" s="1"/>
  <c r="AZ18" i="4"/>
  <c r="BB18" i="4" s="1"/>
  <c r="BC18" i="4" s="1"/>
  <c r="D54" i="13" l="1"/>
  <c r="M23" i="13"/>
  <c r="AZ12" i="4"/>
  <c r="BB12" i="4" s="1"/>
  <c r="BC12" i="4" s="1"/>
  <c r="G54" i="13" l="1"/>
  <c r="D62" i="13"/>
  <c r="F46" i="3"/>
  <c r="E16" i="11" s="1"/>
  <c r="F38" i="3"/>
  <c r="A30" i="3"/>
  <c r="A28" i="3"/>
  <c r="AA1" i="3"/>
  <c r="J54" i="13" l="1"/>
  <c r="G62" i="13"/>
  <c r="F49" i="3"/>
  <c r="M54" i="13" l="1"/>
  <c r="J62" i="13"/>
  <c r="C19" i="11"/>
  <c r="C14" i="9"/>
  <c r="A12" i="9"/>
  <c r="F48" i="3"/>
  <c r="I49" i="3"/>
  <c r="D93" i="13" l="1"/>
  <c r="M62" i="13"/>
  <c r="I48" i="3"/>
  <c r="E20" i="11" s="1"/>
  <c r="C18" i="11"/>
  <c r="C15" i="6"/>
  <c r="A13" i="6"/>
  <c r="E55" i="11" l="1"/>
  <c r="E67" i="11" s="1"/>
  <c r="E61" i="11"/>
  <c r="E73" i="11" s="1"/>
  <c r="E62" i="11"/>
  <c r="E74" i="11" s="1"/>
  <c r="K18" i="16" s="1"/>
  <c r="E57" i="11"/>
  <c r="E69" i="11" s="1"/>
  <c r="E63" i="11"/>
  <c r="E75" i="11" s="1"/>
  <c r="L18" i="16" s="1"/>
  <c r="E58" i="11"/>
  <c r="E70" i="11" s="1"/>
  <c r="E60" i="11"/>
  <c r="E72" i="11" s="1"/>
  <c r="E59" i="11"/>
  <c r="E71" i="11" s="1"/>
  <c r="E54" i="11"/>
  <c r="E66" i="11" s="1"/>
  <c r="E56" i="11"/>
  <c r="E68" i="11" s="1"/>
  <c r="G93" i="13"/>
  <c r="G101" i="13" s="1"/>
  <c r="D101" i="13"/>
  <c r="G14" i="10"/>
  <c r="C14" i="7"/>
  <c r="G57" i="13" l="1"/>
  <c r="G59" i="13" s="1"/>
  <c r="G87" i="13" s="1"/>
  <c r="H18" i="16"/>
  <c r="M18" i="13"/>
  <c r="M20" i="13" s="1"/>
  <c r="M48" i="13" s="1"/>
  <c r="F18" i="16"/>
  <c r="J57" i="13"/>
  <c r="J59" i="13" s="1"/>
  <c r="J87" i="13" s="1"/>
  <c r="I18" i="16"/>
  <c r="K20" i="16"/>
  <c r="K22" i="16"/>
  <c r="K51" i="16" s="1"/>
  <c r="J18" i="13"/>
  <c r="J20" i="13" s="1"/>
  <c r="J48" i="13" s="1"/>
  <c r="E18" i="16"/>
  <c r="D57" i="13"/>
  <c r="D59" i="13" s="1"/>
  <c r="D87" i="13" s="1"/>
  <c r="G18" i="16"/>
  <c r="G96" i="13"/>
  <c r="G98" i="13" s="1"/>
  <c r="G126" i="13" s="1"/>
  <c r="D96" i="13"/>
  <c r="D98" i="13" s="1"/>
  <c r="D126" i="13" s="1"/>
  <c r="M57" i="13"/>
  <c r="M59" i="13" s="1"/>
  <c r="M87" i="13" s="1"/>
  <c r="J18" i="16"/>
  <c r="D18" i="13"/>
  <c r="D20" i="13" s="1"/>
  <c r="D48" i="13" s="1"/>
  <c r="C18" i="16"/>
  <c r="L22" i="16"/>
  <c r="L51" i="16" s="1"/>
  <c r="L20" i="16"/>
  <c r="G18" i="13"/>
  <c r="G20" i="13" s="1"/>
  <c r="G48" i="13" s="1"/>
  <c r="D18" i="16"/>
  <c r="E25" i="14"/>
  <c r="E27" i="14" l="1"/>
  <c r="E64" i="14" s="1"/>
  <c r="E26" i="14"/>
  <c r="E33" i="14" s="1"/>
  <c r="E55" i="14" s="1"/>
  <c r="E32" i="14"/>
  <c r="J20" i="16"/>
  <c r="J22" i="16"/>
  <c r="J51" i="16" s="1"/>
  <c r="G22" i="16"/>
  <c r="G51" i="16" s="1"/>
  <c r="G20" i="16"/>
  <c r="F20" i="16"/>
  <c r="F22" i="16"/>
  <c r="F51" i="16" s="1"/>
  <c r="D22" i="16"/>
  <c r="D51" i="16" s="1"/>
  <c r="D20" i="16"/>
  <c r="C22" i="16"/>
  <c r="C51" i="16" s="1"/>
  <c r="C20" i="16"/>
  <c r="E22" i="16"/>
  <c r="E51" i="16" s="1"/>
  <c r="E20" i="16"/>
  <c r="I20" i="16"/>
  <c r="I22" i="16"/>
  <c r="I51" i="16" s="1"/>
  <c r="H20" i="16"/>
  <c r="H22" i="16"/>
  <c r="H51" i="16" s="1"/>
  <c r="E34" i="14" l="1"/>
  <c r="E36" i="14" s="1"/>
  <c r="E39" i="14" s="1"/>
  <c r="E89" i="14"/>
  <c r="E62" i="14"/>
  <c r="E37" i="14" l="1"/>
  <c r="E40" i="14" s="1"/>
  <c r="E42" i="14" s="1"/>
  <c r="E45" i="14"/>
  <c r="E47" i="14" s="1"/>
  <c r="E60" i="14" s="1"/>
  <c r="E66" i="14" s="1"/>
  <c r="E70" i="14" s="1"/>
  <c r="E72" i="14" s="1"/>
  <c r="E90" i="14" s="1"/>
  <c r="E49" i="14" l="1"/>
  <c r="E88" i="14" s="1"/>
  <c r="E93" i="14" s="1"/>
  <c r="I28" i="15" s="1"/>
  <c r="G26" i="15" s="1"/>
  <c r="P26" i="15" s="1"/>
  <c r="H24" i="15" l="1"/>
  <c r="Q24" i="15" s="1"/>
  <c r="H21" i="15"/>
  <c r="Q21" i="15" s="1"/>
  <c r="F20" i="15"/>
  <c r="O20" i="15" s="1"/>
  <c r="H17" i="15"/>
  <c r="F26" i="15"/>
  <c r="O26" i="15" s="1"/>
  <c r="G21" i="15"/>
  <c r="P21" i="15" s="1"/>
  <c r="F18" i="15"/>
  <c r="O18" i="15" s="1"/>
  <c r="F19" i="15"/>
  <c r="O19" i="15" s="1"/>
  <c r="G24" i="15"/>
  <c r="P24" i="15" s="1"/>
  <c r="G17" i="15"/>
  <c r="H22" i="15"/>
  <c r="Q22" i="15" s="1"/>
  <c r="H20" i="15"/>
  <c r="Q20" i="15" s="1"/>
  <c r="F23" i="15"/>
  <c r="O23" i="15" s="1"/>
  <c r="G23" i="15"/>
  <c r="P23" i="15" s="1"/>
  <c r="G20" i="15"/>
  <c r="P20" i="15" s="1"/>
  <c r="H25" i="15"/>
  <c r="Q25" i="15" s="1"/>
  <c r="H18" i="15"/>
  <c r="Q18" i="15" s="1"/>
  <c r="G25" i="15"/>
  <c r="P25" i="15" s="1"/>
  <c r="F24" i="15"/>
  <c r="O24" i="15" s="1"/>
  <c r="H26" i="15"/>
  <c r="Q26" i="15" s="1"/>
  <c r="F22" i="15"/>
  <c r="O22" i="15" s="1"/>
  <c r="G19" i="15"/>
  <c r="P19" i="15" s="1"/>
  <c r="F17" i="15"/>
  <c r="G18" i="15"/>
  <c r="P18" i="15" s="1"/>
  <c r="H19" i="15"/>
  <c r="Q19" i="15" s="1"/>
  <c r="F21" i="15"/>
  <c r="O21" i="15" s="1"/>
  <c r="G22" i="15"/>
  <c r="P22" i="15" s="1"/>
  <c r="H23" i="15"/>
  <c r="Q23" i="15" s="1"/>
  <c r="F25" i="15"/>
  <c r="O25" i="15" s="1"/>
  <c r="I26" i="15" l="1"/>
  <c r="I24" i="15"/>
  <c r="I20" i="15"/>
  <c r="I17" i="15"/>
  <c r="O17" i="15" s="1"/>
  <c r="I18" i="15"/>
  <c r="I21" i="15"/>
  <c r="G27" i="15"/>
  <c r="I19" i="15"/>
  <c r="I23" i="15"/>
  <c r="I22" i="15"/>
  <c r="H27" i="15"/>
  <c r="I25" i="15"/>
  <c r="F27" i="15"/>
  <c r="I27" i="15" l="1"/>
</calcChain>
</file>

<file path=xl/sharedStrings.xml><?xml version="1.0" encoding="utf-8"?>
<sst xmlns="http://schemas.openxmlformats.org/spreadsheetml/2006/main" count="1321" uniqueCount="897">
  <si>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</si>
  <si>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</si>
  <si>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</si>
  <si>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</si>
  <si>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</si>
  <si>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</si>
  <si>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</si>
  <si>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</si>
  <si>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</si>
  <si>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</si>
  <si>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</si>
  <si>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</si>
  <si>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</si>
  <si>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</si>
  <si>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</si>
  <si>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</si>
  <si>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</si>
  <si>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</si>
  <si>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</si>
  <si>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</si>
  <si>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</si>
  <si>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</si>
  <si>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</si>
  <si>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</si>
  <si>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</si>
  <si>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</si>
  <si>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</si>
  <si>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</si>
  <si>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</si>
  <si>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</si>
  <si>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</si>
  <si>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</si>
  <si>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</si>
  <si>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</si>
  <si>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</si>
  <si>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</si>
  <si>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</si>
  <si>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</si>
  <si>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</si>
  <si>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</si>
  <si>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</si>
  <si>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</si>
  <si>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</si>
  <si>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</si>
  <si>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</si>
  <si>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</si>
  <si>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</si>
  <si>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</si>
  <si>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</si>
  <si>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</si>
  <si>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</si>
  <si>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</si>
  <si>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</si>
  <si>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</si>
  <si>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</si>
  <si>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</si>
  <si>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</si>
  <si>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</si>
  <si>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</si>
  <si>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</si>
  <si>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</si>
  <si>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</si>
  <si>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</si>
  <si>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</si>
  <si>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</si>
  <si>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</si>
  <si>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</si>
  <si>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</si>
  <si>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</si>
  <si>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</si>
  <si>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</si>
  <si>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</si>
  <si>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</si>
  <si>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</si>
  <si>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</si>
  <si>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</si>
  <si>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</si>
  <si>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</si>
  <si>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</si>
  <si>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</si>
  <si>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</si>
  <si>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</si>
  <si>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</si>
  <si>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</si>
  <si>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</si>
  <si>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</si>
  <si>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</si>
  <si>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</si>
  <si>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</si>
  <si>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</si>
  <si>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</si>
  <si>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</si>
  <si>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</si>
  <si>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</si>
  <si>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</si>
  <si>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</si>
  <si>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</si>
  <si>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</si>
  <si>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</si>
  <si>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</si>
  <si>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</si>
  <si>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</si>
  <si>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</si>
  <si>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</si>
  <si>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</si>
  <si>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</si>
  <si>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</si>
  <si>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</si>
  <si>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</si>
  <si>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</si>
  <si>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</si>
  <si>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</si>
  <si>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</si>
  <si>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</si>
  <si>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</si>
  <si>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</si>
  <si>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</si>
  <si>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</si>
  <si>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</si>
  <si>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</si>
  <si>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</si>
  <si>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</si>
  <si>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</si>
  <si>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</si>
  <si>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</si>
  <si>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</si>
  <si>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</si>
  <si>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</si>
  <si>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</si>
  <si>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</si>
  <si>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</si>
  <si>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</si>
  <si>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</si>
  <si>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</si>
  <si>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</si>
  <si>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</si>
  <si>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</si>
  <si>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</si>
  <si>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</si>
  <si>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</si>
  <si>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</si>
  <si>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</si>
  <si>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</si>
  <si>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</si>
  <si>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</si>
  <si>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</si>
  <si>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</si>
  <si>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</si>
  <si>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</si>
  <si>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</si>
  <si>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</si>
  <si>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</si>
  <si>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</si>
  <si>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</si>
  <si>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</si>
  <si>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</si>
  <si>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</si>
  <si>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</si>
  <si>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</si>
  <si>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</si>
  <si>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</si>
  <si>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</si>
  <si>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</si>
  <si>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</si>
  <si>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</si>
  <si>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</si>
  <si>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</si>
  <si>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</si>
  <si>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</si>
  <si>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</si>
  <si>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</si>
  <si>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</si>
  <si>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</si>
  <si>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</si>
  <si>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</si>
  <si>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</si>
  <si>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</si>
  <si>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</si>
  <si>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</si>
  <si>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</si>
  <si>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</si>
  <si>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</si>
  <si>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</si>
  <si>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</si>
  <si>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</si>
  <si>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</si>
  <si>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</si>
  <si>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</si>
  <si>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</si>
  <si>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</si>
  <si>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</si>
  <si>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</si>
  <si>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</si>
  <si>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</si>
  <si>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</si>
  <si>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</si>
  <si>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</si>
  <si>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</si>
  <si>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</si>
  <si>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</si>
  <si>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</si>
  <si>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</si>
  <si>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</si>
  <si>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</si>
  <si>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</si>
  <si>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</si>
  <si>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</si>
  <si>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</si>
  <si>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</si>
  <si>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</si>
  <si>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</si>
  <si>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</si>
  <si>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</si>
  <si>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</si>
  <si>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</si>
  <si>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</si>
  <si>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</si>
  <si>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</si>
  <si>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</si>
  <si>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</si>
  <si>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</si>
  <si>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</si>
  <si>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</si>
  <si>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</si>
  <si>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</si>
  <si>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</si>
  <si>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</si>
  <si>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</si>
  <si>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</si>
  <si>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</si>
  <si>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</si>
  <si>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</si>
  <si>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</si>
  <si>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</si>
  <si>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</si>
  <si>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</si>
  <si>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</si>
  <si>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</si>
  <si>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</si>
  <si>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</si>
  <si>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</si>
  <si>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</si>
  <si>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</si>
  <si>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</si>
  <si>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</si>
  <si>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</si>
  <si>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</si>
  <si>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</si>
  <si>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</si>
  <si>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</si>
  <si>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</si>
  <si>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</si>
  <si>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</si>
  <si>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</si>
  <si>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</si>
  <si>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</si>
  <si>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</si>
  <si>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</si>
  <si>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</si>
  <si>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</si>
  <si>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</si>
  <si>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</si>
  <si>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</si>
  <si>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</si>
  <si>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</si>
  <si>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</si>
  <si>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</si>
  <si>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</si>
  <si>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</si>
  <si>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</si>
  <si>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</si>
  <si>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</si>
  <si>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</si>
  <si>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</si>
  <si>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</si>
  <si>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</si>
  <si>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</si>
  <si>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</si>
  <si>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</si>
  <si>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</si>
  <si>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</si>
  <si>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</si>
  <si>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</si>
  <si>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</si>
  <si>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</si>
  <si>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</si>
  <si>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</si>
  <si>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</si>
  <si>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</si>
  <si>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</si>
  <si>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</si>
  <si>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</si>
  <si>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</si>
  <si>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</si>
  <si>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</si>
  <si>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</si>
  <si>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</si>
  <si>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</si>
  <si>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</si>
  <si>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</si>
  <si>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</si>
  <si>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</si>
  <si>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</si>
  <si>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</si>
  <si>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</si>
  <si>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</si>
  <si>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</si>
  <si>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</si>
  <si>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</si>
  <si>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</si>
  <si>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</si>
  <si>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</si>
  <si>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</si>
  <si>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</si>
  <si>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</si>
  <si>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</si>
  <si>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</si>
  <si>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</si>
  <si>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</si>
  <si>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</si>
  <si>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</si>
  <si>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</si>
  <si>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</si>
  <si>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</si>
  <si>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</si>
  <si>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</si>
  <si>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</si>
  <si>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</si>
  <si>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</si>
  <si>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</si>
  <si>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</si>
  <si>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</si>
  <si>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</si>
  <si>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</si>
  <si>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</si>
  <si>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</si>
  <si>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</si>
  <si>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</si>
  <si>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</si>
  <si>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</si>
  <si>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</si>
  <si>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</si>
  <si>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</si>
  <si>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</si>
  <si>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</si>
  <si>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</si>
  <si>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</si>
  <si>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</si>
  <si>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</si>
  <si>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</si>
  <si>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</si>
  <si>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</si>
  <si>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</si>
  <si>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</si>
  <si>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</si>
  <si>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</si>
  <si>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</si>
  <si>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</si>
  <si>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</si>
  <si>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</si>
  <si>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</si>
  <si>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</si>
  <si>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</si>
  <si>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</si>
  <si>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</si>
  <si>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</si>
  <si>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</si>
  <si>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</si>
  <si>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</si>
  <si>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</si>
  <si>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</si>
  <si>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</si>
  <si>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</si>
  <si>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</si>
  <si>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</si>
  <si>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</si>
  <si>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</si>
  <si>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</si>
  <si>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</si>
  <si>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</si>
  <si>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</si>
  <si>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</si>
  <si>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</si>
  <si>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</si>
  <si>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</si>
  <si>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</si>
  <si>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</si>
  <si>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</si>
  <si>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</si>
  <si>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</si>
  <si>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</si>
  <si>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</si>
  <si>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</si>
  <si>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</si>
  <si>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</si>
  <si>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</si>
  <si>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</si>
  <si>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</si>
  <si>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</si>
  <si>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</si>
  <si>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</si>
  <si>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</si>
  <si>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</si>
  <si>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</si>
  <si>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</si>
  <si>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</si>
  <si>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</si>
  <si>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</si>
  <si>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</si>
  <si>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</si>
  <si>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</si>
  <si>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</si>
  <si>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</si>
  <si>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</si>
  <si>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</si>
  <si>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</si>
  <si>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</si>
  <si>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</si>
  <si>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</si>
  <si>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</si>
  <si>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</si>
  <si>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</si>
  <si>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</si>
  <si>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</si>
  <si>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</si>
  <si>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</si>
  <si>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</si>
  <si>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</si>
  <si>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</si>
  <si>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</si>
  <si>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</si>
  <si>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</si>
  <si>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</si>
  <si>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</si>
  <si>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</si>
  <si>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</si>
  <si>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</si>
  <si>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</si>
  <si>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</si>
  <si>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</si>
  <si>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</si>
  <si>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</si>
  <si>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</si>
  <si>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</si>
  <si>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</si>
  <si>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</si>
  <si>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</si>
  <si>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</si>
  <si>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</si>
  <si>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</si>
  <si>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</si>
  <si>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</si>
  <si>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</si>
  <si>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</si>
  <si>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</si>
  <si>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</si>
  <si>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</si>
  <si>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</si>
  <si>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</si>
  <si>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</si>
  <si>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</si>
  <si>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</si>
  <si>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</si>
  <si>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</si>
  <si>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</si>
  <si>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</si>
  <si>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</si>
  <si>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</si>
  <si>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</si>
  <si>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</si>
  <si>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</si>
  <si>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</si>
  <si>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</si>
  <si>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</si>
  <si>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</si>
  <si>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</si>
  <si>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</si>
  <si>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</si>
  <si>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</si>
  <si>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</si>
  <si>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</si>
  <si>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</si>
  <si>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</si>
  <si>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</si>
  <si>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</si>
  <si>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</si>
  <si>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</si>
  <si>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</si>
  <si>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</si>
  <si>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</si>
  <si>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</si>
  <si>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</si>
  <si>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</si>
  <si>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</si>
  <si>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</si>
  <si>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</si>
  <si>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</si>
  <si>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</si>
  <si>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</si>
  <si>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</si>
  <si>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</si>
  <si>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</si>
  <si>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</si>
  <si>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</si>
  <si>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</si>
  <si>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</si>
  <si>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</si>
  <si>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</si>
  <si>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</si>
  <si>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</si>
  <si>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</si>
  <si>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</si>
  <si>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</si>
  <si>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</si>
  <si>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</si>
  <si>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</si>
  <si>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</si>
  <si>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</si>
  <si>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</si>
  <si>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</si>
  <si>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</si>
  <si>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</si>
  <si>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</si>
  <si>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</si>
  <si>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</si>
  <si>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</si>
  <si>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</si>
  <si>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</si>
  <si>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</si>
  <si>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</si>
  <si>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</si>
  <si>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</si>
  <si>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</si>
  <si>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</si>
  <si>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</si>
  <si>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</si>
  <si>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</si>
  <si>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</si>
  <si>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</si>
  <si>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</si>
  <si>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</si>
  <si>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</si>
  <si>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</si>
  <si>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</si>
  <si>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</si>
  <si>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</si>
  <si>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</si>
  <si>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</si>
  <si>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</si>
  <si>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</si>
  <si>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</si>
  <si>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</si>
  <si>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</si>
  <si>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</si>
  <si>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</si>
  <si>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</si>
  <si>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</si>
  <si>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</si>
  <si>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</si>
  <si>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</si>
  <si>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</si>
  <si>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</si>
  <si>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</si>
  <si>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</si>
  <si>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</si>
  <si>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</si>
  <si>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</si>
  <si>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</si>
  <si>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</si>
  <si>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</si>
  <si>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</si>
  <si>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</si>
  <si>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</si>
  <si>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</si>
  <si>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</si>
  <si>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</si>
  <si>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</si>
  <si>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</si>
  <si>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</si>
  <si>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</si>
  <si>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</si>
  <si>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</si>
  <si>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</si>
  <si>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</si>
  <si>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</si>
  <si>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</si>
  <si>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</si>
  <si>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</si>
  <si>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</si>
  <si>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</si>
  <si>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</si>
  <si>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</si>
  <si>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</si>
  <si>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</si>
  <si>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</si>
  <si>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</si>
  <si>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</si>
  <si>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</si>
  <si>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</si>
  <si>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</si>
  <si>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</si>
  <si>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</si>
  <si>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</si>
  <si>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</si>
  <si>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</si>
  <si>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</si>
  <si>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</si>
  <si>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</si>
  <si>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</si>
  <si>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</si>
  <si>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</si>
  <si>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</si>
  <si>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</si>
  <si>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</si>
  <si>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</si>
  <si>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</si>
  <si>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</si>
  <si>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</si>
  <si>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</si>
  <si>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</si>
  <si>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</si>
  <si>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</si>
  <si>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</si>
  <si>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</si>
  <si>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</si>
  <si>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</si>
  <si>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</si>
  <si>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</si>
  <si>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</si>
  <si>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</si>
  <si>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</si>
  <si>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</si>
  <si>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</si>
  <si>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</si>
  <si>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</si>
  <si>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</si>
  <si>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</si>
  <si>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</si>
  <si>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</si>
  <si>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</si>
  <si>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</si>
  <si>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</si>
  <si>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</si>
  <si>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</si>
  <si>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</si>
  <si>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</si>
  <si>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</si>
  <si>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</si>
  <si>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</si>
  <si>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</si>
  <si>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</si>
  <si>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</si>
  <si>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</si>
  <si>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</si>
  <si>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</si>
  <si>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</si>
  <si>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</si>
  <si>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</si>
  <si>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</si>
  <si>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</si>
  <si>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</si>
  <si>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</si>
  <si>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</si>
  <si>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</si>
  <si>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</si>
  <si>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</si>
  <si>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</si>
  <si>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</si>
  <si>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</si>
  <si>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</si>
  <si>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</si>
  <si>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</si>
  <si>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</si>
  <si>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</si>
  <si>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</si>
  <si>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</si>
  <si>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</si>
  <si>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</si>
  <si>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</si>
  <si>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</si>
  <si>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</si>
  <si>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</si>
  <si>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</si>
  <si>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</si>
  <si>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</si>
  <si>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</si>
  <si>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</si>
  <si>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</si>
  <si>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</si>
  <si>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</si>
  <si>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</si>
  <si>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</si>
  <si>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</si>
  <si>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</si>
  <si>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</si>
  <si>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</si>
  <si>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</si>
  <si>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</si>
  <si>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</si>
  <si>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</si>
  <si>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</si>
  <si>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</si>
  <si>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</si>
  <si>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</si>
  <si>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</si>
  <si>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</si>
  <si>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</si>
  <si>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</si>
  <si>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</si>
  <si>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</si>
  <si>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</si>
  <si>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</si>
  <si>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</si>
  <si>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</si>
  <si>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</si>
  <si>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</si>
  <si>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</si>
  <si>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</si>
  <si>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</si>
  <si>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</si>
  <si>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</si>
  <si>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</si>
  <si>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</si>
  <si>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</si>
  <si>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</si>
  <si>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</si>
  <si>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</si>
  <si>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</si>
  <si>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</si>
  <si>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</si>
  <si>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</si>
  <si>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</si>
  <si>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</si>
  <si>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</si>
  <si>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</si>
  <si>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</si>
  <si>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</si>
  <si>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</si>
  <si>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</si>
  <si>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</si>
  <si>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</si>
  <si>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</si>
  <si>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</si>
  <si>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</si>
  <si>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</si>
  <si>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</si>
  <si>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</si>
  <si>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</si>
  <si>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</si>
  <si>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</si>
  <si>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</si>
  <si>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</si>
  <si>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</si>
  <si>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</si>
  <si>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</si>
  <si>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</si>
  <si>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</si>
  <si>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</si>
  <si>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</si>
  <si>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</si>
  <si>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</si>
  <si>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</si>
  <si>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</si>
  <si>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</si>
  <si>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</si>
  <si>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</si>
  <si>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</si>
  <si>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</si>
  <si>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</si>
  <si>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</si>
  <si>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</si>
  <si>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</si>
  <si>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</si>
  <si>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</si>
  <si>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</si>
  <si>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</si>
  <si>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</si>
  <si>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</si>
  <si>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</si>
  <si>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</si>
  <si>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</si>
  <si>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</si>
  <si>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</si>
  <si>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</si>
  <si>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</si>
  <si>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</si>
  <si>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</si>
  <si>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</si>
  <si>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</si>
  <si>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</si>
  <si>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</si>
  <si>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</si>
  <si>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</si>
  <si>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</si>
  <si>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</si>
  <si>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</si>
  <si>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</si>
  <si>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</si>
  <si>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</si>
  <si>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</si>
  <si>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</si>
  <si>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</si>
  <si>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</si>
  <si>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</si>
  <si>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</si>
  <si>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</si>
  <si>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</si>
  <si>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</si>
  <si>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</si>
  <si>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</si>
  <si>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</si>
  <si>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</si>
  <si>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</si>
  <si>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</si>
  <si>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</si>
  <si>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</si>
  <si>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</si>
  <si>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</si>
  <si>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</si>
  <si>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</si>
  <si>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</si>
  <si>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</si>
  <si>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</si>
  <si>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</si>
  <si>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</si>
  <si>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</si>
  <si>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</si>
  <si>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</si>
  <si>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</si>
  <si>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</si>
  <si>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</si>
  <si>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</si>
  <si>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</si>
  <si>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</si>
  <si>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</si>
  <si>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</si>
  <si>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</si>
  <si>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</si>
  <si>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</si>
  <si>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</si>
  <si>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</si>
  <si>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</si>
  <si>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</si>
  <si>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</si>
  <si>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</si>
  <si>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</si>
  <si>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</si>
  <si>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</si>
  <si>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</si>
  <si>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</si>
  <si>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</si>
  <si>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</si>
  <si>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</si>
  <si>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</si>
  <si>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</si>
  <si>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</si>
  <si>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</si>
  <si>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ICM Approval</t>
  </si>
  <si>
    <t>Alectra Utilities Corporation-Brampton Rate Zone</t>
  </si>
  <si>
    <t>Alectra Utilities Corporation-Enersource Rate Zone</t>
  </si>
  <si>
    <t>Alectra Utilities Corporation-Horizon Utilities Rate Zone</t>
  </si>
  <si>
    <t>Alectra Utilities Corporation-PowerStream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</si>
  <si>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</si>
  <si>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</si>
  <si>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</si>
  <si>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</si>
  <si>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</si>
  <si>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</si>
  <si>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</si>
  <si>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</si>
  <si>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</si>
  <si>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</si>
  <si>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</si>
  <si>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</si>
  <si>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</si>
  <si>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</si>
  <si>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</si>
  <si>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</si>
  <si>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</si>
  <si>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</si>
  <si>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</si>
  <si>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</si>
  <si>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</si>
  <si>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</si>
  <si>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</si>
  <si>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</si>
  <si>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Energy+ Inc.</t>
  </si>
  <si>
    <t>North Bay Hydro Distribution Limited - Espanola service territory</t>
  </si>
  <si>
    <t>North Bay Hydro Distribution Limited - North Bay service territory</t>
  </si>
  <si>
    <t>From Sheet 11, E93</t>
  </si>
  <si>
    <t>Note:  As per the OEB's letter issued July 16, 2015 (EB-2012-0410), Residential Rates will be applied on a fixed basis only.</t>
  </si>
  <si>
    <t>Goreway TS Expansion CCRA - 10 Yr True-Up Payment</t>
  </si>
  <si>
    <t>New ICM</t>
  </si>
  <si>
    <t>Goreway Road Widening</t>
  </si>
  <si>
    <t>EB-2020-0002</t>
  </si>
  <si>
    <t>Indy Butany-DeSouza</t>
  </si>
  <si>
    <t>indy.butany@alectrautilities.com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</si>
</sst>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F800]dddd\,\ mmmm\ dd\,\ yyyy"/>
    <numFmt numFmtId="165" formatCode="#,##0.0000"/>
    <numFmt numFmtId="166" formatCode="#,##0.00_ ;\-#,##0.00\ "/>
    <numFmt numFmtId="167" formatCode="0.00%;\(0.00\)%"/>
    <numFmt numFmtId="168" formatCode="#,##0.00000"/>
    <numFmt numFmtId="169" formatCode="#,##0.00_ ;\(#,##0.00\)"/>
    <numFmt numFmtId="170" formatCode="0%;\(0%\)"/>
    <numFmt numFmtId="171" formatCode="0.0000"/>
    <numFmt numFmtId="172" formatCode="#,###"/>
    <numFmt numFmtId="173" formatCode="0.0%"/>
    <numFmt numFmtId="174" formatCode="_-&quot;$&quot;* #,##0_-;\-&quot;$&quot;* #,##0_-;_-&quot;$&quot;* &quot;-&quot;??_-;_-@_-"/>
    <numFmt numFmtId="175" formatCode="#,##0\ \ \ "/>
    <numFmt numFmtId="176" formatCode="&quot;$&quot;#,##0"/>
    <numFmt numFmtId="177" formatCode="_(&quot;$&quot;* #,##0_);_(&quot;$&quot;* \(#,##0\);_(&quot;$&quot;* &quot;-&quot;??_);_(@_)"/>
  </numFmts>
  <fonts count="65"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5">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0" fontId="18" fillId="0" borderId="0"/>
    <xf numFmtId="0" fontId="12"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0" fontId="33" fillId="0" borderId="0"/>
    <xf numFmtId="44" fontId="33" fillId="0" borderId="0" applyFont="0" applyFill="0" applyBorder="0" applyAlignment="0" applyProtection="0"/>
    <xf numFmtId="9" fontId="33" fillId="0" borderId="0" applyFont="0" applyFill="0" applyBorder="0" applyAlignment="0" applyProtection="0"/>
  </cellStyleXfs>
  <cellXfs count="511">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2" fontId="1" fillId="0" borderId="0" xfId="0" applyNumberFormat="1" applyFont="1" applyAlignment="1" applyProtection="1">
      <alignment horizontal="left"/>
    </xf>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6" fontId="17" fillId="7" borderId="9" xfId="6" applyNumberFormat="1" applyFont="1" applyFill="1" applyBorder="1" applyAlignment="1" applyProtection="1">
      <alignment horizontal="center" vertical="center"/>
    </xf>
    <xf numFmtId="167" fontId="17" fillId="7" borderId="9" xfId="2" applyNumberFormat="1" applyFont="1" applyFill="1" applyBorder="1" applyAlignment="1" applyProtection="1">
      <alignment horizontal="center" vertical="center"/>
    </xf>
    <xf numFmtId="167"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7" fontId="12" fillId="0" borderId="9" xfId="2" applyNumberFormat="1" applyFont="1" applyFill="1" applyBorder="1" applyAlignment="1" applyProtection="1">
      <alignment horizontal="center" vertical="center"/>
    </xf>
    <xf numFmtId="167"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7"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68" fontId="12" fillId="0" borderId="9" xfId="9" applyNumberFormat="1" applyFont="1" applyFill="1" applyBorder="1" applyAlignment="1" applyProtection="1">
      <alignment horizontal="center" vertical="center"/>
    </xf>
    <xf numFmtId="167" fontId="17" fillId="0" borderId="9" xfId="2" applyNumberFormat="1" applyFont="1" applyFill="1" applyBorder="1" applyAlignment="1" applyProtection="1">
      <alignment horizontal="center" vertical="center"/>
    </xf>
    <xf numFmtId="167"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6" fontId="17" fillId="5" borderId="14" xfId="6" applyNumberFormat="1" applyFont="1" applyFill="1" applyBorder="1" applyAlignment="1" applyProtection="1">
      <alignment horizontal="center" vertical="center"/>
    </xf>
    <xf numFmtId="169" fontId="17" fillId="5" borderId="14" xfId="6" applyNumberFormat="1" applyFont="1" applyFill="1" applyBorder="1" applyAlignment="1" applyProtection="1">
      <alignment horizontal="center" vertical="center"/>
    </xf>
    <xf numFmtId="167" fontId="12" fillId="5" borderId="14" xfId="2" applyNumberFormat="1" applyFont="1" applyFill="1" applyBorder="1" applyAlignment="1" applyProtection="1">
      <alignment horizontal="center" vertical="center"/>
    </xf>
    <xf numFmtId="167" fontId="17" fillId="5" borderId="14" xfId="2" applyNumberFormat="1" applyFont="1" applyFill="1" applyBorder="1" applyAlignment="1" applyProtection="1">
      <alignment horizontal="center" vertical="center"/>
    </xf>
    <xf numFmtId="167"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6"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0" fontId="8" fillId="0" borderId="9" xfId="2" applyNumberFormat="1" applyFont="1" applyFill="1" applyBorder="1" applyAlignment="1" applyProtection="1">
      <alignment horizontal="center" vertical="center"/>
    </xf>
    <xf numFmtId="166" fontId="20" fillId="0" borderId="9" xfId="6" applyNumberFormat="1" applyFont="1" applyFill="1" applyBorder="1" applyAlignment="1" applyProtection="1">
      <alignment horizontal="center" vertical="center"/>
    </xf>
    <xf numFmtId="170"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6" fontId="17" fillId="7" borderId="20" xfId="6" applyNumberFormat="1" applyFont="1" applyFill="1" applyBorder="1" applyAlignment="1" applyProtection="1">
      <alignment horizontal="center" vertical="center"/>
    </xf>
    <xf numFmtId="169" fontId="17" fillId="7" borderId="20" xfId="6" applyNumberFormat="1" applyFont="1" applyFill="1" applyBorder="1" applyAlignment="1" applyProtection="1">
      <alignment horizontal="center" vertical="center"/>
    </xf>
    <xf numFmtId="167" fontId="12" fillId="7" borderId="20" xfId="2" applyNumberFormat="1" applyFont="1" applyFill="1" applyBorder="1" applyAlignment="1" applyProtection="1">
      <alignment horizontal="center" vertical="center"/>
    </xf>
    <xf numFmtId="167" fontId="17" fillId="7" borderId="20" xfId="2" applyNumberFormat="1" applyFont="1" applyFill="1" applyBorder="1" applyAlignment="1" applyProtection="1">
      <alignment horizontal="center" vertical="center"/>
    </xf>
    <xf numFmtId="167"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1"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3"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3"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4" fontId="33" fillId="0" borderId="0" xfId="13" applyNumberFormat="1" applyFont="1" applyAlignment="1" applyProtection="1">
      <alignment horizontal="center"/>
    </xf>
    <xf numFmtId="174"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4" fontId="33" fillId="6" borderId="0" xfId="13" applyNumberFormat="1" applyFont="1" applyFill="1" applyProtection="1"/>
    <xf numFmtId="174"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4" fontId="33" fillId="0" borderId="0" xfId="13" applyNumberFormat="1" applyFont="1" applyBorder="1" applyAlignment="1" applyProtection="1">
      <alignment horizontal="center"/>
    </xf>
    <xf numFmtId="174" fontId="35" fillId="6" borderId="0" xfId="13" applyNumberFormat="1" applyFont="1" applyFill="1" applyProtection="1"/>
    <xf numFmtId="174" fontId="33" fillId="0" borderId="0" xfId="12" applyNumberFormat="1" applyFont="1" applyAlignment="1" applyProtection="1">
      <alignment horizontal="center"/>
    </xf>
    <xf numFmtId="174" fontId="35" fillId="6" borderId="11" xfId="12" applyNumberFormat="1" applyFont="1" applyFill="1" applyBorder="1" applyProtection="1"/>
    <xf numFmtId="174" fontId="35" fillId="0" borderId="0" xfId="12" applyNumberFormat="1" applyFont="1" applyBorder="1" applyProtection="1"/>
    <xf numFmtId="10" fontId="33" fillId="6" borderId="0" xfId="14" applyNumberFormat="1" applyFont="1" applyFill="1" applyAlignment="1" applyProtection="1">
      <alignment horizontal="center"/>
    </xf>
    <xf numFmtId="174" fontId="33" fillId="0" borderId="0" xfId="13" applyNumberFormat="1" applyFont="1" applyFill="1" applyBorder="1" applyAlignment="1" applyProtection="1">
      <alignment horizontal="center"/>
    </xf>
    <xf numFmtId="174" fontId="33" fillId="6" borderId="13" xfId="13" applyNumberFormat="1" applyFont="1" applyFill="1" applyBorder="1" applyProtection="1"/>
    <xf numFmtId="174" fontId="35" fillId="6" borderId="28" xfId="13" applyNumberFormat="1" applyFont="1" applyFill="1" applyBorder="1" applyProtection="1"/>
    <xf numFmtId="174" fontId="35" fillId="6" borderId="0" xfId="12" applyNumberFormat="1" applyFont="1" applyFill="1" applyProtection="1"/>
    <xf numFmtId="174" fontId="35" fillId="6" borderId="28" xfId="12" applyNumberFormat="1" applyFont="1" applyFill="1" applyBorder="1" applyProtection="1"/>
    <xf numFmtId="174"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5" fontId="0" fillId="0" borderId="11" xfId="0" applyNumberFormat="1" applyBorder="1"/>
    <xf numFmtId="173"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6"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4" fontId="40" fillId="6" borderId="0" xfId="13" applyNumberFormat="1" applyFont="1" applyFill="1" applyProtection="1"/>
    <xf numFmtId="174"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4" fontId="40" fillId="6" borderId="13" xfId="13" applyNumberFormat="1" applyFont="1" applyFill="1" applyBorder="1" applyProtection="1"/>
    <xf numFmtId="174"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4" fontId="33" fillId="8" borderId="0" xfId="13" applyNumberFormat="1" applyFill="1" applyProtection="1">
      <protection locked="0"/>
    </xf>
    <xf numFmtId="173" fontId="33" fillId="8" borderId="0" xfId="14" applyNumberFormat="1" applyFill="1" applyAlignment="1" applyProtection="1">
      <alignment horizontal="center"/>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2" fontId="28" fillId="0" borderId="30" xfId="0" applyNumberFormat="1" applyFont="1" applyFill="1" applyBorder="1" applyAlignment="1" applyProtection="1">
      <alignment horizontal="center" vertical="center" wrapText="1"/>
    </xf>
    <xf numFmtId="172"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1" fontId="28" fillId="0" borderId="31" xfId="0" applyNumberFormat="1" applyFont="1" applyFill="1" applyBorder="1" applyAlignment="1" applyProtection="1">
      <alignment horizontal="center" vertical="center" wrapText="1"/>
    </xf>
    <xf numFmtId="171"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4" fontId="0" fillId="4" borderId="9" xfId="9" applyNumberFormat="1" applyFont="1" applyFill="1" applyBorder="1" applyProtection="1">
      <protection locked="0"/>
    </xf>
    <xf numFmtId="0" fontId="0" fillId="12" borderId="9" xfId="0" applyFill="1" applyBorder="1"/>
    <xf numFmtId="174" fontId="0" fillId="0" borderId="9" xfId="9" applyNumberFormat="1" applyFont="1" applyBorder="1"/>
    <xf numFmtId="0" fontId="2" fillId="0" borderId="0" xfId="0" applyFont="1" applyAlignment="1">
      <alignment horizontal="right" wrapText="1" indent="2"/>
    </xf>
    <xf numFmtId="174" fontId="0" fillId="0" borderId="0" xfId="0" applyNumberFormat="1"/>
    <xf numFmtId="174"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4" fontId="0" fillId="0" borderId="0" xfId="9" applyNumberFormat="1" applyFont="1" applyBorder="1"/>
    <xf numFmtId="174"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4"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4"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4" fontId="40" fillId="6" borderId="42" xfId="13" applyNumberFormat="1" applyFont="1" applyFill="1" applyBorder="1" applyProtection="1"/>
    <xf numFmtId="0" fontId="0" fillId="0" borderId="0" xfId="0" applyBorder="1" applyProtection="1"/>
    <xf numFmtId="174"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4"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4" fontId="5" fillId="6" borderId="43" xfId="13" applyNumberFormat="1" applyFont="1" applyFill="1" applyBorder="1" applyProtection="1"/>
    <xf numFmtId="174"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4"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4" fontId="40" fillId="6" borderId="40" xfId="13" applyNumberFormat="1" applyFont="1" applyFill="1" applyBorder="1" applyProtection="1"/>
    <xf numFmtId="0" fontId="35" fillId="6" borderId="0" xfId="0" applyFont="1" applyFill="1" applyAlignment="1" applyProtection="1">
      <alignment horizontal="center"/>
    </xf>
    <xf numFmtId="177"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3"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4"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4"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3" fontId="6" fillId="4" borderId="0" xfId="14" applyNumberFormat="1" applyFont="1" applyFill="1" applyBorder="1" applyAlignment="1" applyProtection="1">
      <alignment horizontal="center"/>
      <protection locked="0"/>
    </xf>
    <xf numFmtId="174" fontId="40" fillId="0" borderId="42" xfId="13" applyNumberFormat="1" applyFont="1" applyBorder="1" applyProtection="1"/>
    <xf numFmtId="174" fontId="40" fillId="4" borderId="43" xfId="13" applyNumberFormat="1" applyFont="1" applyFill="1" applyBorder="1" applyProtection="1">
      <protection locked="0"/>
    </xf>
    <xf numFmtId="174"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4" fontId="40" fillId="14" borderId="40" xfId="13" applyNumberFormat="1" applyFont="1" applyFill="1" applyBorder="1" applyProtection="1"/>
    <xf numFmtId="174" fontId="40" fillId="14" borderId="43" xfId="13" applyNumberFormat="1" applyFont="1" applyFill="1" applyBorder="1" applyProtection="1"/>
    <xf numFmtId="174"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xf numFmtId="0" fontId="24" fillId="0" borderId="26" xfId="0" applyFont="1" applyFill="1" applyBorder="1" applyAlignment="1" applyProtection="1"/>
    <xf numFmtId="0" fontId="24" fillId="0" borderId="27" xfId="0" applyFont="1" applyFill="1" applyBorder="1" applyAlignment="1" applyProtection="1"/>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4" fillId="0" borderId="0" xfId="0" applyFont="1" applyFill="1" applyBorder="1" applyProtection="1"/>
    <xf numFmtId="0" fontId="24" fillId="0" borderId="0" xfId="0" applyFont="1" applyProtection="1"/>
    <xf numFmtId="0" fontId="2" fillId="5" borderId="0" xfId="0" applyFont="1" applyFill="1" applyAlignment="1">
      <alignment horizontal="center" vertical="center"/>
    </xf>
    <xf numFmtId="0" fontId="2" fillId="0" borderId="0" xfId="0" applyFont="1" applyAlignment="1">
      <alignment horizontal="center" vertical="center"/>
    </xf>
    <xf numFmtId="174" fontId="0" fillId="0" borderId="44" xfId="9" applyNumberFormat="1" applyFont="1" applyBorder="1"/>
    <xf numFmtId="0" fontId="2" fillId="0" borderId="0" xfId="0" applyFont="1" applyAlignment="1">
      <alignment horizontal="right"/>
    </xf>
    <xf numFmtId="0" fontId="0" fillId="0" borderId="45" xfId="0" applyBorder="1"/>
    <xf numFmtId="174" fontId="2" fillId="0" borderId="12" xfId="9" applyNumberFormat="1" applyFont="1" applyBorder="1"/>
    <xf numFmtId="174" fontId="0" fillId="4" borderId="46" xfId="9" applyNumberFormat="1" applyFont="1" applyFill="1" applyBorder="1" applyProtection="1">
      <protection locked="0"/>
    </xf>
    <xf numFmtId="174" fontId="0" fillId="4" borderId="20" xfId="9" applyNumberFormat="1" applyFont="1" applyFill="1" applyBorder="1" applyProtection="1">
      <protection locked="0"/>
    </xf>
    <xf numFmtId="174" fontId="0" fillId="4" borderId="19" xfId="9" applyNumberFormat="1" applyFont="1" applyFill="1" applyBorder="1" applyProtection="1">
      <protection locked="0"/>
    </xf>
    <xf numFmtId="174" fontId="0" fillId="4" borderId="10" xfId="9" applyNumberFormat="1" applyFont="1" applyFill="1" applyBorder="1" applyProtection="1">
      <protection locked="0"/>
    </xf>
    <xf numFmtId="174" fontId="0" fillId="4" borderId="47" xfId="9" applyNumberFormat="1" applyFont="1" applyFill="1" applyBorder="1" applyProtection="1">
      <protection locked="0"/>
    </xf>
    <xf numFmtId="174" fontId="0" fillId="4" borderId="15" xfId="9" applyNumberFormat="1" applyFont="1" applyFill="1" applyBorder="1" applyProtection="1">
      <protection locked="0"/>
    </xf>
    <xf numFmtId="174"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4" fontId="2" fillId="0" borderId="0" xfId="0" applyNumberFormat="1" applyFont="1"/>
    <xf numFmtId="174" fontId="0" fillId="0" borderId="0" xfId="0" applyNumberFormat="1" applyBorder="1"/>
    <xf numFmtId="0" fontId="47" fillId="0" borderId="0" xfId="0" applyFont="1" applyAlignment="1">
      <alignment horizontal="right" wrapText="1" indent="2"/>
    </xf>
    <xf numFmtId="174" fontId="0" fillId="0" borderId="21" xfId="0" applyNumberFormat="1" applyBorder="1"/>
    <xf numFmtId="174" fontId="0" fillId="0" borderId="20" xfId="0" applyNumberFormat="1" applyBorder="1"/>
    <xf numFmtId="174" fontId="0" fillId="0" borderId="48" xfId="0" applyNumberFormat="1" applyBorder="1"/>
    <xf numFmtId="174" fontId="0" fillId="0" borderId="19" xfId="0" applyNumberFormat="1" applyBorder="1"/>
    <xf numFmtId="174" fontId="0" fillId="0" borderId="11" xfId="0" applyNumberFormat="1" applyBorder="1"/>
    <xf numFmtId="0" fontId="0" fillId="0" borderId="43" xfId="0" applyBorder="1"/>
    <xf numFmtId="0" fontId="0" fillId="0" borderId="8" xfId="0" applyBorder="1"/>
    <xf numFmtId="174" fontId="0" fillId="0" borderId="16" xfId="9" applyNumberFormat="1" applyFont="1" applyBorder="1"/>
    <xf numFmtId="174" fontId="0" fillId="0" borderId="15" xfId="9" applyNumberFormat="1" applyFont="1" applyBorder="1"/>
    <xf numFmtId="174" fontId="0" fillId="0" borderId="10" xfId="9" applyNumberFormat="1" applyFont="1" applyBorder="1"/>
    <xf numFmtId="174" fontId="0" fillId="0" borderId="43" xfId="9" applyNumberFormat="1" applyFont="1" applyBorder="1"/>
    <xf numFmtId="174"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4" fontId="0" fillId="0" borderId="9" xfId="9" applyNumberFormat="1" applyFont="1" applyBorder="1" applyProtection="1"/>
    <xf numFmtId="0" fontId="2" fillId="0" borderId="0" xfId="0" applyFont="1" applyAlignment="1" applyProtection="1">
      <alignment horizontal="right" wrapText="1" indent="2"/>
    </xf>
    <xf numFmtId="174" fontId="0" fillId="0" borderId="0" xfId="0" applyNumberFormat="1" applyProtection="1"/>
    <xf numFmtId="174" fontId="0" fillId="0" borderId="9" xfId="0" applyNumberFormat="1" applyBorder="1" applyProtection="1"/>
    <xf numFmtId="174" fontId="14" fillId="0" borderId="0" xfId="9" applyNumberFormat="1" applyFont="1" applyBorder="1" applyProtection="1"/>
    <xf numFmtId="0" fontId="0" fillId="0" borderId="0" xfId="0" applyAlignment="1" applyProtection="1">
      <alignment horizontal="center"/>
    </xf>
    <xf numFmtId="174" fontId="0" fillId="0" borderId="0" xfId="9" applyNumberFormat="1" applyFont="1" applyBorder="1" applyProtection="1"/>
    <xf numFmtId="174" fontId="14" fillId="0" borderId="0" xfId="9" applyNumberFormat="1" applyFont="1" applyFill="1" applyBorder="1" applyProtection="1"/>
    <xf numFmtId="0" fontId="0" fillId="0" borderId="0" xfId="0" applyFill="1" applyBorder="1" applyAlignment="1" applyProtection="1">
      <alignment horizontal="center"/>
    </xf>
    <xf numFmtId="174" fontId="2" fillId="0" borderId="0" xfId="9" applyNumberFormat="1" applyFont="1" applyFill="1" applyBorder="1" applyAlignment="1" applyProtection="1">
      <alignment horizontal="left" vertical="top" wrapText="1"/>
    </xf>
    <xf numFmtId="174"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2" fontId="0" fillId="16" borderId="52" xfId="0" applyNumberFormat="1" applyFill="1" applyBorder="1" applyProtection="1">
      <protection locked="0"/>
    </xf>
    <xf numFmtId="172" fontId="0" fillId="16" borderId="49" xfId="0" applyNumberFormat="1" applyFill="1" applyBorder="1" applyProtection="1">
      <protection locked="0"/>
    </xf>
    <xf numFmtId="172" fontId="0" fillId="16" borderId="53"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1" fontId="0" fillId="16" borderId="52" xfId="0" applyNumberFormat="1" applyFill="1" applyBorder="1" applyAlignment="1" applyProtection="1">
      <alignment horizontal="center" vertical="center"/>
      <protection locked="0"/>
    </xf>
    <xf numFmtId="171"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1" fontId="0" fillId="16" borderId="49" xfId="0" applyNumberFormat="1" applyFill="1" applyBorder="1" applyAlignment="1" applyProtection="1">
      <alignment horizontal="center" vertical="center"/>
      <protection locked="0"/>
    </xf>
    <xf numFmtId="171"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1" fontId="0" fillId="16" borderId="53" xfId="0" applyNumberFormat="1" applyFill="1" applyBorder="1" applyAlignment="1" applyProtection="1">
      <alignment horizontal="center" vertical="center"/>
      <protection locked="0"/>
    </xf>
    <xf numFmtId="171" fontId="0" fillId="16" borderId="50" xfId="0" applyNumberFormat="1" applyFill="1" applyBorder="1" applyAlignment="1" applyProtection="1">
      <alignment horizontal="center" vertical="center"/>
      <protection locked="0"/>
    </xf>
    <xf numFmtId="172" fontId="0" fillId="16" borderId="27" xfId="0" applyNumberFormat="1" applyFill="1" applyBorder="1" applyProtection="1">
      <protection locked="0"/>
    </xf>
    <xf numFmtId="172" fontId="0" fillId="16" borderId="24" xfId="0" applyNumberFormat="1" applyFill="1" applyBorder="1" applyProtection="1">
      <protection locked="0"/>
    </xf>
    <xf numFmtId="172"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2"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3" fontId="0" fillId="0" borderId="13" xfId="0" applyNumberFormat="1" applyBorder="1" applyAlignment="1">
      <alignment horizontal="center" vertical="center"/>
    </xf>
    <xf numFmtId="172"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2" fontId="2" fillId="0" borderId="11" xfId="0" applyNumberFormat="1" applyFont="1" applyBorder="1" applyAlignment="1">
      <alignment horizontal="center" vertical="center"/>
    </xf>
    <xf numFmtId="175" fontId="28" fillId="0" borderId="0" xfId="0" applyNumberFormat="1" applyFont="1" applyBorder="1" applyAlignment="1" applyProtection="1">
      <alignment horizontal="center" wrapText="1"/>
    </xf>
    <xf numFmtId="172" fontId="0" fillId="16" borderId="11" xfId="0" applyNumberFormat="1" applyFill="1" applyBorder="1" applyAlignment="1" applyProtection="1">
      <alignment horizontal="center" vertical="center"/>
      <protection locked="0"/>
    </xf>
    <xf numFmtId="175"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2" fontId="0" fillId="17" borderId="0" xfId="0" applyNumberFormat="1" applyFill="1" applyAlignment="1">
      <alignment horizontal="center" vertical="center"/>
    </xf>
    <xf numFmtId="0" fontId="64" fillId="0" borderId="0" xfId="0" applyFont="1"/>
    <xf numFmtId="171" fontId="0" fillId="0" borderId="13" xfId="0" applyNumberFormat="1" applyBorder="1" applyAlignment="1">
      <alignment horizontal="center" vertical="center"/>
    </xf>
    <xf numFmtId="171" fontId="0" fillId="0" borderId="11" xfId="0" applyNumberFormat="1" applyBorder="1" applyAlignment="1">
      <alignment horizontal="center" vertical="center"/>
    </xf>
    <xf numFmtId="166" fontId="17" fillId="0" borderId="9" xfId="6" applyNumberFormat="1" applyFont="1" applyFill="1" applyBorder="1" applyAlignment="1" applyProtection="1">
      <alignment horizontal="center" vertical="center"/>
    </xf>
    <xf numFmtId="166" fontId="17" fillId="7" borderId="9" xfId="6"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6" fontId="17" fillId="7" borderId="20" xfId="6" applyNumberFormat="1" applyFont="1" applyFill="1" applyBorder="1" applyAlignment="1" applyProtection="1">
      <alignment horizontal="center" vertical="center"/>
    </xf>
    <xf numFmtId="166" fontId="17" fillId="5" borderId="10" xfId="6" applyNumberFormat="1" applyFont="1" applyFill="1" applyBorder="1" applyAlignment="1" applyProtection="1">
      <alignment horizontal="center" vertical="center"/>
    </xf>
    <xf numFmtId="166" fontId="17" fillId="5" borderId="12" xfId="6"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6" fontId="21" fillId="0" borderId="9" xfId="6" applyNumberFormat="1"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5" fillId="0" borderId="0" xfId="0" applyFont="1" applyAlignment="1" applyProtection="1">
      <alignment horizontal="right" vertical="center" wrapText="1" indent="2"/>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0" borderId="4" xfId="0" applyFont="1" applyBorder="1" applyAlignment="1" applyProtection="1">
      <alignment horizontal="right" vertical="center" wrapText="1" indent="2"/>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6" fillId="15" borderId="0" xfId="0" applyFont="1" applyFill="1" applyAlignment="1" applyProtection="1">
      <alignment horizontal="left" vertical="top" wrapText="1"/>
    </xf>
    <xf numFmtId="0" fontId="24" fillId="9" borderId="22" xfId="0" applyFont="1" applyFill="1" applyBorder="1" applyAlignment="1" applyProtection="1">
      <protection locked="0"/>
    </xf>
    <xf numFmtId="0" fontId="24" fillId="9" borderId="23" xfId="0" applyFont="1" applyFill="1" applyBorder="1" applyAlignment="1" applyProtection="1">
      <protection locked="0"/>
    </xf>
    <xf numFmtId="0" fontId="24" fillId="9" borderId="24" xfId="0" applyFont="1" applyFill="1" applyBorder="1" applyAlignment="1" applyProtection="1">
      <protection locked="0"/>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0" fontId="47" fillId="11" borderId="0" xfId="0" applyFont="1" applyFill="1" applyAlignment="1" applyProtection="1">
      <alignment horizontal="center"/>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2" fillId="0" borderId="0" xfId="0" applyFont="1" applyAlignment="1" applyProtection="1">
      <alignment horizontal="center" vertical="center" wrapText="1"/>
    </xf>
    <xf numFmtId="0" fontId="47" fillId="11" borderId="0" xfId="0" applyFont="1" applyFill="1" applyAlignment="1" applyProtection="1">
      <alignment horizontal="center" vertical="center"/>
    </xf>
    <xf numFmtId="174" fontId="52" fillId="6" borderId="0" xfId="13" applyNumberFormat="1" applyFont="1" applyFill="1" applyBorder="1" applyAlignment="1" applyProtection="1">
      <alignment horizontal="center" vertical="center"/>
    </xf>
    <xf numFmtId="174"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4" fontId="52" fillId="6" borderId="8" xfId="13" applyNumberFormat="1" applyFont="1" applyFill="1" applyBorder="1" applyAlignment="1" applyProtection="1">
      <alignment horizontal="left" vertical="center" wrapText="1"/>
    </xf>
    <xf numFmtId="174"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5">
    <cellStyle name="Comma 2" xfId="10" xr:uid="{00000000-0005-0000-0000-000000000000}"/>
    <cellStyle name="Currency 2" xfId="9" xr:uid="{00000000-0005-0000-0000-000001000000}"/>
    <cellStyle name="Currency 3" xfId="13" xr:uid="{00000000-0005-0000-0000-000002000000}"/>
    <cellStyle name="Currency_Final - 2004 RAM for rate schedule - milton_2008_IRM_Model_Final Model_Version2.0" xfId="6" xr:uid="{00000000-0005-0000-0000-000003000000}"/>
    <cellStyle name="Hyperlink" xfId="1" builtinId="8"/>
    <cellStyle name="Normal" xfId="0" builtinId="0"/>
    <cellStyle name="Normal 6" xfId="12" xr:uid="{00000000-0005-0000-0000-000006000000}"/>
    <cellStyle name="Normal_14. Bill Impacts" xfId="5" xr:uid="{00000000-0005-0000-0000-000007000000}"/>
    <cellStyle name="Normal_3. Rate Class Selection" xfId="8" xr:uid="{00000000-0005-0000-0000-000008000000}"/>
    <cellStyle name="Normal_Core Model Version 0.1" xfId="11" xr:uid="{00000000-0005-0000-0000-000009000000}"/>
    <cellStyle name="Normal_lists" xfId="3" xr:uid="{00000000-0005-0000-0000-00000A000000}"/>
    <cellStyle name="Normal_lists_1" xfId="4" xr:uid="{00000000-0005-0000-0000-00000B000000}"/>
    <cellStyle name="Normal_Sheet1" xfId="7" xr:uid="{00000000-0005-0000-0000-00000C000000}"/>
    <cellStyle name="Percent" xfId="2" builtinId="5"/>
    <cellStyle name="Percent 4" xfId="14" xr:uid="{00000000-0005-0000-0000-00000E000000}"/>
  </cellStyles>
  <dxfs count="26">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9524" y="19051"/>
          <a:ext cx="12785861" cy="1924049"/>
          <a:chOff x="9524" y="19051"/>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9311368" cy="1924049"/>
          <a:chOff x="9524" y="19051"/>
          <a:chExt cx="10364524"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B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B00-000007000000}"/>
            </a:ext>
          </a:extLst>
        </xdr:cNvPr>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9309735" cy="1924049"/>
          <a:chOff x="9524" y="19051"/>
          <a:chExt cx="10364524"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C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a:extLst>
            <a:ext uri="{FF2B5EF4-FFF2-40B4-BE49-F238E27FC236}">
              <a16:creationId xmlns:a16="http://schemas.microsoft.com/office/drawing/2014/main" id="{00000000-0008-0000-0C00-000007000000}"/>
            </a:ext>
          </a:extLst>
        </xdr:cNvPr>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9305925" cy="1924049"/>
          <a:chOff x="9524" y="19051"/>
          <a:chExt cx="10364524"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D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D00-000007000000}"/>
            </a:ext>
          </a:extLst>
        </xdr:cNvPr>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1"/>
          <a:ext cx="8594861" cy="1915766"/>
          <a:chOff x="200024" y="4499942"/>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3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3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466725</xdr:colOff>
          <xdr:row>16</xdr:row>
          <xdr:rowOff>161925</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CA"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4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4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5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5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5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57150" y="66675"/>
          <a:ext cx="8817415" cy="1839566"/>
          <a:chOff x="200024" y="4499942"/>
          <a:chExt cx="8857420" cy="1915766"/>
        </a:xfrm>
      </xdr:grpSpPr>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a:extLst>
              <a:ext uri="{FF2B5EF4-FFF2-40B4-BE49-F238E27FC236}">
                <a16:creationId xmlns:a16="http://schemas.microsoft.com/office/drawing/2014/main" id="{00000000-0008-0000-0600-000009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a:extLst>
              <a:ext uri="{FF2B5EF4-FFF2-40B4-BE49-F238E27FC236}">
                <a16:creationId xmlns:a16="http://schemas.microsoft.com/office/drawing/2014/main" id="{00000000-0008-0000-0600-00000A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600-00000C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0" y="0"/>
          <a:ext cx="8857420" cy="1915766"/>
          <a:chOff x="200024" y="4499942"/>
          <a:chExt cx="8857420" cy="1915766"/>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7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7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0"/>
          <a:ext cx="8871708" cy="1915766"/>
          <a:chOff x="200024" y="4499942"/>
          <a:chExt cx="8857420" cy="1915766"/>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8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8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8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9972675" cy="1924049"/>
          <a:chOff x="9524" y="19051"/>
          <a:chExt cx="10364524"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9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a:extLst>
            <a:ext uri="{FF2B5EF4-FFF2-40B4-BE49-F238E27FC236}">
              <a16:creationId xmlns:a16="http://schemas.microsoft.com/office/drawing/2014/main" id="{00000000-0008-0000-0900-000007000000}"/>
            </a:ext>
          </a:extLst>
        </xdr:cNvPr>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63</xdr:row>
      <xdr:rowOff>133351</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9544050" cy="1811990"/>
          <a:chOff x="9524" y="19051"/>
          <a:chExt cx="10364524"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A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a:extLst>
            <a:ext uri="{FF2B5EF4-FFF2-40B4-BE49-F238E27FC236}">
              <a16:creationId xmlns:a16="http://schemas.microsoft.com/office/drawing/2014/main" id="{00000000-0008-0000-0A00-000006000000}"/>
            </a:ext>
          </a:extLst>
        </xdr:cNvPr>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a:extLst>
            <a:ext uri="{FF2B5EF4-FFF2-40B4-BE49-F238E27FC236}">
              <a16:creationId xmlns:a16="http://schemas.microsoft.com/office/drawing/2014/main" id="{00000000-0008-0000-0A00-000007000000}"/>
            </a:ext>
          </a:extLst>
        </xdr:cNvPr>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Corporation-Brampton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9"/>
  <dimension ref="A1:CK320"/>
  <sheetViews>
    <sheetView topLeftCell="AI54" workbookViewId="0">
      <selection activeCell="AL74" sqref="AL74"/>
    </sheetView>
  </sheetViews>
  <sheetFormatPr defaultRowHeight="15" x14ac:dyDescent="0.25"/>
  <cols>
    <col min="1" max="1" width="105.5703125" bestFit="1" customWidth="1"/>
    <col min="9" max="9" width="132.140625" bestFit="1" customWidth="1"/>
    <col min="11" max="11" width="2.42578125" customWidth="1"/>
    <col min="12" max="12" width="59.140625" bestFit="1" customWidth="1"/>
    <col min="20" max="20" width="8.85546875" style="94"/>
    <col min="23" max="23" width="35.42578125" bestFit="1" customWidth="1"/>
    <col min="26" max="26" width="90.42578125" bestFit="1" customWidth="1"/>
    <col min="27" max="27" width="110" bestFit="1" customWidth="1"/>
    <col min="38" max="39" width="83" bestFit="1" customWidth="1"/>
    <col min="41" max="41" width="63.85546875" style="39" customWidth="1"/>
    <col min="43" max="43" width="14.85546875" customWidth="1"/>
    <col min="46" max="46" width="56.42578125" customWidth="1"/>
  </cols>
  <sheetData>
    <row r="1" spans="1:89" x14ac:dyDescent="0.25">
      <c r="B1" t="s">
        <v>23</v>
      </c>
      <c r="C1">
        <f>COUNTA(B1:B17)</f>
        <v>4</v>
      </c>
      <c r="I1" t="s">
        <v>24</v>
      </c>
      <c r="L1" s="26" t="s">
        <v>25</v>
      </c>
      <c r="N1" s="26" t="s">
        <v>26</v>
      </c>
      <c r="O1" s="26" t="s">
        <v>27</v>
      </c>
      <c r="P1" s="26" t="s">
        <v>28</v>
      </c>
      <c r="T1" s="27"/>
      <c r="Z1" s="28" t="s">
        <v>29</v>
      </c>
      <c r="AA1" s="28" t="s">
        <v>30</v>
      </c>
      <c r="AB1" s="29" t="s">
        <v>31</v>
      </c>
      <c r="AL1" s="368" t="s">
        <v>858</v>
      </c>
      <c r="AO1" s="31" t="s">
        <v>33</v>
      </c>
      <c r="AP1" t="s">
        <v>34</v>
      </c>
      <c r="AT1" s="32" t="s">
        <v>35</v>
      </c>
      <c r="AU1" s="33"/>
      <c r="AV1" s="33"/>
      <c r="AW1" s="34"/>
      <c r="AX1" s="33"/>
      <c r="AY1" s="33"/>
      <c r="AZ1" s="418"/>
      <c r="BA1" s="418"/>
      <c r="BB1" s="34"/>
      <c r="BC1" s="35"/>
      <c r="BD1" s="35"/>
      <c r="BE1" s="36"/>
      <c r="CC1" s="37"/>
      <c r="CD1" s="38"/>
    </row>
    <row r="2" spans="1:89" s="39" customFormat="1" x14ac:dyDescent="0.25">
      <c r="A2" t="s">
        <v>36</v>
      </c>
      <c r="B2" t="s">
        <v>37</v>
      </c>
      <c r="C2"/>
      <c r="D2"/>
      <c r="E2"/>
      <c r="F2"/>
      <c r="G2"/>
      <c r="H2"/>
      <c r="I2" t="s">
        <v>38</v>
      </c>
      <c r="K2"/>
      <c r="L2" s="29" t="s">
        <v>39</v>
      </c>
      <c r="M2"/>
      <c r="N2" t="s">
        <v>40</v>
      </c>
      <c r="O2" t="s">
        <v>41</v>
      </c>
      <c r="P2" t="s">
        <v>40</v>
      </c>
      <c r="Q2"/>
      <c r="R2"/>
      <c r="T2" s="27"/>
      <c r="U2"/>
      <c r="V2"/>
      <c r="W2" s="40"/>
      <c r="X2" s="40"/>
      <c r="Y2" s="40"/>
      <c r="Z2" s="28" t="s">
        <v>42</v>
      </c>
      <c r="AA2" s="28" t="s">
        <v>43</v>
      </c>
      <c r="AB2" s="29" t="s">
        <v>39</v>
      </c>
      <c r="AC2" s="40"/>
      <c r="AD2" s="40"/>
      <c r="AE2" s="40"/>
      <c r="AF2" s="40"/>
      <c r="AG2" s="40"/>
      <c r="AH2" s="40"/>
      <c r="AI2" s="40"/>
      <c r="AJ2" s="40"/>
      <c r="AK2" s="40"/>
      <c r="AL2" s="368" t="s">
        <v>859</v>
      </c>
      <c r="AM2"/>
      <c r="AN2" s="40"/>
      <c r="AO2" s="41" t="s">
        <v>45</v>
      </c>
      <c r="AP2" t="s">
        <v>34</v>
      </c>
      <c r="AS2" s="40"/>
      <c r="AT2" s="42" t="s">
        <v>46</v>
      </c>
      <c r="AU2" s="43"/>
      <c r="AV2" s="44"/>
      <c r="AW2" s="45">
        <f>AU2*AV2</f>
        <v>0</v>
      </c>
      <c r="AX2" s="43">
        <f t="shared" ref="AX2:AY4" si="0">AU2</f>
        <v>0</v>
      </c>
      <c r="AY2" s="46">
        <f t="shared" si="0"/>
        <v>0</v>
      </c>
      <c r="AZ2" s="419">
        <f>AX2*AY2</f>
        <v>0</v>
      </c>
      <c r="BA2" s="419"/>
      <c r="BB2" s="47">
        <f>AZ2-AW2</f>
        <v>0</v>
      </c>
      <c r="BC2" s="48" t="e">
        <f>BB2/AW2</f>
        <v>#DIV/0!</v>
      </c>
      <c r="BD2" s="48"/>
      <c r="BE2" s="49"/>
      <c r="BF2" s="40"/>
      <c r="BG2" s="40"/>
      <c r="BH2" s="40"/>
      <c r="BI2" s="40"/>
      <c r="BJ2" s="40"/>
      <c r="BK2" s="40"/>
      <c r="BL2" s="40"/>
      <c r="BM2" s="40"/>
      <c r="BN2" s="40"/>
      <c r="BO2" s="40"/>
      <c r="BP2" s="40"/>
      <c r="BQ2" s="40"/>
      <c r="BR2" s="40"/>
      <c r="BS2" s="40"/>
      <c r="BT2" s="40"/>
      <c r="BU2" s="40"/>
      <c r="BV2" s="40"/>
      <c r="BW2" s="40"/>
      <c r="BX2" s="40"/>
      <c r="BY2" s="40"/>
      <c r="BZ2" s="40"/>
      <c r="CA2" s="40"/>
      <c r="CB2" s="40"/>
      <c r="CC2"/>
      <c r="CD2" s="38"/>
      <c r="CE2" s="40"/>
      <c r="CF2" s="40"/>
      <c r="CG2" s="40"/>
      <c r="CH2" s="40"/>
      <c r="CI2" s="40"/>
      <c r="CJ2" s="40"/>
      <c r="CK2" s="40"/>
    </row>
    <row r="3" spans="1:89" x14ac:dyDescent="0.25">
      <c r="A3" t="s">
        <v>47</v>
      </c>
      <c r="B3" t="s">
        <v>48</v>
      </c>
      <c r="I3" t="s">
        <v>49</v>
      </c>
      <c r="L3" s="29" t="s">
        <v>50</v>
      </c>
      <c r="N3" t="s">
        <v>41</v>
      </c>
      <c r="O3" t="s">
        <v>51</v>
      </c>
      <c r="P3" t="s">
        <v>52</v>
      </c>
      <c r="T3" s="27"/>
      <c r="W3" t="s">
        <v>53</v>
      </c>
      <c r="Z3" s="28" t="s">
        <v>54</v>
      </c>
      <c r="AA3" s="28" t="s">
        <v>55</v>
      </c>
      <c r="AB3" s="29" t="s">
        <v>50</v>
      </c>
      <c r="AL3" s="368" t="s">
        <v>860</v>
      </c>
      <c r="AO3" s="31" t="s">
        <v>45</v>
      </c>
      <c r="AP3" t="s">
        <v>34</v>
      </c>
      <c r="AT3" s="42" t="s">
        <v>57</v>
      </c>
      <c r="AU3" s="43"/>
      <c r="AV3" s="44"/>
      <c r="AW3" s="45">
        <f>AU3*AV3</f>
        <v>0</v>
      </c>
      <c r="AX3" s="43">
        <f t="shared" si="0"/>
        <v>0</v>
      </c>
      <c r="AY3" s="46">
        <f t="shared" si="0"/>
        <v>0</v>
      </c>
      <c r="AZ3" s="419">
        <f>AX3*AY3</f>
        <v>0</v>
      </c>
      <c r="BA3" s="419"/>
      <c r="BB3" s="47">
        <f>AZ3-AW3</f>
        <v>0</v>
      </c>
      <c r="BC3" s="48" t="e">
        <f>BB3/AW3</f>
        <v>#DIV/0!</v>
      </c>
      <c r="BD3" s="48"/>
      <c r="BE3" s="49"/>
      <c r="CC3" s="37"/>
      <c r="CD3" s="38"/>
    </row>
    <row r="4" spans="1:89" x14ac:dyDescent="0.25">
      <c r="A4" t="s">
        <v>58</v>
      </c>
      <c r="B4" t="s">
        <v>59</v>
      </c>
      <c r="I4" t="s">
        <v>60</v>
      </c>
      <c r="L4" s="29" t="s">
        <v>61</v>
      </c>
      <c r="N4" t="s">
        <v>51</v>
      </c>
      <c r="O4" t="s">
        <v>62</v>
      </c>
      <c r="T4" s="27"/>
      <c r="W4" t="s">
        <v>63</v>
      </c>
      <c r="Z4" s="28" t="s">
        <v>30</v>
      </c>
      <c r="AA4" s="28" t="s">
        <v>64</v>
      </c>
      <c r="AB4" s="29" t="s">
        <v>61</v>
      </c>
      <c r="AL4" s="368" t="s">
        <v>861</v>
      </c>
      <c r="AO4" s="31" t="s">
        <v>65</v>
      </c>
      <c r="AP4" t="s">
        <v>66</v>
      </c>
      <c r="AT4" s="42" t="s">
        <v>67</v>
      </c>
      <c r="AU4" s="50"/>
      <c r="AV4" s="43"/>
      <c r="AW4" s="45">
        <f>AU4*AV4</f>
        <v>0</v>
      </c>
      <c r="AX4" s="50">
        <f t="shared" si="0"/>
        <v>0</v>
      </c>
      <c r="AY4" s="51">
        <f t="shared" si="0"/>
        <v>0</v>
      </c>
      <c r="AZ4" s="419">
        <f>AX4*AY4</f>
        <v>0</v>
      </c>
      <c r="BA4" s="419"/>
      <c r="BB4" s="47">
        <f>AZ4-AW4</f>
        <v>0</v>
      </c>
      <c r="BC4" s="48" t="e">
        <f>BB4/AW4</f>
        <v>#DIV/0!</v>
      </c>
      <c r="BD4" s="48"/>
      <c r="BE4" s="49"/>
      <c r="CD4" s="38"/>
    </row>
    <row r="5" spans="1:89" x14ac:dyDescent="0.25">
      <c r="A5" t="s">
        <v>68</v>
      </c>
      <c r="I5" t="s">
        <v>69</v>
      </c>
      <c r="L5" s="29" t="s">
        <v>70</v>
      </c>
      <c r="N5" t="s">
        <v>62</v>
      </c>
      <c r="T5" s="27"/>
      <c r="W5" t="s">
        <v>71</v>
      </c>
      <c r="Z5" s="28" t="s">
        <v>72</v>
      </c>
      <c r="AA5" s="28" t="s">
        <v>73</v>
      </c>
      <c r="AB5" s="29" t="s">
        <v>70</v>
      </c>
      <c r="AL5" s="368" t="s">
        <v>882</v>
      </c>
      <c r="AO5" s="31" t="s">
        <v>75</v>
      </c>
      <c r="AP5" t="s">
        <v>66</v>
      </c>
      <c r="AT5" s="32" t="s">
        <v>76</v>
      </c>
      <c r="AU5" s="33"/>
      <c r="AV5" s="33"/>
      <c r="AW5" s="34">
        <f>SUM(AW2:AW4)</f>
        <v>0</v>
      </c>
      <c r="AX5" s="33"/>
      <c r="AY5" s="33"/>
      <c r="AZ5" s="418">
        <f>SUM(AZ2:BA4)</f>
        <v>0</v>
      </c>
      <c r="BA5" s="418"/>
      <c r="BB5" s="34">
        <f>AZ5-AW5</f>
        <v>0</v>
      </c>
      <c r="BC5" s="52" t="e">
        <f>BB5/AW5</f>
        <v>#DIV/0!</v>
      </c>
      <c r="BD5" s="35"/>
      <c r="BE5" s="36"/>
      <c r="CD5" s="38"/>
    </row>
    <row r="6" spans="1:89" x14ac:dyDescent="0.25">
      <c r="A6" t="s">
        <v>77</v>
      </c>
      <c r="I6" t="s">
        <v>78</v>
      </c>
      <c r="L6" s="29" t="s">
        <v>79</v>
      </c>
      <c r="T6" s="27"/>
      <c r="W6" t="s">
        <v>80</v>
      </c>
      <c r="Z6" s="28" t="s">
        <v>81</v>
      </c>
      <c r="AA6" s="28" t="s">
        <v>82</v>
      </c>
      <c r="AB6" s="29" t="s">
        <v>79</v>
      </c>
      <c r="AL6" s="368" t="s">
        <v>32</v>
      </c>
      <c r="AO6" s="31" t="s">
        <v>84</v>
      </c>
      <c r="AP6" t="s">
        <v>34</v>
      </c>
      <c r="AT6" s="53" t="s">
        <v>85</v>
      </c>
      <c r="AU6" s="43"/>
      <c r="AV6" s="54"/>
      <c r="AW6" s="45">
        <f>AU6*AV6</f>
        <v>0</v>
      </c>
      <c r="AX6" s="43">
        <f>AU6</f>
        <v>0</v>
      </c>
      <c r="AY6" s="46">
        <f>AV6</f>
        <v>0</v>
      </c>
      <c r="AZ6" s="417">
        <f>AX6*AY6</f>
        <v>0</v>
      </c>
      <c r="BA6" s="417"/>
      <c r="BB6" s="47">
        <f>AZ6-AW6</f>
        <v>0</v>
      </c>
      <c r="BC6" s="48" t="e">
        <f>BB6/AW6</f>
        <v>#DIV/0!</v>
      </c>
      <c r="BD6" s="55"/>
      <c r="BE6" s="56"/>
      <c r="CD6" s="38"/>
    </row>
    <row r="7" spans="1:89" x14ac:dyDescent="0.25">
      <c r="A7" t="s">
        <v>86</v>
      </c>
      <c r="I7" t="s">
        <v>87</v>
      </c>
      <c r="L7" s="57"/>
      <c r="T7" s="27"/>
      <c r="Z7" s="28"/>
      <c r="AA7" s="28"/>
      <c r="AL7" s="368" t="s">
        <v>44</v>
      </c>
      <c r="AO7" s="31" t="s">
        <v>88</v>
      </c>
      <c r="AP7" t="s">
        <v>34</v>
      </c>
      <c r="AT7" s="58"/>
      <c r="AU7" s="59"/>
      <c r="AV7" s="59"/>
      <c r="AW7" s="60"/>
      <c r="AX7" s="59"/>
      <c r="AY7" s="59"/>
      <c r="AZ7" s="421"/>
      <c r="BA7" s="422"/>
      <c r="BB7" s="61"/>
      <c r="BC7" s="62"/>
      <c r="BD7" s="63"/>
      <c r="BE7" s="64"/>
      <c r="CC7" s="37"/>
      <c r="CD7" s="38"/>
    </row>
    <row r="8" spans="1:89" x14ac:dyDescent="0.25">
      <c r="A8" t="s">
        <v>89</v>
      </c>
      <c r="I8" t="s">
        <v>90</v>
      </c>
      <c r="L8" s="29" t="s">
        <v>91</v>
      </c>
      <c r="T8" s="27"/>
      <c r="W8" t="s">
        <v>92</v>
      </c>
      <c r="Z8" s="28" t="s">
        <v>93</v>
      </c>
      <c r="AA8" s="28" t="s">
        <v>94</v>
      </c>
      <c r="AB8" s="29" t="s">
        <v>91</v>
      </c>
      <c r="AL8" s="368" t="s">
        <v>56</v>
      </c>
      <c r="AO8" s="31" t="s">
        <v>96</v>
      </c>
      <c r="AP8" t="s">
        <v>34</v>
      </c>
      <c r="AT8" s="53" t="s">
        <v>97</v>
      </c>
      <c r="AU8" s="65"/>
      <c r="AV8" s="65"/>
      <c r="AW8" s="47"/>
      <c r="AX8" s="66"/>
      <c r="AY8" s="66"/>
      <c r="AZ8" s="423"/>
      <c r="BA8" s="423"/>
      <c r="BB8" s="47">
        <f>AZ8-AW8</f>
        <v>0</v>
      </c>
      <c r="BC8" s="48"/>
      <c r="BD8" s="48"/>
      <c r="BE8" s="49"/>
      <c r="CD8" s="38"/>
    </row>
    <row r="9" spans="1:89" x14ac:dyDescent="0.25">
      <c r="A9" t="s">
        <v>98</v>
      </c>
      <c r="I9" t="s">
        <v>99</v>
      </c>
      <c r="L9" s="57" t="s">
        <v>100</v>
      </c>
      <c r="T9" s="27"/>
      <c r="W9" t="s">
        <v>101</v>
      </c>
      <c r="Z9" s="28" t="s">
        <v>102</v>
      </c>
      <c r="AA9" s="28" t="s">
        <v>103</v>
      </c>
      <c r="AL9" s="368" t="s">
        <v>74</v>
      </c>
      <c r="AO9" s="31" t="s">
        <v>105</v>
      </c>
      <c r="AP9" t="s">
        <v>34</v>
      </c>
      <c r="AT9" s="67" t="s">
        <v>106</v>
      </c>
      <c r="AU9" s="68"/>
      <c r="AV9" s="69"/>
      <c r="AW9" s="47">
        <f>AV9*AW8</f>
        <v>0</v>
      </c>
      <c r="AX9" s="68"/>
      <c r="AY9" s="69">
        <f>AV9</f>
        <v>0</v>
      </c>
      <c r="AZ9" s="423">
        <f>AY9*AZ8</f>
        <v>0</v>
      </c>
      <c r="BA9" s="423"/>
      <c r="BB9" s="47">
        <f>AZ9-AW9</f>
        <v>0</v>
      </c>
      <c r="BC9" s="48" t="e">
        <f>BB9/AW9</f>
        <v>#DIV/0!</v>
      </c>
      <c r="BD9" s="48"/>
      <c r="BE9" s="49"/>
      <c r="CC9" s="37"/>
      <c r="CD9" s="38"/>
    </row>
    <row r="10" spans="1:89" x14ac:dyDescent="0.25">
      <c r="A10" t="s">
        <v>107</v>
      </c>
      <c r="I10" t="s">
        <v>108</v>
      </c>
      <c r="L10" s="57" t="s">
        <v>109</v>
      </c>
      <c r="T10" s="27"/>
      <c r="W10" t="s">
        <v>110</v>
      </c>
      <c r="Z10" s="28" t="s">
        <v>111</v>
      </c>
      <c r="AA10" s="28" t="s">
        <v>112</v>
      </c>
      <c r="AL10" s="368" t="s">
        <v>83</v>
      </c>
      <c r="AO10" s="31" t="s">
        <v>114</v>
      </c>
      <c r="AP10" t="s">
        <v>34</v>
      </c>
      <c r="AT10" s="67" t="s">
        <v>115</v>
      </c>
      <c r="AU10" s="70"/>
      <c r="AV10" s="70"/>
      <c r="AW10" s="47">
        <f>AW9+AW8</f>
        <v>0</v>
      </c>
      <c r="AX10" s="70"/>
      <c r="AY10" s="70"/>
      <c r="AZ10" s="423">
        <f>AZ9+AZ8</f>
        <v>0</v>
      </c>
      <c r="BA10" s="423"/>
      <c r="BB10" s="47">
        <f>AZ10-AW10</f>
        <v>0</v>
      </c>
      <c r="BC10" s="48" t="e">
        <f>BB10/AW10</f>
        <v>#DIV/0!</v>
      </c>
      <c r="BD10" s="48"/>
      <c r="BE10" s="49"/>
      <c r="CD10" s="38"/>
    </row>
    <row r="11" spans="1:89" x14ac:dyDescent="0.25">
      <c r="A11" t="s">
        <v>116</v>
      </c>
      <c r="I11" t="s">
        <v>117</v>
      </c>
      <c r="L11" s="57" t="s">
        <v>118</v>
      </c>
      <c r="T11" s="27"/>
      <c r="W11" t="s">
        <v>119</v>
      </c>
      <c r="Z11" s="28" t="s">
        <v>120</v>
      </c>
      <c r="AA11" s="28" t="s">
        <v>111</v>
      </c>
      <c r="AL11" s="368" t="s">
        <v>95</v>
      </c>
      <c r="AO11" s="31" t="s">
        <v>121</v>
      </c>
      <c r="AP11" t="s">
        <v>34</v>
      </c>
      <c r="AT11" s="67" t="s">
        <v>122</v>
      </c>
      <c r="AU11" s="65"/>
      <c r="AV11" s="71"/>
      <c r="AW11" s="72">
        <f>-0.1*AW10</f>
        <v>0</v>
      </c>
      <c r="AX11" s="66"/>
      <c r="AY11" s="73">
        <f>AV11</f>
        <v>0</v>
      </c>
      <c r="AZ11" s="424">
        <f>-0.1*AZ10</f>
        <v>0</v>
      </c>
      <c r="BA11" s="424"/>
      <c r="BB11" s="47">
        <f>AZ11-AW11</f>
        <v>0</v>
      </c>
      <c r="BC11" s="48" t="e">
        <f>BB11/AW11</f>
        <v>#DIV/0!</v>
      </c>
      <c r="BD11" s="48"/>
      <c r="BE11" s="49"/>
      <c r="CD11" s="38"/>
    </row>
    <row r="12" spans="1:89" ht="15.75" thickBot="1" x14ac:dyDescent="0.3">
      <c r="A12" t="s">
        <v>123</v>
      </c>
      <c r="I12" t="s">
        <v>124</v>
      </c>
      <c r="L12" s="57" t="s">
        <v>125</v>
      </c>
      <c r="T12" s="27"/>
      <c r="W12" t="s">
        <v>126</v>
      </c>
      <c r="Z12" s="28" t="s">
        <v>127</v>
      </c>
      <c r="AA12" s="28" t="s">
        <v>128</v>
      </c>
      <c r="AL12" s="368" t="s">
        <v>104</v>
      </c>
      <c r="AO12" s="31" t="s">
        <v>130</v>
      </c>
      <c r="AP12" t="s">
        <v>34</v>
      </c>
      <c r="AT12" s="74" t="s">
        <v>131</v>
      </c>
      <c r="AU12" s="75"/>
      <c r="AV12" s="75"/>
      <c r="AW12" s="76">
        <f>AW10+AW11</f>
        <v>0</v>
      </c>
      <c r="AX12" s="75"/>
      <c r="AY12" s="75"/>
      <c r="AZ12" s="420">
        <f>AZ10+AZ11</f>
        <v>0</v>
      </c>
      <c r="BA12" s="420"/>
      <c r="BB12" s="77">
        <f>AZ12-AW12</f>
        <v>0</v>
      </c>
      <c r="BC12" s="78" t="e">
        <f>BB12/AW12</f>
        <v>#DIV/0!</v>
      </c>
      <c r="BD12" s="79"/>
      <c r="BE12" s="80"/>
      <c r="CC12" s="37"/>
      <c r="CD12" s="38"/>
    </row>
    <row r="13" spans="1:89" x14ac:dyDescent="0.25">
      <c r="A13" t="s">
        <v>132</v>
      </c>
      <c r="I13" t="s">
        <v>133</v>
      </c>
      <c r="L13" s="57"/>
      <c r="T13" s="27"/>
      <c r="Z13" s="28"/>
      <c r="AA13" s="28"/>
      <c r="AL13" s="368" t="s">
        <v>113</v>
      </c>
      <c r="AO13" s="31" t="s">
        <v>135</v>
      </c>
      <c r="AP13" t="s">
        <v>34</v>
      </c>
      <c r="AT13" s="58"/>
      <c r="AU13" s="59"/>
      <c r="AV13" s="59"/>
      <c r="AW13" s="60"/>
      <c r="AX13" s="59"/>
      <c r="AY13" s="59"/>
      <c r="AZ13" s="421"/>
      <c r="BA13" s="422"/>
      <c r="BB13" s="61"/>
      <c r="BC13" s="62"/>
      <c r="BD13" s="63"/>
      <c r="BE13" s="64"/>
      <c r="CC13" s="37"/>
      <c r="CD13" s="38"/>
    </row>
    <row r="14" spans="1:89" x14ac:dyDescent="0.25">
      <c r="A14" t="s">
        <v>45</v>
      </c>
      <c r="I14" t="s">
        <v>136</v>
      </c>
      <c r="L14" s="57" t="s">
        <v>137</v>
      </c>
      <c r="T14" s="27"/>
      <c r="W14" t="s">
        <v>138</v>
      </c>
      <c r="Z14" s="28" t="s">
        <v>139</v>
      </c>
      <c r="AA14" s="28" t="s">
        <v>140</v>
      </c>
      <c r="AL14" s="368" t="s">
        <v>129</v>
      </c>
      <c r="AO14" s="31" t="s">
        <v>141</v>
      </c>
      <c r="AP14" t="s">
        <v>34</v>
      </c>
      <c r="AT14" s="53" t="s">
        <v>142</v>
      </c>
      <c r="AU14" s="65"/>
      <c r="AV14" s="65"/>
      <c r="AW14" s="47"/>
      <c r="AX14" s="66"/>
      <c r="AY14" s="66"/>
      <c r="AZ14" s="423"/>
      <c r="BA14" s="423"/>
      <c r="BB14" s="47">
        <f>AZ14-AW14</f>
        <v>0</v>
      </c>
      <c r="BC14" s="48"/>
      <c r="BD14" s="48"/>
      <c r="BE14" s="49"/>
      <c r="CD14" s="38"/>
    </row>
    <row r="15" spans="1:89" x14ac:dyDescent="0.25">
      <c r="A15" t="s">
        <v>143</v>
      </c>
      <c r="I15" t="s">
        <v>144</v>
      </c>
      <c r="L15" s="29" t="s">
        <v>31</v>
      </c>
      <c r="T15" s="27"/>
      <c r="W15" t="s">
        <v>145</v>
      </c>
      <c r="Z15" s="28" t="s">
        <v>146</v>
      </c>
      <c r="AA15" s="28" t="s">
        <v>147</v>
      </c>
      <c r="AL15" s="368" t="s">
        <v>134</v>
      </c>
      <c r="AM15" s="81"/>
      <c r="AO15" s="31" t="s">
        <v>148</v>
      </c>
      <c r="AP15" t="s">
        <v>34</v>
      </c>
      <c r="AT15" s="67" t="s">
        <v>106</v>
      </c>
      <c r="AU15" s="68"/>
      <c r="AV15" s="69"/>
      <c r="AW15" s="47">
        <f>AV15*AW14</f>
        <v>0</v>
      </c>
      <c r="AX15" s="68"/>
      <c r="AY15" s="69">
        <f>AV15</f>
        <v>0</v>
      </c>
      <c r="AZ15" s="423">
        <f>AY15*AZ14</f>
        <v>0</v>
      </c>
      <c r="BA15" s="423"/>
      <c r="BB15" s="47">
        <f>AZ15-AW15</f>
        <v>0</v>
      </c>
      <c r="BC15" s="48" t="e">
        <f>BB15/AW15</f>
        <v>#DIV/0!</v>
      </c>
      <c r="BD15" s="48"/>
      <c r="BE15" s="49"/>
      <c r="CD15" s="38"/>
    </row>
    <row r="16" spans="1:89" ht="30" x14ac:dyDescent="0.25">
      <c r="A16" t="s">
        <v>149</v>
      </c>
      <c r="I16" s="82" t="s">
        <v>150</v>
      </c>
      <c r="T16" s="27"/>
      <c r="W16" t="s">
        <v>151</v>
      </c>
      <c r="Z16" s="28" t="s">
        <v>152</v>
      </c>
      <c r="AA16" s="28" t="s">
        <v>153</v>
      </c>
      <c r="AL16" s="368" t="s">
        <v>883</v>
      </c>
      <c r="AM16" s="81"/>
      <c r="AO16" s="31" t="s">
        <v>154</v>
      </c>
      <c r="AP16" t="s">
        <v>34</v>
      </c>
      <c r="AT16" s="67" t="s">
        <v>115</v>
      </c>
      <c r="AU16" s="70"/>
      <c r="AV16" s="70"/>
      <c r="AW16" s="47">
        <f>AW15+AW14</f>
        <v>0</v>
      </c>
      <c r="AX16" s="70"/>
      <c r="AY16" s="70"/>
      <c r="AZ16" s="423">
        <f>AZ15+AZ14</f>
        <v>0</v>
      </c>
      <c r="BA16" s="423"/>
      <c r="BB16" s="47">
        <f>AZ16-AW16</f>
        <v>0</v>
      </c>
      <c r="BC16" s="48" t="e">
        <f>BB16/AW16</f>
        <v>#DIV/0!</v>
      </c>
      <c r="BD16" s="48"/>
      <c r="BE16" s="49"/>
      <c r="CD16" s="38"/>
    </row>
    <row r="17" spans="1:82" x14ac:dyDescent="0.25">
      <c r="A17" t="s">
        <v>141</v>
      </c>
      <c r="I17" t="s">
        <v>155</v>
      </c>
      <c r="T17" s="27"/>
      <c r="W17" t="s">
        <v>156</v>
      </c>
      <c r="Z17" s="28" t="s">
        <v>157</v>
      </c>
      <c r="AA17" s="28" t="s">
        <v>158</v>
      </c>
      <c r="AL17" s="368" t="s">
        <v>884</v>
      </c>
      <c r="AM17" s="81"/>
      <c r="AO17" s="31" t="s">
        <v>159</v>
      </c>
      <c r="AP17" t="s">
        <v>34</v>
      </c>
      <c r="AT17" s="67" t="s">
        <v>122</v>
      </c>
      <c r="AU17" s="65"/>
      <c r="AV17" s="71"/>
      <c r="AW17" s="72">
        <f>-0.1*AW16</f>
        <v>0</v>
      </c>
      <c r="AX17" s="66"/>
      <c r="AY17" s="73">
        <f>AV17</f>
        <v>0</v>
      </c>
      <c r="AZ17" s="424">
        <f>-0.1*AZ16</f>
        <v>0</v>
      </c>
      <c r="BA17" s="424"/>
      <c r="BB17" s="47">
        <f>AZ17-AW17</f>
        <v>0</v>
      </c>
      <c r="BC17" s="48" t="e">
        <f>BB17/AW17</f>
        <v>#DIV/0!</v>
      </c>
      <c r="BD17" s="48"/>
      <c r="BE17" s="49"/>
      <c r="CC17" s="37"/>
      <c r="CD17" s="38"/>
    </row>
    <row r="18" spans="1:82" ht="15.75" thickBot="1" x14ac:dyDescent="0.3">
      <c r="A18" t="s">
        <v>148</v>
      </c>
      <c r="I18" t="s">
        <v>160</v>
      </c>
      <c r="T18" s="27"/>
      <c r="W18" t="s">
        <v>161</v>
      </c>
      <c r="Z18" s="28" t="s">
        <v>162</v>
      </c>
      <c r="AA18" s="28" t="s">
        <v>163</v>
      </c>
      <c r="AL18" s="368" t="s">
        <v>886</v>
      </c>
      <c r="AM18" s="81"/>
      <c r="AO18" s="31" t="s">
        <v>164</v>
      </c>
      <c r="AP18" t="s">
        <v>34</v>
      </c>
      <c r="AT18" s="74" t="s">
        <v>165</v>
      </c>
      <c r="AU18" s="75"/>
      <c r="AV18" s="75"/>
      <c r="AW18" s="76">
        <f>AW16+AW17</f>
        <v>0</v>
      </c>
      <c r="AX18" s="75"/>
      <c r="AY18" s="75"/>
      <c r="AZ18" s="420">
        <f>AZ16+AZ17</f>
        <v>0</v>
      </c>
      <c r="BA18" s="420"/>
      <c r="BB18" s="77">
        <f>AZ18-AW18</f>
        <v>0</v>
      </c>
      <c r="BC18" s="78" t="e">
        <f>BB18/AW18</f>
        <v>#DIV/0!</v>
      </c>
      <c r="BD18" s="79"/>
      <c r="BE18" s="80"/>
      <c r="CD18" s="38"/>
    </row>
    <row r="19" spans="1:82" x14ac:dyDescent="0.25">
      <c r="A19" t="s">
        <v>166</v>
      </c>
      <c r="I19" t="s">
        <v>167</v>
      </c>
      <c r="T19" s="27"/>
      <c r="W19" t="s">
        <v>168</v>
      </c>
      <c r="Z19" s="28" t="s">
        <v>169</v>
      </c>
      <c r="AA19" s="28" t="s">
        <v>170</v>
      </c>
      <c r="AL19" s="368" t="s">
        <v>862</v>
      </c>
      <c r="AM19" s="81"/>
      <c r="AO19" s="31" t="s">
        <v>171</v>
      </c>
      <c r="AP19" t="s">
        <v>34</v>
      </c>
      <c r="CD19" s="38"/>
    </row>
    <row r="20" spans="1:82" x14ac:dyDescent="0.25">
      <c r="A20" t="s">
        <v>172</v>
      </c>
      <c r="I20" t="s">
        <v>173</v>
      </c>
      <c r="T20" s="27"/>
      <c r="W20" t="s">
        <v>174</v>
      </c>
      <c r="Z20" s="83" t="s">
        <v>175</v>
      </c>
      <c r="AA20" s="28" t="s">
        <v>176</v>
      </c>
      <c r="AL20" s="368" t="s">
        <v>863</v>
      </c>
      <c r="AO20" s="31" t="s">
        <v>178</v>
      </c>
      <c r="AP20" t="s">
        <v>34</v>
      </c>
      <c r="CD20" s="38"/>
    </row>
    <row r="21" spans="1:82" x14ac:dyDescent="0.25">
      <c r="A21" t="s">
        <v>179</v>
      </c>
      <c r="I21" t="s">
        <v>180</v>
      </c>
      <c r="S21" s="57"/>
      <c r="T21" s="27"/>
      <c r="W21" t="s">
        <v>181</v>
      </c>
      <c r="Z21" s="28" t="s">
        <v>182</v>
      </c>
      <c r="AA21" s="28" t="s">
        <v>183</v>
      </c>
      <c r="AL21" s="368" t="s">
        <v>177</v>
      </c>
      <c r="AO21" s="31" t="s">
        <v>184</v>
      </c>
      <c r="AP21" t="s">
        <v>34</v>
      </c>
      <c r="CC21" s="37"/>
      <c r="CD21" s="38"/>
    </row>
    <row r="22" spans="1:82" x14ac:dyDescent="0.25">
      <c r="A22" t="s">
        <v>185</v>
      </c>
      <c r="I22" t="s">
        <v>186</v>
      </c>
      <c r="T22" s="27"/>
      <c r="W22" t="s">
        <v>187</v>
      </c>
      <c r="Z22" s="28" t="s">
        <v>188</v>
      </c>
      <c r="AA22" s="28" t="s">
        <v>189</v>
      </c>
      <c r="AL22" s="368" t="s">
        <v>864</v>
      </c>
      <c r="AO22" s="31" t="s">
        <v>190</v>
      </c>
      <c r="AP22" t="s">
        <v>34</v>
      </c>
      <c r="CD22" s="38"/>
    </row>
    <row r="23" spans="1:82" x14ac:dyDescent="0.25">
      <c r="A23" t="s">
        <v>191</v>
      </c>
      <c r="I23" t="s">
        <v>192</v>
      </c>
      <c r="T23" s="27"/>
      <c r="W23" t="s">
        <v>193</v>
      </c>
      <c r="Z23" s="28" t="s">
        <v>194</v>
      </c>
      <c r="AA23" s="28" t="s">
        <v>195</v>
      </c>
      <c r="AL23" s="368" t="s">
        <v>865</v>
      </c>
      <c r="AO23" s="31" t="s">
        <v>197</v>
      </c>
      <c r="AP23" t="s">
        <v>34</v>
      </c>
      <c r="CD23" s="38"/>
    </row>
    <row r="24" spans="1:82" x14ac:dyDescent="0.25">
      <c r="A24" t="s">
        <v>198</v>
      </c>
      <c r="I24" t="s">
        <v>199</v>
      </c>
      <c r="T24" s="27"/>
      <c r="W24" t="s">
        <v>200</v>
      </c>
      <c r="Z24" s="28" t="s">
        <v>201</v>
      </c>
      <c r="AA24" s="28" t="s">
        <v>202</v>
      </c>
      <c r="AL24" s="368" t="s">
        <v>866</v>
      </c>
      <c r="AO24" s="31" t="s">
        <v>149</v>
      </c>
      <c r="AP24" t="s">
        <v>34</v>
      </c>
      <c r="CD24" s="38"/>
    </row>
    <row r="25" spans="1:82" x14ac:dyDescent="0.25">
      <c r="A25" t="s">
        <v>204</v>
      </c>
      <c r="I25" t="s">
        <v>205</v>
      </c>
      <c r="T25" s="27"/>
      <c r="W25" t="s">
        <v>206</v>
      </c>
      <c r="Z25" s="28" t="s">
        <v>207</v>
      </c>
      <c r="AA25" s="28" t="s">
        <v>208</v>
      </c>
      <c r="AL25" s="368" t="s">
        <v>196</v>
      </c>
      <c r="AO25" s="31" t="s">
        <v>210</v>
      </c>
      <c r="AP25" t="s">
        <v>34</v>
      </c>
      <c r="CC25" s="37"/>
      <c r="CD25" s="38"/>
    </row>
    <row r="26" spans="1:82" x14ac:dyDescent="0.25">
      <c r="A26" t="s">
        <v>211</v>
      </c>
      <c r="B26" t="s">
        <v>212</v>
      </c>
      <c r="I26" t="s">
        <v>213</v>
      </c>
      <c r="T26" s="27"/>
      <c r="W26" t="s">
        <v>214</v>
      </c>
      <c r="Z26" s="83" t="s">
        <v>215</v>
      </c>
      <c r="AA26" s="28" t="s">
        <v>216</v>
      </c>
      <c r="AL26" s="368" t="s">
        <v>203</v>
      </c>
      <c r="AO26" s="31" t="s">
        <v>218</v>
      </c>
      <c r="AP26" t="s">
        <v>34</v>
      </c>
      <c r="CD26" s="38"/>
    </row>
    <row r="27" spans="1:82" x14ac:dyDescent="0.25">
      <c r="A27" t="s">
        <v>219</v>
      </c>
      <c r="B27" t="s">
        <v>220</v>
      </c>
      <c r="I27" t="s">
        <v>221</v>
      </c>
      <c r="T27" s="27"/>
      <c r="W27" t="s">
        <v>222</v>
      </c>
      <c r="Z27" s="28" t="s">
        <v>223</v>
      </c>
      <c r="AA27" s="28" t="s">
        <v>224</v>
      </c>
      <c r="AL27" s="368" t="s">
        <v>209</v>
      </c>
      <c r="AO27" s="31" t="s">
        <v>89</v>
      </c>
      <c r="AP27" t="s">
        <v>34</v>
      </c>
      <c r="CD27" s="38"/>
    </row>
    <row r="28" spans="1:82" x14ac:dyDescent="0.25">
      <c r="A28" t="s">
        <v>225</v>
      </c>
      <c r="B28" t="s">
        <v>226</v>
      </c>
      <c r="I28" t="s">
        <v>227</v>
      </c>
      <c r="T28" s="27"/>
      <c r="W28" t="s">
        <v>228</v>
      </c>
      <c r="Z28" s="28" t="s">
        <v>229</v>
      </c>
      <c r="AA28" s="28" t="s">
        <v>230</v>
      </c>
      <c r="AL28" s="368" t="s">
        <v>217</v>
      </c>
      <c r="AO28" s="31" t="s">
        <v>231</v>
      </c>
      <c r="AP28" t="s">
        <v>34</v>
      </c>
      <c r="CD28" s="38"/>
    </row>
    <row r="29" spans="1:82" x14ac:dyDescent="0.25">
      <c r="A29" t="s">
        <v>33</v>
      </c>
      <c r="B29" t="s">
        <v>232</v>
      </c>
      <c r="I29" t="s">
        <v>233</v>
      </c>
      <c r="T29" s="27"/>
      <c r="W29" t="s">
        <v>234</v>
      </c>
      <c r="Z29" s="28" t="s">
        <v>235</v>
      </c>
      <c r="AA29" s="28" t="s">
        <v>236</v>
      </c>
      <c r="AL29" s="368" t="s">
        <v>867</v>
      </c>
      <c r="AO29" s="31" t="s">
        <v>237</v>
      </c>
      <c r="AP29" t="s">
        <v>34</v>
      </c>
      <c r="CC29" s="37"/>
      <c r="CD29" s="38"/>
    </row>
    <row r="30" spans="1:82" x14ac:dyDescent="0.25">
      <c r="A30" t="s">
        <v>238</v>
      </c>
      <c r="B30" t="s">
        <v>239</v>
      </c>
      <c r="I30" t="s">
        <v>240</v>
      </c>
      <c r="T30" s="27"/>
      <c r="W30" t="s">
        <v>241</v>
      </c>
      <c r="Z30" s="28" t="s">
        <v>242</v>
      </c>
      <c r="AA30" s="28" t="s">
        <v>157</v>
      </c>
      <c r="AL30" s="368" t="s">
        <v>243</v>
      </c>
      <c r="AO30" s="31" t="s">
        <v>244</v>
      </c>
      <c r="AP30" t="s">
        <v>34</v>
      </c>
      <c r="CD30" s="38"/>
    </row>
    <row r="31" spans="1:82" x14ac:dyDescent="0.25">
      <c r="A31" t="s">
        <v>245</v>
      </c>
      <c r="B31" t="s">
        <v>246</v>
      </c>
      <c r="I31" t="s">
        <v>247</v>
      </c>
      <c r="T31" s="27"/>
      <c r="W31" t="s">
        <v>248</v>
      </c>
      <c r="Z31" s="83" t="s">
        <v>249</v>
      </c>
      <c r="AA31" s="28" t="s">
        <v>250</v>
      </c>
      <c r="AL31" s="368" t="s">
        <v>868</v>
      </c>
      <c r="AO31" s="31" t="s">
        <v>251</v>
      </c>
      <c r="AP31" t="s">
        <v>34</v>
      </c>
      <c r="CD31" s="38"/>
    </row>
    <row r="32" spans="1:82" x14ac:dyDescent="0.25">
      <c r="A32" t="s">
        <v>252</v>
      </c>
      <c r="B32" t="s">
        <v>253</v>
      </c>
      <c r="I32" t="s">
        <v>254</v>
      </c>
      <c r="T32" s="27"/>
      <c r="W32" t="s">
        <v>255</v>
      </c>
      <c r="Z32" s="28" t="s">
        <v>256</v>
      </c>
      <c r="AA32" s="28" t="s">
        <v>257</v>
      </c>
      <c r="AL32" s="368" t="s">
        <v>258</v>
      </c>
      <c r="AO32" s="31" t="s">
        <v>259</v>
      </c>
      <c r="AP32" t="s">
        <v>34</v>
      </c>
      <c r="CD32" s="38"/>
    </row>
    <row r="33" spans="1:82" x14ac:dyDescent="0.25">
      <c r="A33" t="s">
        <v>260</v>
      </c>
      <c r="B33" t="s">
        <v>261</v>
      </c>
      <c r="I33" t="s">
        <v>262</v>
      </c>
      <c r="T33" s="27"/>
      <c r="W33" t="s">
        <v>263</v>
      </c>
      <c r="Z33" s="28" t="s">
        <v>264</v>
      </c>
      <c r="AA33" s="28" t="s">
        <v>188</v>
      </c>
      <c r="AL33" s="368" t="s">
        <v>265</v>
      </c>
      <c r="AO33" s="31" t="s">
        <v>219</v>
      </c>
      <c r="AP33" t="s">
        <v>34</v>
      </c>
      <c r="CC33" s="37"/>
      <c r="CD33" s="38"/>
    </row>
    <row r="34" spans="1:82" x14ac:dyDescent="0.25">
      <c r="A34" t="s">
        <v>266</v>
      </c>
      <c r="B34" t="s">
        <v>267</v>
      </c>
      <c r="I34" t="s">
        <v>268</v>
      </c>
      <c r="T34" s="27"/>
      <c r="W34" t="s">
        <v>269</v>
      </c>
      <c r="Z34" s="28" t="s">
        <v>270</v>
      </c>
      <c r="AA34" s="28" t="s">
        <v>271</v>
      </c>
      <c r="AL34" s="368" t="s">
        <v>272</v>
      </c>
      <c r="AO34" s="31" t="s">
        <v>273</v>
      </c>
      <c r="AP34" t="s">
        <v>34</v>
      </c>
      <c r="CD34" s="38"/>
    </row>
    <row r="35" spans="1:82" x14ac:dyDescent="0.25">
      <c r="A35" t="s">
        <v>274</v>
      </c>
      <c r="B35" t="s">
        <v>275</v>
      </c>
      <c r="I35" t="s">
        <v>276</v>
      </c>
      <c r="T35" s="27"/>
      <c r="Z35" s="28" t="s">
        <v>277</v>
      </c>
      <c r="AA35" s="28" t="s">
        <v>194</v>
      </c>
      <c r="AL35" s="368" t="s">
        <v>869</v>
      </c>
      <c r="AO35" s="31" t="s">
        <v>279</v>
      </c>
      <c r="AP35" t="s">
        <v>34</v>
      </c>
      <c r="CD35" s="38"/>
    </row>
    <row r="36" spans="1:82" x14ac:dyDescent="0.25">
      <c r="A36" t="s">
        <v>280</v>
      </c>
      <c r="B36" t="s">
        <v>281</v>
      </c>
      <c r="I36" t="s">
        <v>282</v>
      </c>
      <c r="T36" s="27"/>
      <c r="Z36" s="28" t="s">
        <v>283</v>
      </c>
      <c r="AA36" s="28" t="s">
        <v>284</v>
      </c>
      <c r="AL36" s="368" t="s">
        <v>870</v>
      </c>
      <c r="AM36" s="85"/>
      <c r="AO36" s="31" t="s">
        <v>285</v>
      </c>
      <c r="AP36" t="s">
        <v>34</v>
      </c>
      <c r="CD36" s="38"/>
    </row>
    <row r="37" spans="1:82" x14ac:dyDescent="0.25">
      <c r="A37" t="s">
        <v>286</v>
      </c>
      <c r="B37" t="s">
        <v>287</v>
      </c>
      <c r="I37" t="s">
        <v>288</v>
      </c>
      <c r="T37" s="27"/>
      <c r="Z37" s="28"/>
      <c r="AA37" s="28" t="s">
        <v>289</v>
      </c>
      <c r="AL37" s="368" t="s">
        <v>871</v>
      </c>
      <c r="AO37" s="31" t="s">
        <v>225</v>
      </c>
      <c r="AP37" t="s">
        <v>34</v>
      </c>
      <c r="CC37" s="37"/>
      <c r="CD37" s="38"/>
    </row>
    <row r="38" spans="1:82" x14ac:dyDescent="0.25">
      <c r="A38" t="s">
        <v>290</v>
      </c>
      <c r="I38" t="s">
        <v>291</v>
      </c>
      <c r="T38" s="27"/>
      <c r="Z38" s="28"/>
      <c r="AA38" s="28" t="s">
        <v>292</v>
      </c>
      <c r="AL38" s="368" t="s">
        <v>885</v>
      </c>
      <c r="AO38" s="31" t="s">
        <v>294</v>
      </c>
      <c r="AP38" t="s">
        <v>34</v>
      </c>
      <c r="CD38" s="38"/>
    </row>
    <row r="39" spans="1:82" x14ac:dyDescent="0.25">
      <c r="A39" t="s">
        <v>295</v>
      </c>
      <c r="I39" t="s">
        <v>296</v>
      </c>
      <c r="T39" s="27"/>
      <c r="Z39" s="28"/>
      <c r="AA39" s="28" t="s">
        <v>215</v>
      </c>
      <c r="AL39" s="368" t="s">
        <v>278</v>
      </c>
      <c r="AO39" s="31" t="s">
        <v>298</v>
      </c>
      <c r="AP39" t="s">
        <v>66</v>
      </c>
      <c r="CD39" s="38"/>
    </row>
    <row r="40" spans="1:82" x14ac:dyDescent="0.25">
      <c r="A40" t="s">
        <v>299</v>
      </c>
      <c r="I40" t="s">
        <v>300</v>
      </c>
      <c r="T40" s="27"/>
      <c r="Z40" s="28"/>
      <c r="AA40" s="28" t="s">
        <v>301</v>
      </c>
      <c r="AL40" s="368" t="s">
        <v>872</v>
      </c>
      <c r="AO40" s="31" t="s">
        <v>303</v>
      </c>
      <c r="AP40" t="s">
        <v>66</v>
      </c>
      <c r="CD40" s="38"/>
    </row>
    <row r="41" spans="1:82" x14ac:dyDescent="0.25">
      <c r="A41" t="s">
        <v>304</v>
      </c>
      <c r="I41" t="s">
        <v>305</v>
      </c>
      <c r="T41" s="27"/>
      <c r="Z41" s="28"/>
      <c r="AA41" s="28" t="s">
        <v>306</v>
      </c>
      <c r="AL41" s="368" t="s">
        <v>293</v>
      </c>
      <c r="AO41" s="31" t="s">
        <v>308</v>
      </c>
      <c r="AP41" t="s">
        <v>34</v>
      </c>
      <c r="CC41" s="37"/>
      <c r="CD41" s="38"/>
    </row>
    <row r="42" spans="1:82" x14ac:dyDescent="0.25">
      <c r="A42" t="s">
        <v>309</v>
      </c>
      <c r="I42" t="s">
        <v>310</v>
      </c>
      <c r="T42" s="27"/>
      <c r="Z42" s="28"/>
      <c r="AA42" s="28" t="s">
        <v>311</v>
      </c>
      <c r="AL42" s="368" t="s">
        <v>297</v>
      </c>
      <c r="AO42" s="31" t="s">
        <v>312</v>
      </c>
      <c r="AP42" t="s">
        <v>34</v>
      </c>
      <c r="CD42" s="38"/>
    </row>
    <row r="43" spans="1:82" x14ac:dyDescent="0.25">
      <c r="A43" t="s">
        <v>313</v>
      </c>
      <c r="I43" t="s">
        <v>314</v>
      </c>
      <c r="T43" s="27"/>
      <c r="Z43" s="28"/>
      <c r="AA43" s="28" t="s">
        <v>315</v>
      </c>
      <c r="AL43" s="368" t="s">
        <v>302</v>
      </c>
      <c r="AO43" s="31" t="s">
        <v>317</v>
      </c>
      <c r="AP43" t="s">
        <v>34</v>
      </c>
      <c r="CD43" s="38"/>
    </row>
    <row r="44" spans="1:82" ht="30" x14ac:dyDescent="0.25">
      <c r="A44" t="s">
        <v>121</v>
      </c>
      <c r="I44" s="82" t="s">
        <v>318</v>
      </c>
      <c r="T44" s="27"/>
      <c r="Z44" s="28"/>
      <c r="AA44" s="28" t="s">
        <v>319</v>
      </c>
      <c r="AL44" s="368" t="s">
        <v>307</v>
      </c>
      <c r="AO44" s="31" t="s">
        <v>320</v>
      </c>
      <c r="AP44" t="s">
        <v>34</v>
      </c>
      <c r="CD44" s="38"/>
    </row>
    <row r="45" spans="1:82" x14ac:dyDescent="0.25">
      <c r="A45" t="s">
        <v>321</v>
      </c>
      <c r="I45" t="s">
        <v>322</v>
      </c>
      <c r="T45" s="27"/>
      <c r="Z45" s="28"/>
      <c r="AA45" s="28" t="s">
        <v>323</v>
      </c>
      <c r="AL45" s="368" t="s">
        <v>873</v>
      </c>
      <c r="AO45" s="31" t="s">
        <v>324</v>
      </c>
      <c r="AP45" t="s">
        <v>34</v>
      </c>
      <c r="CC45" s="37"/>
      <c r="CD45" s="38"/>
    </row>
    <row r="46" spans="1:82" x14ac:dyDescent="0.25">
      <c r="A46" t="s">
        <v>325</v>
      </c>
      <c r="I46" t="s">
        <v>326</v>
      </c>
      <c r="T46" s="27"/>
      <c r="Z46" s="28"/>
      <c r="AA46" s="28" t="s">
        <v>327</v>
      </c>
      <c r="AL46" s="368" t="s">
        <v>316</v>
      </c>
      <c r="AO46" s="31" t="s">
        <v>329</v>
      </c>
      <c r="AP46" t="s">
        <v>34</v>
      </c>
      <c r="CD46" s="38"/>
    </row>
    <row r="47" spans="1:82" x14ac:dyDescent="0.25">
      <c r="A47" t="s">
        <v>330</v>
      </c>
      <c r="I47" t="s">
        <v>331</v>
      </c>
      <c r="T47" s="27"/>
      <c r="Z47" s="28"/>
      <c r="AA47" s="28" t="s">
        <v>242</v>
      </c>
      <c r="AL47" s="368" t="s">
        <v>328</v>
      </c>
      <c r="AO47" s="31" t="s">
        <v>333</v>
      </c>
      <c r="AP47" t="s">
        <v>34</v>
      </c>
      <c r="CD47" s="38"/>
    </row>
    <row r="48" spans="1:82" x14ac:dyDescent="0.25">
      <c r="A48" t="s">
        <v>308</v>
      </c>
      <c r="I48" t="s">
        <v>334</v>
      </c>
      <c r="T48" s="27"/>
      <c r="Z48" s="28"/>
      <c r="AA48" s="28" t="s">
        <v>335</v>
      </c>
      <c r="AL48" s="368" t="s">
        <v>874</v>
      </c>
      <c r="AO48" s="31" t="s">
        <v>337</v>
      </c>
      <c r="AP48" t="s">
        <v>66</v>
      </c>
      <c r="CD48" s="38"/>
    </row>
    <row r="49" spans="1:82" x14ac:dyDescent="0.25">
      <c r="A49" t="s">
        <v>338</v>
      </c>
      <c r="I49" t="s">
        <v>339</v>
      </c>
      <c r="T49" s="27"/>
      <c r="Z49" s="28"/>
      <c r="AA49" s="28" t="s">
        <v>340</v>
      </c>
      <c r="AL49" s="368" t="s">
        <v>875</v>
      </c>
      <c r="AO49" s="31" t="s">
        <v>341</v>
      </c>
      <c r="AP49" t="s">
        <v>66</v>
      </c>
      <c r="CC49" s="37"/>
      <c r="CD49" s="38"/>
    </row>
    <row r="50" spans="1:82" x14ac:dyDescent="0.25">
      <c r="A50" t="s">
        <v>342</v>
      </c>
      <c r="I50" t="s">
        <v>343</v>
      </c>
      <c r="T50" s="27"/>
      <c r="Z50" s="28"/>
      <c r="AA50" s="28" t="s">
        <v>344</v>
      </c>
      <c r="AL50" s="368" t="s">
        <v>332</v>
      </c>
      <c r="AO50" s="31" t="s">
        <v>345</v>
      </c>
      <c r="AP50" t="s">
        <v>66</v>
      </c>
      <c r="CC50" s="37"/>
      <c r="CD50" s="38"/>
    </row>
    <row r="51" spans="1:82" x14ac:dyDescent="0.25">
      <c r="I51" t="s">
        <v>346</v>
      </c>
      <c r="T51" s="27"/>
      <c r="Z51" s="28"/>
      <c r="AA51" s="28" t="s">
        <v>347</v>
      </c>
      <c r="AL51" s="368" t="s">
        <v>336</v>
      </c>
      <c r="AO51" s="31" t="s">
        <v>349</v>
      </c>
      <c r="AP51" t="s">
        <v>66</v>
      </c>
      <c r="CD51" s="38"/>
    </row>
    <row r="52" spans="1:82" x14ac:dyDescent="0.25">
      <c r="I52" t="s">
        <v>350</v>
      </c>
      <c r="T52" s="27"/>
      <c r="Z52" s="28"/>
      <c r="AA52" s="28" t="s">
        <v>351</v>
      </c>
      <c r="AL52" s="368" t="s">
        <v>887</v>
      </c>
      <c r="AO52" s="31" t="s">
        <v>353</v>
      </c>
      <c r="AP52" t="s">
        <v>66</v>
      </c>
      <c r="CD52" s="38"/>
    </row>
    <row r="53" spans="1:82" ht="30" x14ac:dyDescent="0.25">
      <c r="I53" s="82" t="s">
        <v>354</v>
      </c>
      <c r="T53" s="27"/>
      <c r="Z53" s="28"/>
      <c r="AA53" s="28" t="s">
        <v>355</v>
      </c>
      <c r="AL53" s="368" t="s">
        <v>888</v>
      </c>
      <c r="AO53" s="31" t="s">
        <v>357</v>
      </c>
      <c r="AP53" t="s">
        <v>34</v>
      </c>
      <c r="CC53" s="37"/>
      <c r="CD53" s="38"/>
    </row>
    <row r="54" spans="1:82" ht="30" x14ac:dyDescent="0.25">
      <c r="I54" s="82" t="s">
        <v>358</v>
      </c>
      <c r="T54" s="27"/>
      <c r="Z54" s="28"/>
      <c r="AA54" s="28" t="s">
        <v>359</v>
      </c>
      <c r="AL54" s="368" t="s">
        <v>348</v>
      </c>
      <c r="AO54" s="31" t="s">
        <v>361</v>
      </c>
      <c r="AP54" t="s">
        <v>34</v>
      </c>
      <c r="CD54" s="38"/>
    </row>
    <row r="55" spans="1:82" x14ac:dyDescent="0.25">
      <c r="I55" t="s">
        <v>362</v>
      </c>
      <c r="T55" s="27"/>
      <c r="Z55" s="28"/>
      <c r="AA55" s="28" t="s">
        <v>363</v>
      </c>
      <c r="AL55" s="368" t="s">
        <v>352</v>
      </c>
      <c r="AO55" s="31" t="s">
        <v>365</v>
      </c>
      <c r="AP55" t="s">
        <v>34</v>
      </c>
      <c r="CD55" s="86"/>
    </row>
    <row r="56" spans="1:82" x14ac:dyDescent="0.25">
      <c r="I56" t="s">
        <v>366</v>
      </c>
      <c r="T56" s="27"/>
      <c r="Z56" s="28"/>
      <c r="AA56" s="28" t="s">
        <v>367</v>
      </c>
      <c r="AL56" s="368" t="s">
        <v>356</v>
      </c>
      <c r="AO56" s="31" t="s">
        <v>369</v>
      </c>
      <c r="AP56" t="s">
        <v>34</v>
      </c>
      <c r="CC56" s="37"/>
      <c r="CD56" s="38"/>
    </row>
    <row r="57" spans="1:82" ht="30" x14ac:dyDescent="0.25">
      <c r="I57" s="82" t="s">
        <v>370</v>
      </c>
      <c r="T57" s="27"/>
      <c r="Z57" s="28"/>
      <c r="AA57" s="28" t="s">
        <v>371</v>
      </c>
      <c r="AL57" s="368" t="s">
        <v>360</v>
      </c>
      <c r="AO57" s="31" t="s">
        <v>116</v>
      </c>
      <c r="AP57" t="s">
        <v>34</v>
      </c>
      <c r="CD57" s="38"/>
    </row>
    <row r="58" spans="1:82" x14ac:dyDescent="0.25">
      <c r="I58" t="s">
        <v>373</v>
      </c>
      <c r="T58" s="27"/>
      <c r="Z58" s="28"/>
      <c r="AA58" s="28" t="s">
        <v>264</v>
      </c>
      <c r="AL58" s="368" t="s">
        <v>364</v>
      </c>
      <c r="AO58" s="31" t="s">
        <v>172</v>
      </c>
      <c r="AP58" t="s">
        <v>34</v>
      </c>
      <c r="CC58" s="37"/>
      <c r="CD58" s="38"/>
    </row>
    <row r="59" spans="1:82" x14ac:dyDescent="0.25">
      <c r="I59" t="s">
        <v>375</v>
      </c>
      <c r="T59" s="27"/>
      <c r="Z59" s="28"/>
      <c r="AA59" s="28" t="s">
        <v>270</v>
      </c>
      <c r="AL59" s="368" t="s">
        <v>368</v>
      </c>
      <c r="AO59" s="31" t="s">
        <v>179</v>
      </c>
      <c r="AP59" t="s">
        <v>34</v>
      </c>
      <c r="CD59" s="38"/>
    </row>
    <row r="60" spans="1:82" ht="30" x14ac:dyDescent="0.25">
      <c r="I60" s="82" t="s">
        <v>377</v>
      </c>
      <c r="T60" s="27"/>
      <c r="Z60" s="28"/>
      <c r="AA60" s="28" t="s">
        <v>378</v>
      </c>
      <c r="AL60" s="368" t="s">
        <v>372</v>
      </c>
      <c r="AO60" s="31" t="s">
        <v>166</v>
      </c>
      <c r="AP60" t="s">
        <v>34</v>
      </c>
      <c r="CD60" s="38"/>
    </row>
    <row r="61" spans="1:82" x14ac:dyDescent="0.25">
      <c r="I61" t="s">
        <v>380</v>
      </c>
      <c r="T61" s="27"/>
      <c r="Z61" s="28"/>
      <c r="AA61" s="28" t="s">
        <v>381</v>
      </c>
      <c r="AL61" s="368" t="s">
        <v>374</v>
      </c>
      <c r="AO61" s="31" t="s">
        <v>383</v>
      </c>
      <c r="AP61" t="s">
        <v>34</v>
      </c>
      <c r="CC61" s="37"/>
      <c r="CD61" s="38"/>
    </row>
    <row r="62" spans="1:82" x14ac:dyDescent="0.25">
      <c r="I62" t="s">
        <v>384</v>
      </c>
      <c r="T62" s="27"/>
      <c r="Z62" s="28"/>
      <c r="AA62" s="28" t="s">
        <v>385</v>
      </c>
      <c r="AL62" s="368" t="s">
        <v>376</v>
      </c>
      <c r="AO62" s="31" t="s">
        <v>386</v>
      </c>
      <c r="AP62" t="s">
        <v>40</v>
      </c>
      <c r="CD62" s="38"/>
    </row>
    <row r="63" spans="1:82" x14ac:dyDescent="0.25">
      <c r="I63" t="s">
        <v>387</v>
      </c>
      <c r="T63" s="87"/>
      <c r="Z63" s="28"/>
      <c r="AA63" s="28" t="s">
        <v>388</v>
      </c>
      <c r="AL63" s="368" t="s">
        <v>379</v>
      </c>
      <c r="AO63" s="31" t="s">
        <v>77</v>
      </c>
      <c r="AP63" t="s">
        <v>66</v>
      </c>
      <c r="CC63" s="37"/>
    </row>
    <row r="64" spans="1:82" x14ac:dyDescent="0.25">
      <c r="I64" t="s">
        <v>389</v>
      </c>
      <c r="T64" s="87"/>
      <c r="Z64" s="28"/>
      <c r="AA64" s="28" t="s">
        <v>390</v>
      </c>
      <c r="AL64" s="368" t="s">
        <v>382</v>
      </c>
      <c r="AO64" s="31" t="s">
        <v>392</v>
      </c>
      <c r="AP64" t="s">
        <v>66</v>
      </c>
      <c r="CC64" s="37"/>
    </row>
    <row r="65" spans="9:82" x14ac:dyDescent="0.25">
      <c r="I65" t="s">
        <v>393</v>
      </c>
      <c r="T65" s="87"/>
      <c r="Z65" s="28"/>
      <c r="AA65" s="28" t="s">
        <v>394</v>
      </c>
      <c r="AL65" s="368" t="s">
        <v>876</v>
      </c>
      <c r="AO65" s="31" t="s">
        <v>396</v>
      </c>
      <c r="AP65" t="s">
        <v>66</v>
      </c>
      <c r="CD65" s="38"/>
    </row>
    <row r="66" spans="9:82" x14ac:dyDescent="0.25">
      <c r="I66" t="s">
        <v>397</v>
      </c>
      <c r="T66" s="27"/>
      <c r="Z66" s="28"/>
      <c r="AA66" s="28" t="s">
        <v>398</v>
      </c>
      <c r="AL66" s="368" t="s">
        <v>877</v>
      </c>
      <c r="AO66" s="31" t="s">
        <v>399</v>
      </c>
      <c r="AP66" t="s">
        <v>66</v>
      </c>
      <c r="CC66" s="37"/>
      <c r="CD66" s="38"/>
    </row>
    <row r="67" spans="9:82" x14ac:dyDescent="0.25">
      <c r="I67" t="s">
        <v>400</v>
      </c>
      <c r="T67" s="87"/>
      <c r="Z67" s="28"/>
      <c r="AA67" s="28" t="s">
        <v>401</v>
      </c>
      <c r="AL67" s="368" t="s">
        <v>391</v>
      </c>
      <c r="AO67" s="31" t="s">
        <v>403</v>
      </c>
      <c r="AP67" t="s">
        <v>66</v>
      </c>
      <c r="CC67" s="37"/>
      <c r="CD67" s="38"/>
    </row>
    <row r="68" spans="9:82" x14ac:dyDescent="0.25">
      <c r="I68" t="s">
        <v>404</v>
      </c>
      <c r="T68" s="87"/>
      <c r="Z68" s="28"/>
      <c r="AA68" s="28" t="s">
        <v>405</v>
      </c>
      <c r="AL68" s="368" t="s">
        <v>395</v>
      </c>
      <c r="AO68" s="31" t="s">
        <v>407</v>
      </c>
      <c r="AP68" t="s">
        <v>66</v>
      </c>
      <c r="CD68" s="38"/>
    </row>
    <row r="69" spans="9:82" ht="30" x14ac:dyDescent="0.25">
      <c r="I69" s="82" t="s">
        <v>408</v>
      </c>
      <c r="T69" s="27"/>
      <c r="Z69" s="28"/>
      <c r="AA69" s="28" t="s">
        <v>409</v>
      </c>
      <c r="AL69" s="368" t="s">
        <v>402</v>
      </c>
      <c r="AO69" s="31" t="s">
        <v>411</v>
      </c>
      <c r="AP69" t="s">
        <v>66</v>
      </c>
      <c r="CC69" s="37"/>
      <c r="CD69" s="38"/>
    </row>
    <row r="70" spans="9:82" ht="30" x14ac:dyDescent="0.25">
      <c r="I70" s="82" t="s">
        <v>412</v>
      </c>
      <c r="T70" s="27"/>
      <c r="Z70" s="28"/>
      <c r="AA70" s="28" t="s">
        <v>413</v>
      </c>
      <c r="AL70" s="368" t="s">
        <v>406</v>
      </c>
      <c r="AO70" s="31" t="s">
        <v>415</v>
      </c>
      <c r="AP70" t="s">
        <v>66</v>
      </c>
      <c r="CC70" s="37"/>
      <c r="CD70" s="38"/>
    </row>
    <row r="71" spans="9:82" ht="30" x14ac:dyDescent="0.25">
      <c r="I71" s="82" t="s">
        <v>416</v>
      </c>
      <c r="T71" s="27"/>
      <c r="Z71" s="28"/>
      <c r="AA71" s="28" t="s">
        <v>417</v>
      </c>
      <c r="AL71" s="368" t="s">
        <v>410</v>
      </c>
      <c r="AO71" s="31" t="s">
        <v>418</v>
      </c>
      <c r="AP71" t="s">
        <v>66</v>
      </c>
      <c r="CD71" s="38"/>
    </row>
    <row r="72" spans="9:82" ht="30" x14ac:dyDescent="0.25">
      <c r="I72" s="82" t="s">
        <v>419</v>
      </c>
      <c r="T72" s="27"/>
      <c r="AL72" s="368" t="s">
        <v>414</v>
      </c>
      <c r="AO72" s="31" t="s">
        <v>421</v>
      </c>
      <c r="AP72" t="s">
        <v>66</v>
      </c>
      <c r="CC72" s="37"/>
      <c r="CD72" s="38"/>
    </row>
    <row r="73" spans="9:82" ht="30" x14ac:dyDescent="0.25">
      <c r="I73" s="82" t="s">
        <v>422</v>
      </c>
      <c r="T73" s="27"/>
      <c r="AL73" s="368" t="s">
        <v>420</v>
      </c>
      <c r="AO73" s="31" t="s">
        <v>423</v>
      </c>
      <c r="AP73" t="s">
        <v>66</v>
      </c>
      <c r="CC73" s="37"/>
      <c r="CD73" s="38"/>
    </row>
    <row r="74" spans="9:82" ht="30" x14ac:dyDescent="0.25">
      <c r="I74" s="82" t="s">
        <v>424</v>
      </c>
      <c r="T74" s="27"/>
      <c r="AL74" s="368"/>
      <c r="AO74" s="31" t="s">
        <v>425</v>
      </c>
      <c r="AP74" t="s">
        <v>66</v>
      </c>
      <c r="CD74" s="38"/>
    </row>
    <row r="75" spans="9:82" ht="30" x14ac:dyDescent="0.25">
      <c r="I75" s="82" t="s">
        <v>426</v>
      </c>
      <c r="T75" s="27"/>
      <c r="AL75" s="30"/>
      <c r="AO75" s="31" t="s">
        <v>427</v>
      </c>
      <c r="AP75" t="s">
        <v>66</v>
      </c>
      <c r="CC75" s="37"/>
      <c r="CD75" s="38"/>
    </row>
    <row r="76" spans="9:82" ht="30" x14ac:dyDescent="0.25">
      <c r="I76" s="82" t="s">
        <v>428</v>
      </c>
      <c r="T76" s="27"/>
      <c r="AL76" s="30"/>
      <c r="AM76" s="82"/>
      <c r="AO76" s="31" t="s">
        <v>429</v>
      </c>
      <c r="AP76" t="s">
        <v>66</v>
      </c>
      <c r="CC76" s="37"/>
    </row>
    <row r="77" spans="9:82" ht="30" x14ac:dyDescent="0.25">
      <c r="I77" s="82" t="s">
        <v>430</v>
      </c>
      <c r="T77" s="88"/>
      <c r="AL77" s="30"/>
      <c r="AO77" s="31" t="s">
        <v>342</v>
      </c>
      <c r="AP77" t="s">
        <v>66</v>
      </c>
      <c r="CD77" s="38"/>
    </row>
    <row r="78" spans="9:82" ht="30" x14ac:dyDescent="0.25">
      <c r="I78" s="82" t="s">
        <v>431</v>
      </c>
      <c r="T78" s="27"/>
      <c r="AL78" s="30"/>
      <c r="AM78" s="89"/>
      <c r="AO78" s="31" t="s">
        <v>432</v>
      </c>
      <c r="AP78" t="s">
        <v>66</v>
      </c>
      <c r="CC78" s="37"/>
      <c r="CD78" s="38"/>
    </row>
    <row r="79" spans="9:82" ht="30" x14ac:dyDescent="0.25">
      <c r="I79" s="82" t="s">
        <v>433</v>
      </c>
      <c r="T79" s="27"/>
      <c r="AL79" s="30"/>
      <c r="AM79" s="90"/>
      <c r="AO79" s="31" t="s">
        <v>434</v>
      </c>
      <c r="AP79" t="s">
        <v>66</v>
      </c>
      <c r="CC79" s="37"/>
    </row>
    <row r="80" spans="9:82" ht="30" x14ac:dyDescent="0.25">
      <c r="I80" s="82" t="s">
        <v>435</v>
      </c>
      <c r="T80" s="27"/>
      <c r="AL80" s="30"/>
      <c r="AM80" s="90"/>
      <c r="AO80" s="31" t="s">
        <v>132</v>
      </c>
      <c r="AP80" t="s">
        <v>34</v>
      </c>
    </row>
    <row r="81" spans="9:82" ht="30" x14ac:dyDescent="0.25">
      <c r="I81" s="82" t="s">
        <v>436</v>
      </c>
      <c r="T81" s="27"/>
      <c r="AL81" s="30"/>
      <c r="AM81" s="90"/>
      <c r="AO81" s="31" t="s">
        <v>437</v>
      </c>
      <c r="AP81" t="s">
        <v>66</v>
      </c>
      <c r="CC81" s="37"/>
    </row>
    <row r="82" spans="9:82" ht="30" x14ac:dyDescent="0.25">
      <c r="I82" s="82" t="s">
        <v>438</v>
      </c>
      <c r="T82" s="27"/>
      <c r="AL82" s="30"/>
      <c r="AM82" s="90"/>
      <c r="AO82" s="31" t="s">
        <v>439</v>
      </c>
      <c r="AP82" t="s">
        <v>66</v>
      </c>
      <c r="CC82" s="37"/>
    </row>
    <row r="83" spans="9:82" ht="30" x14ac:dyDescent="0.25">
      <c r="I83" s="82" t="s">
        <v>440</v>
      </c>
      <c r="T83" s="27"/>
      <c r="AL83" s="30"/>
      <c r="AM83" s="90"/>
      <c r="AO83" s="31" t="s">
        <v>441</v>
      </c>
      <c r="AP83" t="s">
        <v>66</v>
      </c>
      <c r="CD83" s="38"/>
    </row>
    <row r="84" spans="9:82" ht="30" x14ac:dyDescent="0.25">
      <c r="I84" s="82" t="s">
        <v>442</v>
      </c>
      <c r="T84" s="27"/>
      <c r="AL84" s="30"/>
      <c r="AM84" s="84"/>
      <c r="AO84" s="31" t="s">
        <v>443</v>
      </c>
      <c r="AP84" t="s">
        <v>66</v>
      </c>
      <c r="CC84" s="37"/>
      <c r="CD84" s="38"/>
    </row>
    <row r="85" spans="9:82" ht="30" x14ac:dyDescent="0.25">
      <c r="I85" s="82" t="s">
        <v>444</v>
      </c>
      <c r="T85" s="27"/>
      <c r="AL85" s="84"/>
      <c r="AM85" s="84"/>
      <c r="AO85" s="31" t="s">
        <v>445</v>
      </c>
      <c r="AP85" t="s">
        <v>66</v>
      </c>
      <c r="CC85" s="37"/>
      <c r="CD85" s="38"/>
    </row>
    <row r="86" spans="9:82" ht="30" x14ac:dyDescent="0.25">
      <c r="I86" s="82" t="s">
        <v>446</v>
      </c>
      <c r="T86" s="27"/>
      <c r="AL86" s="84"/>
      <c r="AM86" s="84"/>
      <c r="AO86" s="31" t="s">
        <v>447</v>
      </c>
      <c r="AP86" t="s">
        <v>66</v>
      </c>
      <c r="CD86" s="38"/>
    </row>
    <row r="87" spans="9:82" ht="30" x14ac:dyDescent="0.25">
      <c r="I87" s="82" t="s">
        <v>448</v>
      </c>
      <c r="T87" s="27"/>
      <c r="AL87" s="84"/>
      <c r="AM87" s="84"/>
      <c r="AO87" s="31" t="s">
        <v>449</v>
      </c>
      <c r="AP87" t="s">
        <v>66</v>
      </c>
      <c r="CC87" s="37"/>
      <c r="CD87" s="38"/>
    </row>
    <row r="88" spans="9:82" ht="30" x14ac:dyDescent="0.25">
      <c r="I88" s="82" t="s">
        <v>450</v>
      </c>
      <c r="T88" s="27"/>
      <c r="AM88" s="84"/>
      <c r="AO88" s="31" t="s">
        <v>451</v>
      </c>
      <c r="AP88" t="s">
        <v>34</v>
      </c>
      <c r="CC88" s="37"/>
      <c r="CD88" s="38"/>
    </row>
    <row r="89" spans="9:82" ht="30" x14ac:dyDescent="0.25">
      <c r="I89" s="82" t="s">
        <v>452</v>
      </c>
      <c r="T89" s="27"/>
      <c r="AO89" s="31" t="s">
        <v>453</v>
      </c>
      <c r="AP89" t="s">
        <v>34</v>
      </c>
      <c r="CD89" s="38"/>
    </row>
    <row r="90" spans="9:82" ht="30" x14ac:dyDescent="0.25">
      <c r="I90" s="82" t="s">
        <v>454</v>
      </c>
      <c r="T90" s="27"/>
      <c r="AO90" s="31" t="s">
        <v>455</v>
      </c>
      <c r="AP90" t="s">
        <v>34</v>
      </c>
      <c r="CC90" s="37"/>
      <c r="CD90" s="38"/>
    </row>
    <row r="91" spans="9:82" ht="30" x14ac:dyDescent="0.25">
      <c r="I91" s="82" t="s">
        <v>456</v>
      </c>
      <c r="T91" s="27"/>
      <c r="AO91" s="31" t="s">
        <v>457</v>
      </c>
      <c r="AP91" t="s">
        <v>34</v>
      </c>
      <c r="CC91" s="37"/>
      <c r="CD91" s="38"/>
    </row>
    <row r="92" spans="9:82" ht="30" x14ac:dyDescent="0.25">
      <c r="I92" s="82" t="s">
        <v>458</v>
      </c>
      <c r="T92" s="27"/>
      <c r="AO92" s="31" t="s">
        <v>143</v>
      </c>
      <c r="AP92" t="s">
        <v>34</v>
      </c>
      <c r="CD92" s="38"/>
    </row>
    <row r="93" spans="9:82" ht="30" x14ac:dyDescent="0.25">
      <c r="I93" s="82" t="s">
        <v>459</v>
      </c>
      <c r="T93" s="91"/>
      <c r="AO93" s="31" t="s">
        <v>460</v>
      </c>
      <c r="AP93" t="s">
        <v>34</v>
      </c>
      <c r="CC93" s="37"/>
      <c r="CD93" s="38"/>
    </row>
    <row r="94" spans="9:82" ht="30" x14ac:dyDescent="0.25">
      <c r="I94" s="82" t="s">
        <v>461</v>
      </c>
      <c r="T94" s="27"/>
      <c r="AO94" s="31" t="s">
        <v>462</v>
      </c>
      <c r="AP94" t="s">
        <v>34</v>
      </c>
      <c r="CC94" s="37"/>
    </row>
    <row r="95" spans="9:82" x14ac:dyDescent="0.25">
      <c r="I95" t="s">
        <v>463</v>
      </c>
      <c r="T95" s="27"/>
      <c r="AO95" s="31" t="s">
        <v>464</v>
      </c>
      <c r="AP95" t="s">
        <v>34</v>
      </c>
    </row>
    <row r="96" spans="9:82" x14ac:dyDescent="0.25">
      <c r="I96" t="s">
        <v>465</v>
      </c>
      <c r="T96" s="27"/>
      <c r="AO96" s="31" t="s">
        <v>466</v>
      </c>
      <c r="AP96" t="s">
        <v>34</v>
      </c>
    </row>
    <row r="97" spans="9:42" x14ac:dyDescent="0.25">
      <c r="I97" t="s">
        <v>467</v>
      </c>
      <c r="T97" s="88"/>
      <c r="AO97" s="31" t="s">
        <v>68</v>
      </c>
      <c r="AP97" t="s">
        <v>34</v>
      </c>
    </row>
    <row r="98" spans="9:42" x14ac:dyDescent="0.25">
      <c r="I98" t="s">
        <v>468</v>
      </c>
      <c r="T98" s="27"/>
      <c r="AO98" s="31" t="s">
        <v>469</v>
      </c>
      <c r="AP98" t="s">
        <v>34</v>
      </c>
    </row>
    <row r="99" spans="9:42" x14ac:dyDescent="0.25">
      <c r="I99" t="s">
        <v>470</v>
      </c>
      <c r="T99" s="27"/>
      <c r="AO99" s="31" t="s">
        <v>123</v>
      </c>
      <c r="AP99" t="s">
        <v>66</v>
      </c>
    </row>
    <row r="100" spans="9:42" x14ac:dyDescent="0.25">
      <c r="I100" t="s">
        <v>471</v>
      </c>
      <c r="T100" s="27"/>
      <c r="AO100" s="31" t="s">
        <v>472</v>
      </c>
      <c r="AP100" t="s">
        <v>34</v>
      </c>
    </row>
    <row r="101" spans="9:42" x14ac:dyDescent="0.25">
      <c r="I101" t="s">
        <v>473</v>
      </c>
      <c r="T101" s="27"/>
      <c r="AO101" s="31" t="s">
        <v>474</v>
      </c>
      <c r="AP101" t="s">
        <v>66</v>
      </c>
    </row>
    <row r="102" spans="9:42" x14ac:dyDescent="0.25">
      <c r="I102" t="s">
        <v>475</v>
      </c>
      <c r="T102" s="27"/>
      <c r="AO102" s="39" t="s">
        <v>476</v>
      </c>
      <c r="AP102" t="s">
        <v>34</v>
      </c>
    </row>
    <row r="103" spans="9:42" x14ac:dyDescent="0.25">
      <c r="I103" t="s">
        <v>477</v>
      </c>
      <c r="T103" s="27"/>
      <c r="AO103" s="39" t="s">
        <v>478</v>
      </c>
      <c r="AP103" t="s">
        <v>66</v>
      </c>
    </row>
    <row r="104" spans="9:42" x14ac:dyDescent="0.25">
      <c r="I104" t="s">
        <v>479</v>
      </c>
      <c r="T104" s="27"/>
    </row>
    <row r="105" spans="9:42" x14ac:dyDescent="0.25">
      <c r="I105" t="s">
        <v>480</v>
      </c>
      <c r="T105" s="27"/>
    </row>
    <row r="106" spans="9:42" x14ac:dyDescent="0.25">
      <c r="I106" t="s">
        <v>481</v>
      </c>
      <c r="T106" s="27"/>
    </row>
    <row r="107" spans="9:42" x14ac:dyDescent="0.25">
      <c r="I107" t="s">
        <v>482</v>
      </c>
      <c r="T107" s="27"/>
    </row>
    <row r="108" spans="9:42" ht="30" x14ac:dyDescent="0.25">
      <c r="I108" s="82" t="s">
        <v>483</v>
      </c>
      <c r="T108" s="27"/>
    </row>
    <row r="109" spans="9:42" ht="30" x14ac:dyDescent="0.25">
      <c r="I109" s="82" t="s">
        <v>484</v>
      </c>
      <c r="T109" s="27"/>
      <c r="AO109"/>
    </row>
    <row r="110" spans="9:42" ht="30" x14ac:dyDescent="0.25">
      <c r="I110" s="82" t="s">
        <v>485</v>
      </c>
      <c r="T110" s="27"/>
      <c r="AO110"/>
    </row>
    <row r="111" spans="9:42" ht="30" x14ac:dyDescent="0.25">
      <c r="I111" s="82" t="s">
        <v>486</v>
      </c>
      <c r="T111" s="27"/>
      <c r="AO111"/>
    </row>
    <row r="112" spans="9:42" x14ac:dyDescent="0.25">
      <c r="I112" t="s">
        <v>487</v>
      </c>
      <c r="T112" s="27"/>
      <c r="AO112"/>
    </row>
    <row r="113" spans="9:41" x14ac:dyDescent="0.25">
      <c r="I113" t="s">
        <v>488</v>
      </c>
      <c r="T113" s="91"/>
      <c r="AO113"/>
    </row>
    <row r="114" spans="9:41" x14ac:dyDescent="0.25">
      <c r="I114" t="s">
        <v>489</v>
      </c>
      <c r="T114" s="27"/>
      <c r="AO114"/>
    </row>
    <row r="115" spans="9:41" ht="30" x14ac:dyDescent="0.25">
      <c r="I115" s="82" t="s">
        <v>490</v>
      </c>
      <c r="T115" s="27"/>
      <c r="AO115"/>
    </row>
    <row r="116" spans="9:41" ht="30" x14ac:dyDescent="0.25">
      <c r="I116" s="82" t="s">
        <v>491</v>
      </c>
      <c r="T116" s="27"/>
      <c r="AO116"/>
    </row>
    <row r="117" spans="9:41" ht="30" x14ac:dyDescent="0.25">
      <c r="I117" s="82" t="s">
        <v>492</v>
      </c>
      <c r="T117" s="88"/>
      <c r="AO117"/>
    </row>
    <row r="118" spans="9:41" ht="30" x14ac:dyDescent="0.25">
      <c r="I118" s="82" t="s">
        <v>493</v>
      </c>
      <c r="T118" s="27"/>
      <c r="AO118"/>
    </row>
    <row r="119" spans="9:41" ht="30" x14ac:dyDescent="0.25">
      <c r="I119" s="82" t="s">
        <v>494</v>
      </c>
      <c r="T119" s="27"/>
      <c r="AO119"/>
    </row>
    <row r="120" spans="9:41" ht="30" x14ac:dyDescent="0.25">
      <c r="I120" s="82" t="s">
        <v>495</v>
      </c>
      <c r="T120" s="27"/>
      <c r="AO120"/>
    </row>
    <row r="121" spans="9:41" ht="30" x14ac:dyDescent="0.25">
      <c r="I121" s="82" t="s">
        <v>496</v>
      </c>
      <c r="T121" s="27"/>
      <c r="AO121"/>
    </row>
    <row r="122" spans="9:41" x14ac:dyDescent="0.25">
      <c r="I122" t="s">
        <v>497</v>
      </c>
      <c r="T122" s="27"/>
      <c r="AO122"/>
    </row>
    <row r="123" spans="9:41" x14ac:dyDescent="0.25">
      <c r="I123" t="s">
        <v>498</v>
      </c>
      <c r="T123" s="27"/>
      <c r="AO123"/>
    </row>
    <row r="124" spans="9:41" x14ac:dyDescent="0.25">
      <c r="I124" t="s">
        <v>499</v>
      </c>
      <c r="T124" s="27"/>
      <c r="AO124"/>
    </row>
    <row r="125" spans="9:41" ht="30" x14ac:dyDescent="0.25">
      <c r="I125" s="82" t="s">
        <v>500</v>
      </c>
      <c r="T125" s="27"/>
      <c r="AO125"/>
    </row>
    <row r="126" spans="9:41" x14ac:dyDescent="0.25">
      <c r="I126" t="s">
        <v>501</v>
      </c>
      <c r="T126" s="27"/>
      <c r="AO126"/>
    </row>
    <row r="127" spans="9:41" x14ac:dyDescent="0.25">
      <c r="I127" t="s">
        <v>502</v>
      </c>
      <c r="T127" s="27"/>
      <c r="AO127"/>
    </row>
    <row r="128" spans="9:41" x14ac:dyDescent="0.25">
      <c r="I128" t="s">
        <v>503</v>
      </c>
      <c r="T128" s="27"/>
      <c r="AO128"/>
    </row>
    <row r="129" spans="9:41" x14ac:dyDescent="0.25">
      <c r="I129" t="s">
        <v>504</v>
      </c>
      <c r="T129" s="27"/>
      <c r="AO129"/>
    </row>
    <row r="130" spans="9:41" x14ac:dyDescent="0.25">
      <c r="I130" t="s">
        <v>505</v>
      </c>
      <c r="T130" s="27"/>
      <c r="AO130"/>
    </row>
    <row r="131" spans="9:41" x14ac:dyDescent="0.25">
      <c r="I131" t="s">
        <v>506</v>
      </c>
      <c r="T131" s="27"/>
      <c r="AO131"/>
    </row>
    <row r="132" spans="9:41" ht="30" x14ac:dyDescent="0.25">
      <c r="I132" s="82" t="s">
        <v>507</v>
      </c>
      <c r="T132" s="27"/>
      <c r="AO132"/>
    </row>
    <row r="133" spans="9:41" ht="30" x14ac:dyDescent="0.25">
      <c r="I133" s="82" t="s">
        <v>507</v>
      </c>
      <c r="T133" s="91"/>
      <c r="AO133"/>
    </row>
    <row r="134" spans="9:41" ht="30" x14ac:dyDescent="0.25">
      <c r="I134" s="82" t="s">
        <v>508</v>
      </c>
      <c r="T134" s="27"/>
      <c r="AO134"/>
    </row>
    <row r="135" spans="9:41" ht="30" x14ac:dyDescent="0.25">
      <c r="I135" s="82" t="s">
        <v>509</v>
      </c>
      <c r="T135" s="27"/>
      <c r="AO135"/>
    </row>
    <row r="136" spans="9:41" x14ac:dyDescent="0.25">
      <c r="I136" t="s">
        <v>510</v>
      </c>
      <c r="T136" s="27"/>
      <c r="AO136"/>
    </row>
    <row r="137" spans="9:41" x14ac:dyDescent="0.25">
      <c r="I137" t="s">
        <v>511</v>
      </c>
      <c r="T137" s="87"/>
      <c r="AO137"/>
    </row>
    <row r="138" spans="9:41" ht="30" x14ac:dyDescent="0.25">
      <c r="I138" s="82" t="s">
        <v>512</v>
      </c>
      <c r="T138" s="88"/>
      <c r="AO138"/>
    </row>
    <row r="139" spans="9:41" ht="30" x14ac:dyDescent="0.25">
      <c r="I139" s="82" t="s">
        <v>512</v>
      </c>
      <c r="T139" s="27"/>
      <c r="AO139"/>
    </row>
    <row r="140" spans="9:41" ht="30" x14ac:dyDescent="0.25">
      <c r="I140" s="82" t="s">
        <v>513</v>
      </c>
      <c r="T140" s="27"/>
      <c r="AO140"/>
    </row>
    <row r="141" spans="9:41" ht="30" x14ac:dyDescent="0.25">
      <c r="I141" s="82" t="s">
        <v>514</v>
      </c>
      <c r="T141" s="27"/>
      <c r="AO141"/>
    </row>
    <row r="142" spans="9:41" x14ac:dyDescent="0.25">
      <c r="I142" t="s">
        <v>515</v>
      </c>
      <c r="T142" s="27"/>
      <c r="AO142"/>
    </row>
    <row r="143" spans="9:41" ht="30" x14ac:dyDescent="0.25">
      <c r="I143" s="82" t="s">
        <v>516</v>
      </c>
      <c r="T143" s="27"/>
      <c r="AO143"/>
    </row>
    <row r="144" spans="9:41" ht="30" x14ac:dyDescent="0.25">
      <c r="I144" s="82" t="s">
        <v>517</v>
      </c>
      <c r="T144" s="27"/>
      <c r="AO144"/>
    </row>
    <row r="145" spans="9:41" x14ac:dyDescent="0.25">
      <c r="I145" t="s">
        <v>518</v>
      </c>
      <c r="T145" s="27"/>
      <c r="AO145"/>
    </row>
    <row r="146" spans="9:41" ht="45" x14ac:dyDescent="0.25">
      <c r="I146" s="82" t="s">
        <v>519</v>
      </c>
      <c r="T146" s="27"/>
      <c r="AO146"/>
    </row>
    <row r="147" spans="9:41" ht="30" x14ac:dyDescent="0.25">
      <c r="I147" s="82" t="s">
        <v>520</v>
      </c>
      <c r="T147" s="27"/>
      <c r="AO147"/>
    </row>
    <row r="148" spans="9:41" ht="30" x14ac:dyDescent="0.25">
      <c r="I148" s="82" t="s">
        <v>521</v>
      </c>
      <c r="T148" s="27"/>
      <c r="AO148"/>
    </row>
    <row r="149" spans="9:41" ht="30" x14ac:dyDescent="0.25">
      <c r="I149" s="82" t="s">
        <v>522</v>
      </c>
      <c r="T149" s="27"/>
      <c r="AO149"/>
    </row>
    <row r="150" spans="9:41" ht="30" x14ac:dyDescent="0.25">
      <c r="I150" s="82" t="s">
        <v>523</v>
      </c>
      <c r="T150" s="27"/>
      <c r="AO150"/>
    </row>
    <row r="151" spans="9:41" ht="30" x14ac:dyDescent="0.25">
      <c r="I151" s="82" t="s">
        <v>524</v>
      </c>
      <c r="T151" s="27"/>
      <c r="AO151"/>
    </row>
    <row r="152" spans="9:41" ht="30" x14ac:dyDescent="0.25">
      <c r="I152" s="82" t="s">
        <v>525</v>
      </c>
      <c r="T152" s="27"/>
      <c r="AO152"/>
    </row>
    <row r="153" spans="9:41" ht="30" x14ac:dyDescent="0.25">
      <c r="I153" s="82" t="s">
        <v>526</v>
      </c>
      <c r="T153" s="27"/>
      <c r="AO153"/>
    </row>
    <row r="154" spans="9:41" ht="30" x14ac:dyDescent="0.25">
      <c r="I154" s="82" t="s">
        <v>527</v>
      </c>
      <c r="T154" s="91"/>
      <c r="AO154"/>
    </row>
    <row r="155" spans="9:41" x14ac:dyDescent="0.25">
      <c r="I155" t="s">
        <v>528</v>
      </c>
      <c r="T155" s="27"/>
      <c r="AO155"/>
    </row>
    <row r="156" spans="9:41" ht="30" x14ac:dyDescent="0.25">
      <c r="I156" s="82" t="s">
        <v>529</v>
      </c>
      <c r="T156" s="27"/>
      <c r="AO156"/>
    </row>
    <row r="157" spans="9:41" ht="30" x14ac:dyDescent="0.25">
      <c r="I157" s="82" t="s">
        <v>530</v>
      </c>
      <c r="T157" s="27"/>
      <c r="AO157"/>
    </row>
    <row r="158" spans="9:41" ht="30" x14ac:dyDescent="0.25">
      <c r="I158" s="82" t="s">
        <v>531</v>
      </c>
      <c r="T158" s="88"/>
      <c r="AO158"/>
    </row>
    <row r="159" spans="9:41" ht="30" x14ac:dyDescent="0.25">
      <c r="I159" s="82" t="s">
        <v>532</v>
      </c>
      <c r="T159" s="27"/>
      <c r="AO159"/>
    </row>
    <row r="160" spans="9:41" ht="30" x14ac:dyDescent="0.25">
      <c r="I160" s="92" t="s">
        <v>533</v>
      </c>
      <c r="T160" s="27"/>
      <c r="AO160"/>
    </row>
    <row r="161" spans="9:41" x14ac:dyDescent="0.25">
      <c r="I161" t="s">
        <v>534</v>
      </c>
      <c r="T161" s="27"/>
      <c r="AO161"/>
    </row>
    <row r="162" spans="9:41" x14ac:dyDescent="0.25">
      <c r="I162" t="s">
        <v>535</v>
      </c>
      <c r="T162" s="27"/>
      <c r="AO162"/>
    </row>
    <row r="163" spans="9:41" x14ac:dyDescent="0.25">
      <c r="I163" t="s">
        <v>536</v>
      </c>
      <c r="T163" s="27"/>
      <c r="AO163"/>
    </row>
    <row r="164" spans="9:41" x14ac:dyDescent="0.25">
      <c r="I164" t="s">
        <v>537</v>
      </c>
      <c r="T164" s="27"/>
      <c r="AO164"/>
    </row>
    <row r="165" spans="9:41" x14ac:dyDescent="0.25">
      <c r="I165" t="s">
        <v>538</v>
      </c>
      <c r="T165" s="27"/>
      <c r="AO165"/>
    </row>
    <row r="166" spans="9:41" x14ac:dyDescent="0.25">
      <c r="I166" t="s">
        <v>539</v>
      </c>
      <c r="T166" s="27"/>
      <c r="AO166"/>
    </row>
    <row r="167" spans="9:41" x14ac:dyDescent="0.25">
      <c r="I167" t="s">
        <v>540</v>
      </c>
      <c r="T167" s="27"/>
      <c r="AO167"/>
    </row>
    <row r="168" spans="9:41" x14ac:dyDescent="0.25">
      <c r="I168" t="s">
        <v>541</v>
      </c>
      <c r="T168" s="27"/>
      <c r="AO168"/>
    </row>
    <row r="169" spans="9:41" x14ac:dyDescent="0.25">
      <c r="I169" t="s">
        <v>542</v>
      </c>
      <c r="T169" s="27"/>
      <c r="AO169"/>
    </row>
    <row r="170" spans="9:41" x14ac:dyDescent="0.25">
      <c r="I170" t="s">
        <v>543</v>
      </c>
      <c r="T170" s="27"/>
      <c r="AO170"/>
    </row>
    <row r="171" spans="9:41" x14ac:dyDescent="0.25">
      <c r="I171" t="s">
        <v>544</v>
      </c>
      <c r="T171" s="27"/>
      <c r="AO171"/>
    </row>
    <row r="172" spans="9:41" x14ac:dyDescent="0.25">
      <c r="I172" t="s">
        <v>545</v>
      </c>
      <c r="T172" s="27"/>
      <c r="AO172"/>
    </row>
    <row r="173" spans="9:41" x14ac:dyDescent="0.25">
      <c r="I173" t="s">
        <v>546</v>
      </c>
      <c r="T173" s="27"/>
      <c r="AO173"/>
    </row>
    <row r="174" spans="9:41" x14ac:dyDescent="0.25">
      <c r="I174" t="s">
        <v>547</v>
      </c>
      <c r="T174" s="91"/>
      <c r="AO174"/>
    </row>
    <row r="175" spans="9:41" x14ac:dyDescent="0.25">
      <c r="I175" t="s">
        <v>548</v>
      </c>
      <c r="T175" s="27"/>
      <c r="AO175"/>
    </row>
    <row r="176" spans="9:41" x14ac:dyDescent="0.25">
      <c r="I176" t="s">
        <v>549</v>
      </c>
      <c r="T176" s="27"/>
      <c r="AO176"/>
    </row>
    <row r="177" spans="1:41" ht="30" x14ac:dyDescent="0.25">
      <c r="I177" s="82" t="s">
        <v>550</v>
      </c>
      <c r="T177" s="27"/>
      <c r="AO177"/>
    </row>
    <row r="178" spans="1:41" x14ac:dyDescent="0.25">
      <c r="I178" t="s">
        <v>551</v>
      </c>
      <c r="T178" s="88"/>
      <c r="AO178"/>
    </row>
    <row r="179" spans="1:41" x14ac:dyDescent="0.25">
      <c r="I179" t="s">
        <v>552</v>
      </c>
      <c r="T179" s="27"/>
      <c r="AO179"/>
    </row>
    <row r="180" spans="1:41" x14ac:dyDescent="0.25">
      <c r="I180" t="s">
        <v>553</v>
      </c>
      <c r="T180" s="27"/>
      <c r="AO180"/>
    </row>
    <row r="181" spans="1:41" x14ac:dyDescent="0.25">
      <c r="I181" t="s">
        <v>554</v>
      </c>
      <c r="T181" s="27"/>
      <c r="AO181"/>
    </row>
    <row r="182" spans="1:41" x14ac:dyDescent="0.25">
      <c r="I182" t="s">
        <v>555</v>
      </c>
      <c r="T182" s="27"/>
      <c r="AO182"/>
    </row>
    <row r="183" spans="1:41" x14ac:dyDescent="0.25">
      <c r="I183" t="s">
        <v>556</v>
      </c>
      <c r="T183" s="27"/>
      <c r="AO183"/>
    </row>
    <row r="184" spans="1:41" x14ac:dyDescent="0.25">
      <c r="I184" t="s">
        <v>557</v>
      </c>
      <c r="T184" s="27"/>
      <c r="AO184"/>
    </row>
    <row r="185" spans="1:41" x14ac:dyDescent="0.25">
      <c r="I185" t="s">
        <v>558</v>
      </c>
      <c r="T185" s="27"/>
      <c r="AO185"/>
    </row>
    <row r="186" spans="1:41" ht="30" x14ac:dyDescent="0.25">
      <c r="I186" s="82" t="s">
        <v>559</v>
      </c>
      <c r="T186" s="27"/>
      <c r="AO186"/>
    </row>
    <row r="187" spans="1:41" ht="30" x14ac:dyDescent="0.25">
      <c r="I187" s="82" t="s">
        <v>560</v>
      </c>
      <c r="T187" s="27"/>
      <c r="AO187"/>
    </row>
    <row r="188" spans="1:41" ht="30" x14ac:dyDescent="0.25">
      <c r="I188" s="82" t="s">
        <v>561</v>
      </c>
      <c r="T188" s="27"/>
      <c r="AO188"/>
    </row>
    <row r="189" spans="1:41" ht="30" x14ac:dyDescent="0.25">
      <c r="I189" s="82" t="s">
        <v>562</v>
      </c>
      <c r="T189" s="27"/>
      <c r="AO189"/>
    </row>
    <row r="190" spans="1:41" ht="30" x14ac:dyDescent="0.25">
      <c r="A190" s="93"/>
      <c r="I190" s="82" t="s">
        <v>563</v>
      </c>
      <c r="T190" s="27"/>
      <c r="AO190"/>
    </row>
    <row r="191" spans="1:41" x14ac:dyDescent="0.25">
      <c r="A191" s="93"/>
      <c r="I191" t="s">
        <v>564</v>
      </c>
      <c r="T191" s="27"/>
      <c r="AO191"/>
    </row>
    <row r="192" spans="1:41" x14ac:dyDescent="0.25">
      <c r="I192" t="s">
        <v>565</v>
      </c>
      <c r="T192" s="27"/>
      <c r="AO192"/>
    </row>
    <row r="193" spans="1:41" x14ac:dyDescent="0.25">
      <c r="I193" t="s">
        <v>566</v>
      </c>
      <c r="T193" s="27"/>
      <c r="AO193"/>
    </row>
    <row r="194" spans="1:41" x14ac:dyDescent="0.25">
      <c r="I194" t="s">
        <v>567</v>
      </c>
      <c r="T194" s="91"/>
      <c r="AO194"/>
    </row>
    <row r="195" spans="1:41" x14ac:dyDescent="0.25">
      <c r="A195" s="93"/>
      <c r="I195" t="s">
        <v>568</v>
      </c>
      <c r="T195" s="27"/>
      <c r="AO195"/>
    </row>
    <row r="196" spans="1:41" x14ac:dyDescent="0.25">
      <c r="A196" s="93"/>
      <c r="I196" t="s">
        <v>569</v>
      </c>
      <c r="AO196"/>
    </row>
    <row r="197" spans="1:41" x14ac:dyDescent="0.25">
      <c r="I197" t="s">
        <v>570</v>
      </c>
      <c r="AO197"/>
    </row>
    <row r="198" spans="1:41" ht="14.25" customHeight="1" x14ac:dyDescent="0.25">
      <c r="A198" s="93"/>
      <c r="I198" t="s">
        <v>571</v>
      </c>
      <c r="AO198"/>
    </row>
    <row r="199" spans="1:41" ht="30" x14ac:dyDescent="0.25">
      <c r="A199" s="95"/>
      <c r="I199" s="82" t="s">
        <v>572</v>
      </c>
      <c r="AO199"/>
    </row>
    <row r="200" spans="1:41" x14ac:dyDescent="0.25">
      <c r="I200" t="s">
        <v>57</v>
      </c>
      <c r="AO200"/>
    </row>
    <row r="201" spans="1:41" ht="45" x14ac:dyDescent="0.25">
      <c r="I201" s="82" t="s">
        <v>573</v>
      </c>
      <c r="AO201"/>
    </row>
    <row r="202" spans="1:41" x14ac:dyDescent="0.25">
      <c r="I202" t="s">
        <v>574</v>
      </c>
      <c r="AO202"/>
    </row>
    <row r="203" spans="1:41" x14ac:dyDescent="0.25">
      <c r="I203" t="s">
        <v>575</v>
      </c>
      <c r="AO203"/>
    </row>
    <row r="204" spans="1:41" x14ac:dyDescent="0.25">
      <c r="I204" t="s">
        <v>576</v>
      </c>
      <c r="AO204"/>
    </row>
    <row r="205" spans="1:41" x14ac:dyDescent="0.25">
      <c r="I205" t="s">
        <v>577</v>
      </c>
      <c r="AO205"/>
    </row>
    <row r="206" spans="1:41" x14ac:dyDescent="0.25">
      <c r="I206" t="s">
        <v>578</v>
      </c>
      <c r="AO206"/>
    </row>
    <row r="207" spans="1:41" x14ac:dyDescent="0.25">
      <c r="I207" t="s">
        <v>579</v>
      </c>
      <c r="AO207"/>
    </row>
    <row r="208" spans="1:41" x14ac:dyDescent="0.25">
      <c r="I208" t="s">
        <v>580</v>
      </c>
      <c r="AO208"/>
    </row>
    <row r="209" spans="9:41" x14ac:dyDescent="0.25">
      <c r="I209" t="s">
        <v>581</v>
      </c>
      <c r="AO209"/>
    </row>
    <row r="210" spans="9:41" x14ac:dyDescent="0.25">
      <c r="I210" s="96" t="s">
        <v>582</v>
      </c>
      <c r="AO210"/>
    </row>
    <row r="211" spans="9:41" ht="45" x14ac:dyDescent="0.25">
      <c r="I211" s="82" t="s">
        <v>583</v>
      </c>
      <c r="AO211"/>
    </row>
    <row r="212" spans="9:41" ht="45" x14ac:dyDescent="0.25">
      <c r="I212" s="82" t="s">
        <v>584</v>
      </c>
      <c r="AO212"/>
    </row>
    <row r="213" spans="9:41" ht="30" x14ac:dyDescent="0.25">
      <c r="I213" s="82" t="s">
        <v>585</v>
      </c>
      <c r="AO213"/>
    </row>
    <row r="214" spans="9:41" x14ac:dyDescent="0.25">
      <c r="I214" t="s">
        <v>586</v>
      </c>
      <c r="AO214"/>
    </row>
    <row r="215" spans="9:41" x14ac:dyDescent="0.25">
      <c r="I215" s="97"/>
      <c r="AO215"/>
    </row>
    <row r="216" spans="9:41" x14ac:dyDescent="0.25">
      <c r="I216" s="97"/>
      <c r="AO216"/>
    </row>
    <row r="217" spans="9:41" x14ac:dyDescent="0.25">
      <c r="I217" s="98"/>
      <c r="AO217"/>
    </row>
    <row r="218" spans="9:41" x14ac:dyDescent="0.25">
      <c r="I218" s="99"/>
      <c r="AO218"/>
    </row>
    <row r="219" spans="9:41" x14ac:dyDescent="0.25">
      <c r="I219" s="97"/>
      <c r="AO219"/>
    </row>
    <row r="220" spans="9:41" x14ac:dyDescent="0.25">
      <c r="I220" s="97"/>
      <c r="AO220"/>
    </row>
    <row r="221" spans="9:41" x14ac:dyDescent="0.25">
      <c r="I221" s="97"/>
      <c r="AO221"/>
    </row>
    <row r="222" spans="9:41" x14ac:dyDescent="0.25">
      <c r="I222" s="97"/>
      <c r="AO222"/>
    </row>
    <row r="223" spans="9:41" x14ac:dyDescent="0.25">
      <c r="I223" s="99"/>
      <c r="AO223"/>
    </row>
    <row r="224" spans="9:41" x14ac:dyDescent="0.25">
      <c r="I224" s="99"/>
      <c r="AO224"/>
    </row>
    <row r="225" spans="9:41" x14ac:dyDescent="0.25">
      <c r="I225" s="97"/>
      <c r="AO225"/>
    </row>
    <row r="226" spans="9:41" x14ac:dyDescent="0.25">
      <c r="I226" s="99"/>
      <c r="AO226"/>
    </row>
    <row r="227" spans="9:41" x14ac:dyDescent="0.25">
      <c r="I227" s="57"/>
      <c r="AO227"/>
    </row>
    <row r="228" spans="9:41" x14ac:dyDescent="0.25">
      <c r="I228" s="57"/>
      <c r="AO228"/>
    </row>
    <row r="229" spans="9:41" x14ac:dyDescent="0.25">
      <c r="I229" s="57"/>
      <c r="AO229"/>
    </row>
    <row r="230" spans="9:41" x14ac:dyDescent="0.25">
      <c r="I230" s="57"/>
      <c r="AO230"/>
    </row>
    <row r="231" spans="9:41" x14ac:dyDescent="0.25">
      <c r="I231" s="57"/>
      <c r="AO231"/>
    </row>
    <row r="232" spans="9:41" x14ac:dyDescent="0.25">
      <c r="I232" s="57"/>
      <c r="AO232"/>
    </row>
    <row r="233" spans="9:41" x14ac:dyDescent="0.25">
      <c r="I233" s="57"/>
      <c r="AO233"/>
    </row>
    <row r="234" spans="9:41" x14ac:dyDescent="0.25">
      <c r="I234" s="57"/>
      <c r="AO234"/>
    </row>
    <row r="235" spans="9:41" x14ac:dyDescent="0.25">
      <c r="I235" s="57"/>
      <c r="AO235"/>
    </row>
    <row r="236" spans="9:41" x14ac:dyDescent="0.25">
      <c r="I236" s="57"/>
      <c r="AO236"/>
    </row>
    <row r="237" spans="9:41" x14ac:dyDescent="0.25">
      <c r="I237" s="57"/>
      <c r="AO237"/>
    </row>
    <row r="238" spans="9:41" x14ac:dyDescent="0.25">
      <c r="I238" s="57"/>
      <c r="AO238"/>
    </row>
    <row r="239" spans="9:41" x14ac:dyDescent="0.25">
      <c r="I239" s="57"/>
      <c r="AO239"/>
    </row>
    <row r="240" spans="9:41" x14ac:dyDescent="0.25">
      <c r="I240" s="57"/>
      <c r="AO240"/>
    </row>
    <row r="241" spans="9:41" x14ac:dyDescent="0.25">
      <c r="I241" s="57"/>
      <c r="AO241"/>
    </row>
    <row r="242" spans="9:41" x14ac:dyDescent="0.25">
      <c r="I242" s="57"/>
      <c r="AO242"/>
    </row>
    <row r="243" spans="9:41" x14ac:dyDescent="0.25">
      <c r="I243" s="57"/>
      <c r="AO243"/>
    </row>
    <row r="244" spans="9:41" x14ac:dyDescent="0.25">
      <c r="I244" s="57"/>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3"/>
    </row>
    <row r="299" spans="41:41" x14ac:dyDescent="0.25">
      <c r="AO299" s="93"/>
    </row>
    <row r="300" spans="41:41" x14ac:dyDescent="0.25">
      <c r="AO300"/>
    </row>
    <row r="301" spans="41:41" x14ac:dyDescent="0.25">
      <c r="AO301"/>
    </row>
    <row r="302" spans="41:41" x14ac:dyDescent="0.25">
      <c r="AO302"/>
    </row>
    <row r="303" spans="41:41" x14ac:dyDescent="0.25">
      <c r="AO303" s="93"/>
    </row>
    <row r="304" spans="41:41" x14ac:dyDescent="0.25">
      <c r="AO304" s="93"/>
    </row>
    <row r="305" spans="41:41" x14ac:dyDescent="0.25">
      <c r="AO305"/>
    </row>
    <row r="306" spans="41:41" x14ac:dyDescent="0.25">
      <c r="AO306" s="93"/>
    </row>
    <row r="307" spans="41:41" x14ac:dyDescent="0.25">
      <c r="AO307" s="95"/>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password="F8BD" sheet="1" objects="1" scenarios="1"/>
  <mergeCells count="18">
    <mergeCell ref="AZ18:BA18"/>
    <mergeCell ref="AZ7:BA7"/>
    <mergeCell ref="AZ8:BA8"/>
    <mergeCell ref="AZ9:BA9"/>
    <mergeCell ref="AZ10:BA10"/>
    <mergeCell ref="AZ11:BA11"/>
    <mergeCell ref="AZ12:BA12"/>
    <mergeCell ref="AZ13:BA13"/>
    <mergeCell ref="AZ14:BA14"/>
    <mergeCell ref="AZ15:BA15"/>
    <mergeCell ref="AZ16:BA16"/>
    <mergeCell ref="AZ17:BA17"/>
    <mergeCell ref="AZ6:BA6"/>
    <mergeCell ref="AZ1:BA1"/>
    <mergeCell ref="AZ2:BA2"/>
    <mergeCell ref="AZ3:BA3"/>
    <mergeCell ref="AZ4:BA4"/>
    <mergeCell ref="AZ5:BA5"/>
  </mergeCells>
  <dataValidations count="1">
    <dataValidation allowBlank="1" showInputMessage="1" showErrorMessage="1" sqref="I67"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F89"/>
  <sheetViews>
    <sheetView showGridLines="0" topLeftCell="A10" zoomScaleNormal="100" workbookViewId="0">
      <selection activeCell="E71" sqref="E71"/>
    </sheetView>
  </sheetViews>
  <sheetFormatPr defaultColWidth="9.140625" defaultRowHeight="15" customHeight="1" x14ac:dyDescent="0.2"/>
  <cols>
    <col min="1" max="1" width="4.140625" style="127" customWidth="1"/>
    <col min="2" max="2" width="13.5703125" style="127" customWidth="1"/>
    <col min="3" max="3" width="61.5703125" style="127" customWidth="1"/>
    <col min="4" max="4" width="3.5703125" style="127" customWidth="1"/>
    <col min="5" max="5" width="27.5703125" style="127" customWidth="1"/>
    <col min="6" max="6" width="39.140625" style="127" bestFit="1" customWidth="1"/>
    <col min="7" max="7" width="3.5703125" style="127" customWidth="1"/>
    <col min="8" max="15" width="9.140625" style="127" customWidth="1"/>
    <col min="16" max="16" width="3.5703125" style="127" customWidth="1"/>
    <col min="17" max="16384" width="9.140625" style="127"/>
  </cols>
  <sheetData>
    <row r="1" spans="1:6" x14ac:dyDescent="0.2">
      <c r="A1" s="125"/>
      <c r="B1" s="125"/>
      <c r="C1" s="125"/>
      <c r="D1" s="125"/>
      <c r="E1" s="125"/>
      <c r="F1" s="125"/>
    </row>
    <row r="2" spans="1:6" s="125" customFormat="1" ht="18" x14ac:dyDescent="0.25">
      <c r="C2" s="128"/>
    </row>
    <row r="3" spans="1:6" s="125" customFormat="1" ht="29.25" customHeight="1" x14ac:dyDescent="0.25">
      <c r="C3" s="128"/>
    </row>
    <row r="4" spans="1:6" s="125" customFormat="1" ht="29.25" customHeight="1" x14ac:dyDescent="0.25">
      <c r="C4" s="128"/>
    </row>
    <row r="5" spans="1:6" s="125" customFormat="1" ht="29.25" customHeight="1" x14ac:dyDescent="0.25">
      <c r="C5" s="128"/>
    </row>
    <row r="6" spans="1:6" s="125" customFormat="1" x14ac:dyDescent="0.2"/>
    <row r="7" spans="1:6" s="125" customFormat="1" x14ac:dyDescent="0.2"/>
    <row r="8" spans="1:6" s="125" customFormat="1" ht="15.75" x14ac:dyDescent="0.25">
      <c r="A8" s="162" t="s">
        <v>722</v>
      </c>
    </row>
    <row r="9" spans="1:6" s="125" customFormat="1" ht="23.25" x14ac:dyDescent="0.2">
      <c r="C9" s="484" t="str">
        <f>IF('1. Information Sheet'!F26 = "COS", "Preliminary Materiality Threshold Calculation", "Final Materiality Threshold Calculation")</f>
        <v>Final Materiality Threshold Calculation</v>
      </c>
      <c r="D9" s="484"/>
      <c r="E9" s="484"/>
    </row>
    <row r="10" spans="1:6" s="125" customFormat="1" ht="15.75" customHeight="1" x14ac:dyDescent="0.4">
      <c r="C10" s="163"/>
    </row>
    <row r="11" spans="1:6" s="125" customFormat="1" x14ac:dyDescent="0.2"/>
    <row r="12" spans="1:6" s="125" customFormat="1" x14ac:dyDescent="0.2"/>
    <row r="13" spans="1:6" s="125" customFormat="1" ht="23.25" customHeight="1" x14ac:dyDescent="0.25">
      <c r="C13" s="129" t="s">
        <v>723</v>
      </c>
      <c r="E13" s="184">
        <f>IF('1. Information Sheet'!F26="COS",'1. Information Sheet'!M26,'1. Information Sheet'!F34)</f>
        <v>2015</v>
      </c>
    </row>
    <row r="14" spans="1:6" s="125" customFormat="1" ht="15.75" x14ac:dyDescent="0.25">
      <c r="C14" s="129" t="s">
        <v>724</v>
      </c>
      <c r="E14" s="184">
        <f>IF('1. Information Sheet'!F26="CoS", "COS",'1. Information Sheet'!F28)</f>
        <v>6</v>
      </c>
      <c r="F14" s="162"/>
    </row>
    <row r="15" spans="1:6" s="125" customFormat="1" x14ac:dyDescent="0.2">
      <c r="E15" s="164"/>
    </row>
    <row r="16" spans="1:6" s="125" customFormat="1" ht="15.75" x14ac:dyDescent="0.25">
      <c r="C16" s="165" t="s">
        <v>16</v>
      </c>
      <c r="D16" s="166"/>
      <c r="E16" s="167">
        <f>'1. Information Sheet'!F46</f>
        <v>1.7000000000000001E-2</v>
      </c>
      <c r="F16" s="162"/>
    </row>
    <row r="17" spans="3:6" s="125" customFormat="1" ht="15.75" x14ac:dyDescent="0.25">
      <c r="C17" s="129" t="s">
        <v>725</v>
      </c>
    </row>
    <row r="18" spans="3:6" s="125" customFormat="1" ht="21" customHeight="1" x14ac:dyDescent="0.25">
      <c r="C18" s="168" t="str">
        <f>'1. Information Sheet'!F48</f>
        <v>Revenues Based on 2019 Actual Distribution Demand</v>
      </c>
      <c r="E18" s="169">
        <f>'4. Growth Factor - NUM_CALC2'!N27</f>
        <v>78890653.037284479</v>
      </c>
      <c r="F18" s="129"/>
    </row>
    <row r="19" spans="3:6" s="125" customFormat="1" ht="12.75" customHeight="1" x14ac:dyDescent="0.25">
      <c r="C19" s="168" t="str">
        <f>'1. Information Sheet'!F49</f>
        <v>Revenues Based on 2015 Board-Approved Distribution Demand</v>
      </c>
      <c r="E19" s="169">
        <f>'6. Growth Factor - DEN_CALC'!N27</f>
        <v>74702826.212000012</v>
      </c>
      <c r="F19" s="129"/>
    </row>
    <row r="20" spans="3:6" s="125" customFormat="1" ht="15.75" x14ac:dyDescent="0.25">
      <c r="C20" s="165" t="s">
        <v>726</v>
      </c>
      <c r="D20" s="166"/>
      <c r="E20" s="167">
        <f>IF(ISERROR(E18/E19-1),0,(E18/E19-1)/('1. Information Sheet'!I48-'1. Information Sheet'!I49))</f>
        <v>1.4014954445631611E-2</v>
      </c>
      <c r="F20" s="162"/>
    </row>
    <row r="21" spans="3:6" s="125" customFormat="1" ht="15.75" x14ac:dyDescent="0.25">
      <c r="C21" s="165" t="s">
        <v>727</v>
      </c>
      <c r="D21" s="166"/>
      <c r="E21" s="170">
        <v>0.1</v>
      </c>
      <c r="F21" s="129"/>
    </row>
    <row r="22" spans="3:6" s="125" customFormat="1" ht="24.75" customHeight="1" x14ac:dyDescent="0.25">
      <c r="C22" s="129" t="s">
        <v>616</v>
      </c>
      <c r="E22" s="164"/>
    </row>
    <row r="23" spans="3:6" s="125" customFormat="1" x14ac:dyDescent="0.2">
      <c r="C23" s="125" t="s">
        <v>728</v>
      </c>
      <c r="E23" s="171">
        <f>'5. Rev_Requ_Check'!C10</f>
        <v>627821483.36671233</v>
      </c>
    </row>
    <row r="24" spans="3:6" s="125" customFormat="1" x14ac:dyDescent="0.2">
      <c r="C24" s="134" t="s">
        <v>729</v>
      </c>
      <c r="E24" s="171">
        <f>'5. Rev_Requ_Check'!C11</f>
        <v>0</v>
      </c>
    </row>
    <row r="25" spans="3:6" s="125" customFormat="1" x14ac:dyDescent="0.2">
      <c r="C25" s="134" t="s">
        <v>730</v>
      </c>
      <c r="E25" s="171">
        <f>'5. Rev_Requ_Check'!C12</f>
        <v>32518046.632332224</v>
      </c>
    </row>
    <row r="26" spans="3:6" s="125" customFormat="1" x14ac:dyDescent="0.2">
      <c r="C26" s="134" t="s">
        <v>731</v>
      </c>
      <c r="E26" s="171">
        <f>'5. Rev_Requ_Check'!C13</f>
        <v>-2963781</v>
      </c>
    </row>
    <row r="27" spans="3:6" s="125" customFormat="1" x14ac:dyDescent="0.2">
      <c r="C27" s="134" t="s">
        <v>732</v>
      </c>
      <c r="E27" s="171">
        <f>'5. Rev_Requ_Check'!C14</f>
        <v>0</v>
      </c>
    </row>
    <row r="28" spans="3:6" s="125" customFormat="1" x14ac:dyDescent="0.2">
      <c r="C28" s="134" t="s">
        <v>733</v>
      </c>
      <c r="E28" s="171">
        <f>'5. Rev_Requ_Check'!C15</f>
        <v>0</v>
      </c>
    </row>
    <row r="29" spans="3:6" s="125" customFormat="1" x14ac:dyDescent="0.2">
      <c r="C29" s="125" t="s">
        <v>734</v>
      </c>
      <c r="E29" s="171">
        <f>'5. Rev_Requ_Check'!C16</f>
        <v>657375748.99904454</v>
      </c>
    </row>
    <row r="30" spans="3:6" s="125" customFormat="1" x14ac:dyDescent="0.2">
      <c r="E30" s="171"/>
    </row>
    <row r="31" spans="3:6" s="125" customFormat="1" x14ac:dyDescent="0.2">
      <c r="C31" s="125" t="s">
        <v>628</v>
      </c>
      <c r="E31" s="172">
        <f>(E23+E29)/2</f>
        <v>642598616.18287849</v>
      </c>
    </row>
    <row r="32" spans="3:6" s="125" customFormat="1" x14ac:dyDescent="0.2">
      <c r="E32" s="171"/>
    </row>
    <row r="33" spans="3:6" s="125" customFormat="1" x14ac:dyDescent="0.2">
      <c r="C33" s="134" t="s">
        <v>735</v>
      </c>
      <c r="E33" s="171">
        <f>'5. Rev_Requ_Check'!C19</f>
        <v>295604515.73879898</v>
      </c>
    </row>
    <row r="34" spans="3:6" s="125" customFormat="1" ht="15.75" x14ac:dyDescent="0.25">
      <c r="C34" s="173" t="s">
        <v>736</v>
      </c>
      <c r="E34" s="171">
        <f>'5. Rev_Requ_Check'!C20</f>
        <v>15227318.503412399</v>
      </c>
      <c r="F34" s="129"/>
    </row>
    <row r="35" spans="3:6" s="125" customFormat="1" x14ac:dyDescent="0.2">
      <c r="C35" s="173" t="s">
        <v>737</v>
      </c>
      <c r="E35" s="171">
        <f>'5. Rev_Requ_Check'!C21</f>
        <v>-2191181</v>
      </c>
    </row>
    <row r="36" spans="3:6" s="125" customFormat="1" x14ac:dyDescent="0.2">
      <c r="C36" s="173" t="s">
        <v>738</v>
      </c>
      <c r="E36" s="171">
        <f>'5. Rev_Requ_Check'!C22</f>
        <v>0</v>
      </c>
    </row>
    <row r="37" spans="3:6" s="125" customFormat="1" x14ac:dyDescent="0.2">
      <c r="C37" s="134" t="s">
        <v>739</v>
      </c>
      <c r="E37" s="171">
        <f>'5. Rev_Requ_Check'!C23</f>
        <v>308640653.2422114</v>
      </c>
    </row>
    <row r="38" spans="3:6" s="125" customFormat="1" x14ac:dyDescent="0.2">
      <c r="C38" s="134"/>
      <c r="E38" s="171"/>
    </row>
    <row r="39" spans="3:6" s="125" customFormat="1" x14ac:dyDescent="0.2">
      <c r="C39" s="125" t="s">
        <v>640</v>
      </c>
      <c r="E39" s="172">
        <f>(E33+E37)/2</f>
        <v>302122584.49050522</v>
      </c>
    </row>
    <row r="40" spans="3:6" s="125" customFormat="1" x14ac:dyDescent="0.2">
      <c r="E40" s="171"/>
    </row>
    <row r="41" spans="3:6" s="125" customFormat="1" ht="15.75" x14ac:dyDescent="0.25">
      <c r="C41" s="129" t="s">
        <v>642</v>
      </c>
      <c r="E41" s="172">
        <f>E31-E39</f>
        <v>340476031.69237328</v>
      </c>
      <c r="F41" s="129"/>
    </row>
    <row r="42" spans="3:6" s="125" customFormat="1" x14ac:dyDescent="0.2">
      <c r="E42" s="174"/>
    </row>
    <row r="43" spans="3:6" s="125" customFormat="1" x14ac:dyDescent="0.2">
      <c r="E43" s="174"/>
    </row>
    <row r="44" spans="3:6" s="125" customFormat="1" ht="15.75" x14ac:dyDescent="0.25">
      <c r="C44" s="129" t="s">
        <v>644</v>
      </c>
      <c r="E44" s="174"/>
    </row>
    <row r="45" spans="3:6" s="125" customFormat="1" x14ac:dyDescent="0.2">
      <c r="C45" s="134" t="s">
        <v>645</v>
      </c>
      <c r="E45" s="171">
        <f>'5. Rev_Requ_Check'!C29</f>
        <v>493403770</v>
      </c>
    </row>
    <row r="46" spans="3:6" s="125" customFormat="1" x14ac:dyDescent="0.2">
      <c r="C46" s="134" t="s">
        <v>647</v>
      </c>
      <c r="E46" s="175">
        <f>'5. Rev_Requ_Check'!C30</f>
        <v>0.13</v>
      </c>
    </row>
    <row r="47" spans="3:6" s="125" customFormat="1" ht="15.75" x14ac:dyDescent="0.25">
      <c r="C47" s="129" t="s">
        <v>644</v>
      </c>
      <c r="E47" s="172">
        <f>E45*E46</f>
        <v>64142490.100000001</v>
      </c>
      <c r="F47" s="129"/>
    </row>
    <row r="48" spans="3:6" s="125" customFormat="1" x14ac:dyDescent="0.2">
      <c r="E48" s="174"/>
    </row>
    <row r="49" spans="3:6" s="125" customFormat="1" ht="16.5" thickBot="1" x14ac:dyDescent="0.3">
      <c r="C49" s="129" t="s">
        <v>650</v>
      </c>
      <c r="E49" s="152">
        <f>E41+E47</f>
        <v>404618521.7923733</v>
      </c>
      <c r="F49" s="162"/>
    </row>
    <row r="50" spans="3:6" s="125" customFormat="1" x14ac:dyDescent="0.2">
      <c r="E50" s="174"/>
      <c r="F50" s="134"/>
    </row>
    <row r="51" spans="3:6" s="125" customFormat="1" ht="15.75" x14ac:dyDescent="0.25">
      <c r="C51" s="129" t="s">
        <v>740</v>
      </c>
      <c r="D51" s="176"/>
      <c r="E51" s="145">
        <f>E34</f>
        <v>15227318.503412399</v>
      </c>
      <c r="F51" s="162"/>
    </row>
    <row r="52" spans="3:6" s="125" customFormat="1" x14ac:dyDescent="0.2">
      <c r="E52" s="174"/>
    </row>
    <row r="53" spans="3:6" s="125" customFormat="1" ht="15.75" x14ac:dyDescent="0.25">
      <c r="C53" s="129" t="s">
        <v>741</v>
      </c>
      <c r="E53" s="177"/>
      <c r="F53" s="178"/>
    </row>
    <row r="54" spans="3:6" s="125" customFormat="1" ht="15.75" x14ac:dyDescent="0.25">
      <c r="C54" s="141" t="str">
        <f>CONCATENATE("    Price Cap IR Year ",E13+1)</f>
        <v xml:space="preserve">    Price Cap IR Year 2016</v>
      </c>
      <c r="E54" s="179">
        <f>IF(ISERROR(1+((RB/d)*(g+PCI*(1+g)))*((1+g)*(1+PCI))^(1-1) + 10%), 0, 1+((RB/d)*(g+PCI*(1+g)))*((1+g)*(1+PCI))^(1-1) + 10%)</f>
        <v>1.9304565962141433</v>
      </c>
      <c r="F54" s="129"/>
    </row>
    <row r="55" spans="3:6" s="125" customFormat="1" ht="15.75" x14ac:dyDescent="0.25">
      <c r="C55" s="141" t="str">
        <f>CONCATENATE("    Price Cap IR Year ",E13+2)</f>
        <v xml:space="preserve">    Price Cap IR Year 2017</v>
      </c>
      <c r="E55" s="179">
        <f>IF(ISERROR(1+((RB/d)*(g+PCI*(1+g)))*((1+g)*(1+PCI))^(2-1) + 10%), 0, 1+((RB/d)*(g+PCI*(1+g)))*((1+g)*(1+PCI))^(2-1) + 10%)</f>
        <v>1.9564110295080042</v>
      </c>
      <c r="F55" s="129"/>
    </row>
    <row r="56" spans="3:6" s="125" customFormat="1" ht="15.75" x14ac:dyDescent="0.25">
      <c r="C56" s="141" t="str">
        <f>CONCATENATE("    Price Cap IR Year ",E13+3)</f>
        <v xml:space="preserve">    Price Cap IR Year 2018</v>
      </c>
      <c r="E56" s="179">
        <f>IF(ISERROR(1+((RB/d)*(g+PCI*(1+g)))*((1+g)*(1+PCI))^(3-1) + 10%), 0, 1+((RB/d)*(g+PCI*(1+g)))*((1+g)*(1+PCI))^(3-1) + 10%)</f>
        <v>1.9831766221215412</v>
      </c>
    </row>
    <row r="57" spans="3:6" s="125" customFormat="1" ht="15.75" x14ac:dyDescent="0.25">
      <c r="C57" s="141" t="str">
        <f>CONCATENATE("    Price Cap IR Year ",E13+4)</f>
        <v xml:space="preserve">    Price Cap IR Year 2019</v>
      </c>
      <c r="E57" s="179">
        <f>IF(ISERROR(1+((RB/d)*(g+PCI*(1+g)))*((1+g)*(1+PCI))^(4-1) + 10%), 0, 1+((RB/d)*(g+PCI*(1+g)))*((1+g)*(1+PCI))^(4-1) + 10%)</f>
        <v>2.0107787253862375</v>
      </c>
    </row>
    <row r="58" spans="3:6" s="125" customFormat="1" ht="15.75" x14ac:dyDescent="0.25">
      <c r="C58" s="141" t="str">
        <f>CONCATENATE("    Price Cap IR Year ",E13+5)</f>
        <v xml:space="preserve">    Price Cap IR Year 2020</v>
      </c>
      <c r="E58" s="179">
        <f>IF(ISERROR(1+((RB/d)*(g+PCI*(1+g)))*((1+g)*(1+PCI))^(5-1) + 10%), 0, 1+((RB/d)*(g+PCI*(1+g)))*((1+g)*(1+PCI))^(5-1) + 10%)</f>
        <v>2.0392434829440296</v>
      </c>
    </row>
    <row r="59" spans="3:6" s="125" customFormat="1" ht="15.75" x14ac:dyDescent="0.25">
      <c r="C59" s="141" t="str">
        <f>CONCATENATE("    Price Cap IR Year ",E13+6)</f>
        <v xml:space="preserve">    Price Cap IR Year 2021</v>
      </c>
      <c r="E59" s="179">
        <f>IF(ISERROR(1+((RB/d)*(g+PCI*(1+g)))*((1+g)*(1+PCI))^(6-1) + 10%), 0, 1+((RB/d)*(g+PCI*(1+g)))*((1+g)*(1+PCI))^(6-1) + 10%)</f>
        <v>2.0685978555095508</v>
      </c>
    </row>
    <row r="60" spans="3:6" s="125" customFormat="1" ht="15.75" x14ac:dyDescent="0.25">
      <c r="C60" s="141" t="str">
        <f>CONCATENATE("    Price Cap IR Year ",E13+7)</f>
        <v xml:space="preserve">    Price Cap IR Year 2022</v>
      </c>
      <c r="E60" s="179">
        <f>IF(ISERROR(1+((RB/d)*(g+PCI*(1+g)))*((1+g)*(1+PCI))^(7-1) + 10%), 0, 1+((RB/d)*(g+PCI*(1+g)))*((1+g)*(1+PCI))^(7-1) + 10%)</f>
        <v>2.0988696464062744</v>
      </c>
    </row>
    <row r="61" spans="3:6" s="125" customFormat="1" ht="15.75" x14ac:dyDescent="0.25">
      <c r="C61" s="141" t="str">
        <f>CONCATENATE("    Price Cap IR Year ",E13+8)</f>
        <v xml:space="preserve">    Price Cap IR Year 2023</v>
      </c>
      <c r="E61" s="179">
        <f>IF(ISERROR(1+((RB/d)*(g+PCI*(1+g)))*((1+g)*(1+PCI))^(8-1) + 10%), 0, 1+((RB/d)*(g+PCI*(1+g)))*((1+g)*(1+PCI))^(8-1) + 10%)</f>
        <v>2.130087527900745</v>
      </c>
    </row>
    <row r="62" spans="3:6" s="125" customFormat="1" ht="15.75" x14ac:dyDescent="0.25">
      <c r="C62" s="141" t="str">
        <f>CONCATENATE("    Price Cap IR Year ",E13+9)</f>
        <v xml:space="preserve">    Price Cap IR Year 2024</v>
      </c>
      <c r="E62" s="179">
        <f>IF(ISERROR(1+((RB/d)*(g+PCI*(1+g)))*((1+g)*(1+PCI))^(9-1) + 10%), 0, 1+((RB/d)*(g+PCI*(1+g)))*((1+g)*(1+PCI))^(9-1) + 10%)</f>
        <v>2.1622810683598348</v>
      </c>
    </row>
    <row r="63" spans="3:6" s="125" customFormat="1" ht="15.75" x14ac:dyDescent="0.25">
      <c r="C63" s="141" t="str">
        <f>CONCATENATE("    Price Cap IR Year ",E13+10)</f>
        <v xml:space="preserve">    Price Cap IR Year 2025</v>
      </c>
      <c r="E63" s="179">
        <f>IF(ISERROR(1+((RB/d)*(g+PCI*(1+g)))*((1+g)*(1+PCI))^(10-1) + 10%), 0, 1+((RB/d)*(g+PCI*(1+g)))*((1+g)*(1+PCI))^(10-1) + 10%)</f>
        <v>2.1954807602567574</v>
      </c>
    </row>
    <row r="64" spans="3:6" s="125" customFormat="1" ht="15.75" x14ac:dyDescent="0.25">
      <c r="C64" s="129"/>
      <c r="E64" s="174"/>
    </row>
    <row r="65" spans="2:6" s="125" customFormat="1" ht="15.75" x14ac:dyDescent="0.25">
      <c r="C65" s="129" t="s">
        <v>742</v>
      </c>
      <c r="E65" s="180"/>
      <c r="F65" s="178"/>
    </row>
    <row r="66" spans="2:6" s="125" customFormat="1" ht="15.75" x14ac:dyDescent="0.25">
      <c r="C66" s="125" t="str">
        <f>C54</f>
        <v xml:space="preserve">    Price Cap IR Year 2016</v>
      </c>
      <c r="E66" s="181">
        <f t="shared" ref="E66:E75" si="0">IF(ISERROR(d*E54), "", d*E54)</f>
        <v>29395677.447566144</v>
      </c>
    </row>
    <row r="67" spans="2:6" s="125" customFormat="1" ht="15.75" x14ac:dyDescent="0.25">
      <c r="C67" s="125" t="str">
        <f>C55</f>
        <v xml:space="preserve">    Price Cap IR Year 2017</v>
      </c>
      <c r="E67" s="181">
        <f t="shared" si="0"/>
        <v>29790893.869907334</v>
      </c>
    </row>
    <row r="68" spans="2:6" s="125" customFormat="1" ht="15.75" x14ac:dyDescent="0.25">
      <c r="C68" s="125" t="str">
        <f>C56</f>
        <v xml:space="preserve">    Price Cap IR Year 2018</v>
      </c>
      <c r="E68" s="181">
        <f t="shared" si="0"/>
        <v>30198462.073566243</v>
      </c>
    </row>
    <row r="69" spans="2:6" s="125" customFormat="1" ht="15.75" x14ac:dyDescent="0.25">
      <c r="C69" s="125" t="str">
        <f>C57</f>
        <v xml:space="preserve">    Price Cap IR Year 2019</v>
      </c>
      <c r="E69" s="181">
        <f t="shared" si="0"/>
        <v>30618768.091341853</v>
      </c>
    </row>
    <row r="70" spans="2:6" s="125" customFormat="1" ht="15.75" x14ac:dyDescent="0.25">
      <c r="C70" s="125" t="str">
        <f t="shared" ref="C70:C75" si="1">C58</f>
        <v xml:space="preserve">    Price Cap IR Year 2020</v>
      </c>
      <c r="E70" s="181">
        <f t="shared" si="0"/>
        <v>31052210.020796768</v>
      </c>
    </row>
    <row r="71" spans="2:6" s="125" customFormat="1" ht="15.75" x14ac:dyDescent="0.25">
      <c r="C71" s="125" t="str">
        <f t="shared" si="1"/>
        <v xml:space="preserve">    Price Cap IR Year 2021</v>
      </c>
      <c r="E71" s="181">
        <f t="shared" si="0"/>
        <v>31499198.401319791</v>
      </c>
    </row>
    <row r="72" spans="2:6" s="125" customFormat="1" ht="15.75" x14ac:dyDescent="0.25">
      <c r="C72" s="125" t="str">
        <f t="shared" si="1"/>
        <v xml:space="preserve">    Price Cap IR Year 2022</v>
      </c>
      <c r="E72" s="181">
        <f t="shared" si="0"/>
        <v>31960156.602972902</v>
      </c>
    </row>
    <row r="73" spans="2:6" s="125" customFormat="1" ht="15.75" x14ac:dyDescent="0.25">
      <c r="C73" s="125" t="str">
        <f t="shared" si="1"/>
        <v xml:space="preserve">    Price Cap IR Year 2023</v>
      </c>
      <c r="E73" s="181">
        <f t="shared" si="0"/>
        <v>32435521.227490988</v>
      </c>
    </row>
    <row r="74" spans="2:6" s="125" customFormat="1" ht="15.75" x14ac:dyDescent="0.25">
      <c r="C74" s="125" t="str">
        <f t="shared" si="1"/>
        <v xml:space="preserve">    Price Cap IR Year 2024</v>
      </c>
      <c r="E74" s="181">
        <f t="shared" si="0"/>
        <v>32925742.521814045</v>
      </c>
    </row>
    <row r="75" spans="2:6" s="125" customFormat="1" ht="15.75" x14ac:dyDescent="0.25">
      <c r="C75" s="125" t="str">
        <f t="shared" si="1"/>
        <v xml:space="preserve">    Price Cap IR Year 2025</v>
      </c>
      <c r="E75" s="181">
        <f t="shared" si="0"/>
        <v>33431284.804543644</v>
      </c>
    </row>
    <row r="76" spans="2:6" s="125" customFormat="1" x14ac:dyDescent="0.2"/>
    <row r="77" spans="2:6" s="125" customFormat="1" ht="44.25" customHeight="1" x14ac:dyDescent="0.2">
      <c r="B77" s="182" t="s">
        <v>743</v>
      </c>
      <c r="C77" s="485" t="s">
        <v>744</v>
      </c>
      <c r="D77" s="485"/>
      <c r="E77" s="485"/>
      <c r="F77" s="485"/>
    </row>
    <row r="78" spans="2:6" s="125" customFormat="1" x14ac:dyDescent="0.2">
      <c r="F78" s="183"/>
    </row>
    <row r="79" spans="2:6" s="125" customFormat="1" x14ac:dyDescent="0.2"/>
    <row r="80" spans="2:6"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sheetData>
  <sheetProtection password="F8BD" sheet="1" objects="1" scenarios="1"/>
  <mergeCells count="2">
    <mergeCell ref="C9:E9"/>
    <mergeCell ref="C77:F77"/>
  </mergeCells>
  <printOptions horizontalCentered="1"/>
  <pageMargins left="0.35433070866141703" right="0.39370078740157499" top="0.33" bottom="0.35" header="0.28999999999999998" footer="0.17"/>
  <pageSetup scale="59" orientation="portrait"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1:M110"/>
  <sheetViews>
    <sheetView showGridLines="0" zoomScale="85" zoomScaleNormal="85" workbookViewId="0"/>
  </sheetViews>
  <sheetFormatPr defaultRowHeight="15" x14ac:dyDescent="0.25"/>
  <cols>
    <col min="1" max="1" width="60.85546875" customWidth="1"/>
    <col min="2" max="2" width="16.42578125" customWidth="1"/>
    <col min="3" max="6" width="18.5703125" customWidth="1"/>
    <col min="7" max="7" width="20.5703125" bestFit="1" customWidth="1"/>
    <col min="8" max="8" width="20.5703125" customWidth="1"/>
    <col min="9" max="9" width="14.42578125" bestFit="1" customWidth="1"/>
    <col min="10" max="10" width="20.5703125" bestFit="1" customWidth="1"/>
    <col min="11" max="11" width="20.5703125" customWidth="1"/>
    <col min="12" max="12" width="14.42578125" bestFit="1" customWidth="1"/>
    <col min="13" max="13" width="20.5703125" bestFit="1" customWidth="1"/>
    <col min="14" max="14" width="20.5703125" customWidth="1"/>
    <col min="15" max="15" width="12.5703125" bestFit="1" customWidth="1"/>
  </cols>
  <sheetData>
    <row r="11" spans="1:12" ht="15.75" x14ac:dyDescent="0.25">
      <c r="A11" s="197" t="s">
        <v>748</v>
      </c>
    </row>
    <row r="12" spans="1:12" ht="16.5" thickBot="1" x14ac:dyDescent="0.3">
      <c r="A12" s="197"/>
    </row>
    <row r="13" spans="1:12" ht="15.75" thickBot="1" x14ac:dyDescent="0.3">
      <c r="B13" s="118" t="s">
        <v>749</v>
      </c>
      <c r="C13" s="486" t="s">
        <v>750</v>
      </c>
      <c r="D13" s="486"/>
      <c r="E13" s="486"/>
      <c r="F13" s="486"/>
      <c r="G13" s="487" t="s">
        <v>851</v>
      </c>
      <c r="H13" s="488"/>
      <c r="I13" s="488"/>
      <c r="J13" s="488"/>
      <c r="K13" s="488"/>
      <c r="L13" s="489"/>
    </row>
    <row r="14" spans="1:12" ht="15.75" customHeight="1" x14ac:dyDescent="0.25">
      <c r="B14" s="310" t="s">
        <v>751</v>
      </c>
      <c r="C14" s="309" t="s">
        <v>752</v>
      </c>
      <c r="D14" s="310" t="s">
        <v>753</v>
      </c>
      <c r="E14" s="309" t="s">
        <v>754</v>
      </c>
      <c r="F14" s="310" t="s">
        <v>755</v>
      </c>
      <c r="G14" s="325" t="s">
        <v>756</v>
      </c>
      <c r="H14" s="323" t="s">
        <v>757</v>
      </c>
      <c r="I14" s="324" t="s">
        <v>758</v>
      </c>
      <c r="J14" s="327" t="s">
        <v>759</v>
      </c>
      <c r="K14" s="324" t="s">
        <v>760</v>
      </c>
      <c r="L14" s="322" t="s">
        <v>761</v>
      </c>
    </row>
    <row r="15" spans="1:12" ht="15.75" customHeight="1" x14ac:dyDescent="0.25">
      <c r="B15" s="310">
        <f>'1. Information Sheet'!K26</f>
        <v>0</v>
      </c>
      <c r="C15" s="309">
        <f t="shared" ref="C15:L15" si="0">B15+1</f>
        <v>1</v>
      </c>
      <c r="D15" s="310">
        <f t="shared" si="0"/>
        <v>2</v>
      </c>
      <c r="E15" s="309">
        <f t="shared" si="0"/>
        <v>3</v>
      </c>
      <c r="F15" s="310">
        <f t="shared" si="0"/>
        <v>4</v>
      </c>
      <c r="G15" s="325">
        <f t="shared" si="0"/>
        <v>5</v>
      </c>
      <c r="H15" s="323">
        <f t="shared" si="0"/>
        <v>6</v>
      </c>
      <c r="I15" s="324">
        <f t="shared" si="0"/>
        <v>7</v>
      </c>
      <c r="J15" s="323">
        <f t="shared" si="0"/>
        <v>8</v>
      </c>
      <c r="K15" s="324">
        <f t="shared" si="0"/>
        <v>9</v>
      </c>
      <c r="L15" s="322">
        <f t="shared" si="0"/>
        <v>10</v>
      </c>
    </row>
    <row r="16" spans="1:12" x14ac:dyDescent="0.25">
      <c r="A16" s="198" t="s">
        <v>762</v>
      </c>
      <c r="B16" s="199"/>
      <c r="C16" s="199"/>
      <c r="D16" s="199"/>
      <c r="E16" s="199"/>
      <c r="F16" s="318"/>
      <c r="G16" s="320"/>
      <c r="H16" s="199"/>
      <c r="I16" s="199"/>
      <c r="J16" s="199"/>
      <c r="K16" s="199"/>
      <c r="L16" s="321"/>
    </row>
    <row r="17" spans="1:13" x14ac:dyDescent="0.25">
      <c r="A17" s="198"/>
      <c r="G17" s="339"/>
      <c r="H17" s="280"/>
      <c r="I17" s="280"/>
      <c r="J17" s="280"/>
      <c r="K17" s="280"/>
      <c r="L17" s="338"/>
    </row>
    <row r="18" spans="1:13" x14ac:dyDescent="0.25">
      <c r="A18" s="198" t="s">
        <v>763</v>
      </c>
      <c r="B18" s="200"/>
      <c r="C18" s="201">
        <f>IF('8. Threshold Test'!$E$66="", 0, '8. Threshold Test'!$E$66)</f>
        <v>29395677.447566144</v>
      </c>
      <c r="D18" s="201">
        <f>IF('8. Threshold Test'!$E$67="", 0, '8. Threshold Test'!$E$67)</f>
        <v>29790893.869907334</v>
      </c>
      <c r="E18" s="201">
        <f>IF('8. Threshold Test'!$E$68="", 0, '8. Threshold Test'!$E$68)</f>
        <v>30198462.073566243</v>
      </c>
      <c r="F18" s="342">
        <f>IF('8. Threshold Test'!$E$69="", 0, '8. Threshold Test'!$E$69)</f>
        <v>30618768.091341853</v>
      </c>
      <c r="G18" s="341">
        <f>IF('8. Threshold Test'!$E$70="", 0, '8. Threshold Test'!$E$70)</f>
        <v>31052210.020796768</v>
      </c>
      <c r="H18" s="201">
        <f>IF('8. Threshold Test'!$E$71="", 0, '8. Threshold Test'!$E$71)</f>
        <v>31499198.401319791</v>
      </c>
      <c r="I18" s="201">
        <f>IF('8. Threshold Test'!$E$72="", 0, '8. Threshold Test'!$E$72)</f>
        <v>31960156.602972902</v>
      </c>
      <c r="J18" s="201">
        <f>IF('8. Threshold Test'!$E$73="", 0, '8. Threshold Test'!$E$73)</f>
        <v>32435521.227490988</v>
      </c>
      <c r="K18" s="201">
        <f>IF('8. Threshold Test'!$E$74="", 0, '8. Threshold Test'!$E$74)</f>
        <v>32925742.521814045</v>
      </c>
      <c r="L18" s="340">
        <f>IF('8. Threshold Test'!$E$75="", 0, '8. Threshold Test'!$E$75)</f>
        <v>33431284.804543644</v>
      </c>
    </row>
    <row r="19" spans="1:13" x14ac:dyDescent="0.25">
      <c r="A19" s="198"/>
      <c r="B19" s="89"/>
      <c r="C19" s="208"/>
      <c r="D19" s="208"/>
      <c r="E19" s="208"/>
      <c r="F19" s="208"/>
      <c r="G19" s="344"/>
      <c r="H19" s="208"/>
      <c r="I19" s="208"/>
      <c r="J19" s="208"/>
      <c r="K19" s="208"/>
      <c r="L19" s="343"/>
    </row>
    <row r="20" spans="1:13" ht="30" x14ac:dyDescent="0.25">
      <c r="A20" s="202" t="s">
        <v>853</v>
      </c>
      <c r="B20" s="200"/>
      <c r="C20" s="201">
        <f t="shared" ref="C20:L20" si="1">MAX(0,C16-C18)</f>
        <v>0</v>
      </c>
      <c r="D20" s="201">
        <f t="shared" si="1"/>
        <v>0</v>
      </c>
      <c r="E20" s="201">
        <f t="shared" si="1"/>
        <v>0</v>
      </c>
      <c r="F20" s="342">
        <f t="shared" si="1"/>
        <v>0</v>
      </c>
      <c r="G20" s="341">
        <f t="shared" si="1"/>
        <v>0</v>
      </c>
      <c r="H20" s="201">
        <f t="shared" si="1"/>
        <v>0</v>
      </c>
      <c r="I20" s="201">
        <f t="shared" si="1"/>
        <v>0</v>
      </c>
      <c r="J20" s="201">
        <f t="shared" si="1"/>
        <v>0</v>
      </c>
      <c r="K20" s="201">
        <f t="shared" si="1"/>
        <v>0</v>
      </c>
      <c r="L20" s="340">
        <f t="shared" si="1"/>
        <v>0</v>
      </c>
    </row>
    <row r="21" spans="1:13" x14ac:dyDescent="0.25">
      <c r="A21" s="118"/>
      <c r="G21" s="339"/>
      <c r="H21" s="280"/>
      <c r="I21" s="280"/>
      <c r="J21" s="280"/>
      <c r="K21" s="280"/>
      <c r="L21" s="338"/>
    </row>
    <row r="22" spans="1:13" ht="30.75" thickBot="1" x14ac:dyDescent="0.3">
      <c r="A22" s="202" t="s">
        <v>764</v>
      </c>
      <c r="B22" s="203"/>
      <c r="C22" s="204">
        <f t="shared" ref="C22:L22" si="2">IF(C18&gt;C16,0,C16-C18)</f>
        <v>0</v>
      </c>
      <c r="D22" s="204">
        <f t="shared" si="2"/>
        <v>0</v>
      </c>
      <c r="E22" s="204">
        <f t="shared" si="2"/>
        <v>0</v>
      </c>
      <c r="F22" s="337">
        <f t="shared" si="2"/>
        <v>0</v>
      </c>
      <c r="G22" s="336">
        <f t="shared" si="2"/>
        <v>0</v>
      </c>
      <c r="H22" s="335">
        <f t="shared" si="2"/>
        <v>0</v>
      </c>
      <c r="I22" s="334">
        <f t="shared" si="2"/>
        <v>0</v>
      </c>
      <c r="J22" s="334">
        <f t="shared" si="2"/>
        <v>0</v>
      </c>
      <c r="K22" s="334">
        <f t="shared" si="2"/>
        <v>0</v>
      </c>
      <c r="L22" s="333">
        <f t="shared" si="2"/>
        <v>0</v>
      </c>
    </row>
    <row r="23" spans="1:13" x14ac:dyDescent="0.25">
      <c r="A23" s="202"/>
      <c r="B23" s="203"/>
      <c r="C23" s="331"/>
      <c r="D23" s="331"/>
      <c r="E23" s="331"/>
      <c r="F23" s="331"/>
      <c r="G23" s="330"/>
    </row>
    <row r="24" spans="1:13" ht="15.75" thickBot="1" x14ac:dyDescent="0.3">
      <c r="A24" s="332" t="s">
        <v>852</v>
      </c>
      <c r="B24" s="203"/>
      <c r="C24" s="331"/>
      <c r="D24" s="331"/>
      <c r="E24" s="331"/>
      <c r="F24" s="331"/>
      <c r="G24" s="330"/>
    </row>
    <row r="25" spans="1:13" ht="15.75" thickBot="1" x14ac:dyDescent="0.3">
      <c r="A25" s="118"/>
      <c r="B25" s="118" t="str">
        <f>B13</f>
        <v>Cost of Service</v>
      </c>
      <c r="C25" s="486" t="str">
        <f>C13</f>
        <v>Price Cap IR</v>
      </c>
      <c r="D25" s="486"/>
      <c r="E25" s="486"/>
      <c r="F25" s="486"/>
      <c r="G25" s="487" t="s">
        <v>851</v>
      </c>
      <c r="H25" s="488"/>
      <c r="I25" s="488"/>
      <c r="J25" s="488"/>
      <c r="K25" s="488"/>
      <c r="L25" s="489"/>
    </row>
    <row r="26" spans="1:13" x14ac:dyDescent="0.25">
      <c r="A26" s="118" t="s">
        <v>765</v>
      </c>
      <c r="B26" s="310" t="s">
        <v>751</v>
      </c>
      <c r="C26" s="309" t="s">
        <v>752</v>
      </c>
      <c r="D26" s="310" t="s">
        <v>753</v>
      </c>
      <c r="E26" s="309" t="s">
        <v>754</v>
      </c>
      <c r="F26" s="310" t="s">
        <v>755</v>
      </c>
      <c r="G26" s="329" t="s">
        <v>756</v>
      </c>
      <c r="H26" s="327" t="s">
        <v>757</v>
      </c>
      <c r="I26" s="328" t="s">
        <v>758</v>
      </c>
      <c r="J26" s="327" t="s">
        <v>759</v>
      </c>
      <c r="K26" s="309" t="s">
        <v>760</v>
      </c>
      <c r="L26" s="326" t="s">
        <v>761</v>
      </c>
      <c r="M26" s="490" t="s">
        <v>767</v>
      </c>
    </row>
    <row r="27" spans="1:13" x14ac:dyDescent="0.25">
      <c r="A27" s="118"/>
      <c r="B27" s="310">
        <f t="shared" ref="B27:L27" si="3">B15</f>
        <v>0</v>
      </c>
      <c r="C27" s="309">
        <f t="shared" si="3"/>
        <v>1</v>
      </c>
      <c r="D27" s="310">
        <f t="shared" si="3"/>
        <v>2</v>
      </c>
      <c r="E27" s="309">
        <f t="shared" si="3"/>
        <v>3</v>
      </c>
      <c r="F27" s="310">
        <f t="shared" si="3"/>
        <v>4</v>
      </c>
      <c r="G27" s="325">
        <f t="shared" si="3"/>
        <v>5</v>
      </c>
      <c r="H27" s="323">
        <f t="shared" si="3"/>
        <v>6</v>
      </c>
      <c r="I27" s="324">
        <f t="shared" si="3"/>
        <v>7</v>
      </c>
      <c r="J27" s="323">
        <f t="shared" si="3"/>
        <v>8</v>
      </c>
      <c r="K27" s="309">
        <f t="shared" si="3"/>
        <v>9</v>
      </c>
      <c r="L27" s="322">
        <f t="shared" si="3"/>
        <v>10</v>
      </c>
      <c r="M27" s="491"/>
    </row>
    <row r="28" spans="1:13" x14ac:dyDescent="0.25">
      <c r="A28" s="205"/>
      <c r="B28" s="200"/>
      <c r="C28" s="199"/>
      <c r="D28" s="199"/>
      <c r="E28" s="199"/>
      <c r="F28" s="318"/>
      <c r="G28" s="320"/>
      <c r="H28" s="199"/>
      <c r="I28" s="199"/>
      <c r="J28" s="318"/>
      <c r="K28" s="199"/>
      <c r="L28" s="321"/>
      <c r="M28" s="314">
        <f t="shared" ref="M28:M47" si="4">SUM(C28:F28)</f>
        <v>0</v>
      </c>
    </row>
    <row r="29" spans="1:13" x14ac:dyDescent="0.25">
      <c r="A29" s="206"/>
      <c r="B29" s="200"/>
      <c r="C29" s="199"/>
      <c r="D29" s="199"/>
      <c r="E29" s="199"/>
      <c r="F29" s="318"/>
      <c r="G29" s="320"/>
      <c r="H29" s="199"/>
      <c r="I29" s="199"/>
      <c r="J29" s="318"/>
      <c r="K29" s="199"/>
      <c r="L29" s="321"/>
      <c r="M29" s="314">
        <f t="shared" si="4"/>
        <v>0</v>
      </c>
    </row>
    <row r="30" spans="1:13" x14ac:dyDescent="0.25">
      <c r="A30" s="206"/>
      <c r="B30" s="200"/>
      <c r="C30" s="199"/>
      <c r="D30" s="199"/>
      <c r="E30" s="199"/>
      <c r="F30" s="318"/>
      <c r="G30" s="320"/>
      <c r="H30" s="199"/>
      <c r="I30" s="199"/>
      <c r="J30" s="318"/>
      <c r="K30" s="199"/>
      <c r="L30" s="321"/>
      <c r="M30" s="314">
        <f t="shared" si="4"/>
        <v>0</v>
      </c>
    </row>
    <row r="31" spans="1:13" x14ac:dyDescent="0.25">
      <c r="A31" s="206"/>
      <c r="B31" s="200"/>
      <c r="C31" s="199"/>
      <c r="D31" s="199"/>
      <c r="E31" s="199"/>
      <c r="F31" s="318"/>
      <c r="G31" s="320"/>
      <c r="H31" s="199"/>
      <c r="I31" s="199"/>
      <c r="J31" s="318"/>
      <c r="K31" s="199"/>
      <c r="L31" s="321"/>
      <c r="M31" s="314">
        <f t="shared" si="4"/>
        <v>0</v>
      </c>
    </row>
    <row r="32" spans="1:13" x14ac:dyDescent="0.25">
      <c r="A32" s="206"/>
      <c r="B32" s="200"/>
      <c r="C32" s="199"/>
      <c r="D32" s="199"/>
      <c r="E32" s="199"/>
      <c r="F32" s="318"/>
      <c r="G32" s="320"/>
      <c r="H32" s="199"/>
      <c r="I32" s="199"/>
      <c r="J32" s="318"/>
      <c r="K32" s="199"/>
      <c r="L32" s="321"/>
      <c r="M32" s="314">
        <f t="shared" si="4"/>
        <v>0</v>
      </c>
    </row>
    <row r="33" spans="1:13" x14ac:dyDescent="0.25">
      <c r="A33" s="206"/>
      <c r="B33" s="200"/>
      <c r="C33" s="199"/>
      <c r="D33" s="199"/>
      <c r="E33" s="199"/>
      <c r="F33" s="318"/>
      <c r="G33" s="320"/>
      <c r="H33" s="199"/>
      <c r="I33" s="199"/>
      <c r="J33" s="318"/>
      <c r="K33" s="199"/>
      <c r="L33" s="321"/>
      <c r="M33" s="314">
        <f t="shared" si="4"/>
        <v>0</v>
      </c>
    </row>
    <row r="34" spans="1:13" x14ac:dyDescent="0.25">
      <c r="A34" s="206"/>
      <c r="B34" s="200"/>
      <c r="C34" s="199"/>
      <c r="D34" s="199"/>
      <c r="E34" s="199"/>
      <c r="F34" s="318"/>
      <c r="G34" s="320"/>
      <c r="H34" s="199"/>
      <c r="I34" s="199"/>
      <c r="J34" s="318"/>
      <c r="K34" s="199"/>
      <c r="L34" s="321"/>
      <c r="M34" s="314">
        <f t="shared" si="4"/>
        <v>0</v>
      </c>
    </row>
    <row r="35" spans="1:13" x14ac:dyDescent="0.25">
      <c r="A35" s="206"/>
      <c r="B35" s="200"/>
      <c r="C35" s="199"/>
      <c r="D35" s="199"/>
      <c r="E35" s="199"/>
      <c r="F35" s="318"/>
      <c r="G35" s="320"/>
      <c r="H35" s="199"/>
      <c r="I35" s="199"/>
      <c r="J35" s="318"/>
      <c r="K35" s="199"/>
      <c r="L35" s="321"/>
      <c r="M35" s="314">
        <f t="shared" si="4"/>
        <v>0</v>
      </c>
    </row>
    <row r="36" spans="1:13" x14ac:dyDescent="0.25">
      <c r="A36" s="206"/>
      <c r="B36" s="200"/>
      <c r="C36" s="199"/>
      <c r="D36" s="199"/>
      <c r="E36" s="199"/>
      <c r="F36" s="318"/>
      <c r="G36" s="320"/>
      <c r="H36" s="199"/>
      <c r="I36" s="199"/>
      <c r="J36" s="318"/>
      <c r="K36" s="199"/>
      <c r="L36" s="321"/>
      <c r="M36" s="314">
        <f t="shared" si="4"/>
        <v>0</v>
      </c>
    </row>
    <row r="37" spans="1:13" x14ac:dyDescent="0.25">
      <c r="A37" s="206"/>
      <c r="B37" s="200"/>
      <c r="C37" s="199"/>
      <c r="D37" s="199"/>
      <c r="E37" s="199"/>
      <c r="F37" s="318"/>
      <c r="G37" s="320"/>
      <c r="H37" s="199"/>
      <c r="I37" s="199"/>
      <c r="J37" s="318"/>
      <c r="K37" s="199"/>
      <c r="L37" s="321"/>
      <c r="M37" s="314">
        <f t="shared" si="4"/>
        <v>0</v>
      </c>
    </row>
    <row r="38" spans="1:13" x14ac:dyDescent="0.25">
      <c r="A38" s="206"/>
      <c r="B38" s="200"/>
      <c r="C38" s="199"/>
      <c r="D38" s="199"/>
      <c r="E38" s="199"/>
      <c r="F38" s="318"/>
      <c r="G38" s="320"/>
      <c r="H38" s="199"/>
      <c r="I38" s="199"/>
      <c r="J38" s="318"/>
      <c r="K38" s="199"/>
      <c r="L38" s="321"/>
      <c r="M38" s="314">
        <f t="shared" si="4"/>
        <v>0</v>
      </c>
    </row>
    <row r="39" spans="1:13" x14ac:dyDescent="0.25">
      <c r="A39" s="206"/>
      <c r="B39" s="200"/>
      <c r="C39" s="199"/>
      <c r="D39" s="199"/>
      <c r="E39" s="199"/>
      <c r="F39" s="318"/>
      <c r="G39" s="320"/>
      <c r="H39" s="199"/>
      <c r="I39" s="199"/>
      <c r="J39" s="318"/>
      <c r="K39" s="199"/>
      <c r="L39" s="321"/>
      <c r="M39" s="314">
        <f t="shared" si="4"/>
        <v>0</v>
      </c>
    </row>
    <row r="40" spans="1:13" x14ac:dyDescent="0.25">
      <c r="A40" s="206"/>
      <c r="B40" s="200"/>
      <c r="C40" s="199"/>
      <c r="D40" s="199"/>
      <c r="E40" s="199"/>
      <c r="F40" s="318"/>
      <c r="G40" s="320"/>
      <c r="H40" s="199"/>
      <c r="I40" s="199"/>
      <c r="J40" s="318"/>
      <c r="K40" s="199"/>
      <c r="L40" s="321"/>
      <c r="M40" s="314">
        <f t="shared" si="4"/>
        <v>0</v>
      </c>
    </row>
    <row r="41" spans="1:13" x14ac:dyDescent="0.25">
      <c r="A41" s="206"/>
      <c r="B41" s="200"/>
      <c r="C41" s="199"/>
      <c r="D41" s="199"/>
      <c r="E41" s="199"/>
      <c r="F41" s="318"/>
      <c r="G41" s="320"/>
      <c r="H41" s="199"/>
      <c r="I41" s="199"/>
      <c r="J41" s="318"/>
      <c r="K41" s="199"/>
      <c r="L41" s="321"/>
      <c r="M41" s="314">
        <f t="shared" si="4"/>
        <v>0</v>
      </c>
    </row>
    <row r="42" spans="1:13" x14ac:dyDescent="0.25">
      <c r="A42" s="206"/>
      <c r="B42" s="200"/>
      <c r="C42" s="199"/>
      <c r="D42" s="199"/>
      <c r="E42" s="199"/>
      <c r="F42" s="318"/>
      <c r="G42" s="320"/>
      <c r="H42" s="199"/>
      <c r="I42" s="199"/>
      <c r="J42" s="318"/>
      <c r="K42" s="199"/>
      <c r="L42" s="321"/>
      <c r="M42" s="314">
        <f t="shared" si="4"/>
        <v>0</v>
      </c>
    </row>
    <row r="43" spans="1:13" x14ac:dyDescent="0.25">
      <c r="A43" s="206"/>
      <c r="B43" s="200"/>
      <c r="C43" s="199"/>
      <c r="D43" s="199"/>
      <c r="E43" s="199"/>
      <c r="F43" s="318"/>
      <c r="G43" s="320"/>
      <c r="H43" s="199"/>
      <c r="I43" s="199"/>
      <c r="J43" s="318"/>
      <c r="K43" s="199"/>
      <c r="L43" s="321"/>
      <c r="M43" s="314">
        <f t="shared" si="4"/>
        <v>0</v>
      </c>
    </row>
    <row r="44" spans="1:13" x14ac:dyDescent="0.25">
      <c r="A44" s="206"/>
      <c r="B44" s="200"/>
      <c r="C44" s="199"/>
      <c r="D44" s="199"/>
      <c r="E44" s="199"/>
      <c r="F44" s="318"/>
      <c r="G44" s="320"/>
      <c r="H44" s="199"/>
      <c r="I44" s="199"/>
      <c r="J44" s="318"/>
      <c r="K44" s="199"/>
      <c r="L44" s="321"/>
      <c r="M44" s="314">
        <f t="shared" si="4"/>
        <v>0</v>
      </c>
    </row>
    <row r="45" spans="1:13" x14ac:dyDescent="0.25">
      <c r="A45" s="206"/>
      <c r="B45" s="200"/>
      <c r="C45" s="199"/>
      <c r="D45" s="199"/>
      <c r="E45" s="199"/>
      <c r="F45" s="318"/>
      <c r="G45" s="320"/>
      <c r="H45" s="199"/>
      <c r="I45" s="199"/>
      <c r="J45" s="318"/>
      <c r="K45" s="199"/>
      <c r="L45" s="321"/>
      <c r="M45" s="314">
        <f t="shared" si="4"/>
        <v>0</v>
      </c>
    </row>
    <row r="46" spans="1:13" x14ac:dyDescent="0.25">
      <c r="A46" s="206"/>
      <c r="B46" s="200"/>
      <c r="C46" s="199"/>
      <c r="D46" s="199"/>
      <c r="E46" s="199"/>
      <c r="F46" s="318"/>
      <c r="G46" s="320"/>
      <c r="H46" s="199"/>
      <c r="I46" s="199"/>
      <c r="J46" s="199"/>
      <c r="K46" s="199"/>
      <c r="L46" s="319"/>
      <c r="M46" s="314">
        <f t="shared" si="4"/>
        <v>0</v>
      </c>
    </row>
    <row r="47" spans="1:13" ht="15.75" thickBot="1" x14ac:dyDescent="0.3">
      <c r="A47" s="207"/>
      <c r="B47" s="200"/>
      <c r="C47" s="199"/>
      <c r="D47" s="199"/>
      <c r="E47" s="199"/>
      <c r="F47" s="318"/>
      <c r="G47" s="317"/>
      <c r="H47" s="316"/>
      <c r="I47" s="316"/>
      <c r="J47" s="316"/>
      <c r="K47" s="316"/>
      <c r="L47" s="315"/>
      <c r="M47" s="314">
        <f t="shared" si="4"/>
        <v>0</v>
      </c>
    </row>
    <row r="48" spans="1:13" x14ac:dyDescent="0.25">
      <c r="B48" s="313"/>
    </row>
    <row r="49" spans="1:12" x14ac:dyDescent="0.25">
      <c r="A49" s="198" t="s">
        <v>850</v>
      </c>
      <c r="B49" s="311"/>
      <c r="C49" s="201">
        <f t="shared" ref="C49:L49" si="5">SUM(C28:C47)</f>
        <v>0</v>
      </c>
      <c r="D49" s="201">
        <f t="shared" si="5"/>
        <v>0</v>
      </c>
      <c r="E49" s="201">
        <f t="shared" si="5"/>
        <v>0</v>
      </c>
      <c r="F49" s="201">
        <f t="shared" si="5"/>
        <v>0</v>
      </c>
      <c r="G49" s="201">
        <f t="shared" si="5"/>
        <v>0</v>
      </c>
      <c r="H49" s="201">
        <f t="shared" si="5"/>
        <v>0</v>
      </c>
      <c r="I49" s="201">
        <f t="shared" si="5"/>
        <v>0</v>
      </c>
      <c r="J49" s="201">
        <f t="shared" si="5"/>
        <v>0</v>
      </c>
      <c r="K49" s="201">
        <f t="shared" si="5"/>
        <v>0</v>
      </c>
      <c r="L49" s="201">
        <f t="shared" si="5"/>
        <v>0</v>
      </c>
    </row>
    <row r="50" spans="1:12" x14ac:dyDescent="0.25">
      <c r="A50" s="198"/>
      <c r="B50" s="208"/>
      <c r="C50" s="208"/>
      <c r="D50" s="208"/>
      <c r="E50" s="208"/>
      <c r="F50" s="208"/>
      <c r="G50" s="209"/>
    </row>
    <row r="51" spans="1:12" x14ac:dyDescent="0.25">
      <c r="A51" s="312" t="s">
        <v>769</v>
      </c>
      <c r="B51" s="311"/>
      <c r="C51" s="201">
        <f t="shared" ref="C51:L51" si="6">MIN(C49,C22)</f>
        <v>0</v>
      </c>
      <c r="D51" s="201">
        <f t="shared" si="6"/>
        <v>0</v>
      </c>
      <c r="E51" s="201">
        <f t="shared" si="6"/>
        <v>0</v>
      </c>
      <c r="F51" s="201">
        <f t="shared" si="6"/>
        <v>0</v>
      </c>
      <c r="G51" s="201">
        <f t="shared" si="6"/>
        <v>0</v>
      </c>
      <c r="H51" s="201">
        <f t="shared" si="6"/>
        <v>0</v>
      </c>
      <c r="I51" s="201">
        <f t="shared" si="6"/>
        <v>0</v>
      </c>
      <c r="J51" s="201">
        <f t="shared" si="6"/>
        <v>0</v>
      </c>
      <c r="K51" s="201">
        <f t="shared" si="6"/>
        <v>0</v>
      </c>
      <c r="L51" s="201">
        <f t="shared" si="6"/>
        <v>0</v>
      </c>
    </row>
    <row r="108" spans="2:7" x14ac:dyDescent="0.25">
      <c r="B108" s="280"/>
      <c r="G108" s="280"/>
    </row>
    <row r="110" spans="2:7" x14ac:dyDescent="0.25">
      <c r="G110" s="280"/>
    </row>
  </sheetData>
  <sheetProtection password="F8BD"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1:O131"/>
  <sheetViews>
    <sheetView showGridLines="0" topLeftCell="A70" zoomScale="70" zoomScaleNormal="70" workbookViewId="0">
      <selection activeCell="G64" sqref="G64:G65"/>
    </sheetView>
  </sheetViews>
  <sheetFormatPr defaultColWidth="8.85546875" defaultRowHeight="15" x14ac:dyDescent="0.25"/>
  <cols>
    <col min="1" max="1" width="61.140625" style="1" customWidth="1"/>
    <col min="2" max="3" width="16.42578125" style="1" customWidth="1"/>
    <col min="4" max="4" width="20.5703125" style="1" bestFit="1" customWidth="1"/>
    <col min="5" max="5" width="20.5703125" style="1" customWidth="1"/>
    <col min="6" max="6" width="16.42578125" style="1" customWidth="1"/>
    <col min="7" max="7" width="20.5703125" style="1" bestFit="1" customWidth="1"/>
    <col min="8" max="8" width="20.5703125" style="1" customWidth="1"/>
    <col min="9" max="9" width="14.42578125" style="1" bestFit="1" customWidth="1"/>
    <col min="10" max="10" width="20.5703125" style="1" bestFit="1" customWidth="1"/>
    <col min="11" max="11" width="20.5703125" style="1" customWidth="1"/>
    <col min="12" max="12" width="14.42578125" style="1" bestFit="1" customWidth="1"/>
    <col min="13" max="13" width="18.85546875" style="1" bestFit="1" customWidth="1"/>
    <col min="14" max="14" width="20.5703125" style="1" customWidth="1"/>
    <col min="15" max="15" width="12.5703125" style="1" bestFit="1" customWidth="1"/>
    <col min="16" max="16384" width="8.85546875" style="1"/>
  </cols>
  <sheetData>
    <row r="11" spans="1:15" ht="15.75" x14ac:dyDescent="0.25">
      <c r="A11" s="347" t="s">
        <v>878</v>
      </c>
    </row>
    <row r="12" spans="1:15" ht="15.75" x14ac:dyDescent="0.25">
      <c r="A12" s="347"/>
    </row>
    <row r="13" spans="1:15" x14ac:dyDescent="0.25">
      <c r="C13" s="348" t="s">
        <v>749</v>
      </c>
      <c r="D13" s="499" t="s">
        <v>750</v>
      </c>
      <c r="E13" s="499"/>
      <c r="F13" s="499"/>
      <c r="G13" s="499" t="s">
        <v>750</v>
      </c>
      <c r="H13" s="499"/>
      <c r="I13" s="499"/>
      <c r="J13" s="499" t="s">
        <v>750</v>
      </c>
      <c r="K13" s="499"/>
      <c r="L13" s="499"/>
      <c r="M13" s="499" t="s">
        <v>750</v>
      </c>
      <c r="N13" s="499"/>
      <c r="O13" s="499"/>
    </row>
    <row r="14" spans="1:15" x14ac:dyDescent="0.25">
      <c r="C14" s="366" t="s">
        <v>751</v>
      </c>
      <c r="D14" s="494" t="s">
        <v>752</v>
      </c>
      <c r="E14" s="494"/>
      <c r="F14" s="494"/>
      <c r="G14" s="495" t="s">
        <v>753</v>
      </c>
      <c r="H14" s="495"/>
      <c r="I14" s="495"/>
      <c r="J14" s="494" t="s">
        <v>754</v>
      </c>
      <c r="K14" s="494"/>
      <c r="L14" s="494"/>
      <c r="M14" s="503" t="s">
        <v>755</v>
      </c>
      <c r="N14" s="503"/>
      <c r="O14" s="503"/>
    </row>
    <row r="15" spans="1:15" x14ac:dyDescent="0.25">
      <c r="C15" s="366">
        <f>'1. Information Sheet'!F34</f>
        <v>2015</v>
      </c>
      <c r="D15" s="494">
        <f>C15+1</f>
        <v>2016</v>
      </c>
      <c r="E15" s="494"/>
      <c r="F15" s="494"/>
      <c r="G15" s="503">
        <f>D15+1</f>
        <v>2017</v>
      </c>
      <c r="H15" s="503"/>
      <c r="I15" s="503"/>
      <c r="J15" s="494">
        <f>G15+1</f>
        <v>2018</v>
      </c>
      <c r="K15" s="494"/>
      <c r="L15" s="494"/>
      <c r="M15" s="503">
        <f>J15+1</f>
        <v>2019</v>
      </c>
      <c r="N15" s="503"/>
      <c r="O15" s="503"/>
    </row>
    <row r="16" spans="1:15" ht="15" customHeight="1" x14ac:dyDescent="0.25">
      <c r="A16" s="349" t="s">
        <v>879</v>
      </c>
      <c r="B16" s="496"/>
      <c r="C16" s="199"/>
      <c r="D16" s="199"/>
      <c r="G16" s="199"/>
      <c r="J16" s="199"/>
      <c r="M16" s="199"/>
    </row>
    <row r="17" spans="1:15" x14ac:dyDescent="0.25">
      <c r="A17" s="349"/>
      <c r="B17" s="496"/>
    </row>
    <row r="18" spans="1:15" x14ac:dyDescent="0.25">
      <c r="A18" s="349" t="s">
        <v>763</v>
      </c>
      <c r="B18" s="496"/>
      <c r="C18" s="350"/>
      <c r="D18" s="351">
        <f>IF('8. Threshold Test'!$E$66="", 0, '8. Threshold Test'!$E$66)</f>
        <v>29395677.447566144</v>
      </c>
      <c r="G18" s="351">
        <f>IF('8. Threshold Test'!$E$67="", 0, '8. Threshold Test'!$E$67)</f>
        <v>29790893.869907334</v>
      </c>
      <c r="J18" s="351">
        <f>IF('8. Threshold Test'!$E$68="", 0, '8. Threshold Test'!$E$68)</f>
        <v>30198462.073566243</v>
      </c>
      <c r="M18" s="351">
        <f>IF('8. Threshold Test'!$E$69="", 0, '8. Threshold Test'!$E$69)</f>
        <v>30618768.091341853</v>
      </c>
    </row>
    <row r="19" spans="1:15" x14ac:dyDescent="0.25">
      <c r="A19" s="6"/>
      <c r="B19" s="496"/>
    </row>
    <row r="20" spans="1:15" ht="30" x14ac:dyDescent="0.25">
      <c r="A20" s="352" t="s">
        <v>764</v>
      </c>
      <c r="B20" s="349"/>
      <c r="C20" s="353"/>
      <c r="D20" s="354">
        <f>IF(D18&gt;D16,0,D16-D18)</f>
        <v>0</v>
      </c>
      <c r="G20" s="354">
        <f>IF(G18&gt;G16,0,G16-G18)</f>
        <v>0</v>
      </c>
      <c r="J20" s="354">
        <f>IF(J18&gt;J16,0,J16-J18)</f>
        <v>0</v>
      </c>
      <c r="M20" s="354">
        <f>IF(M18&gt;M16,0,M16-M18)</f>
        <v>0</v>
      </c>
    </row>
    <row r="21" spans="1:15" x14ac:dyDescent="0.25">
      <c r="A21" s="352"/>
      <c r="B21" s="349"/>
      <c r="C21" s="353"/>
      <c r="D21" s="355"/>
      <c r="G21" s="355"/>
      <c r="J21" s="355"/>
      <c r="M21" s="355"/>
    </row>
    <row r="22" spans="1:15" x14ac:dyDescent="0.25">
      <c r="A22" s="6"/>
      <c r="B22" s="6"/>
      <c r="C22" s="366" t="s">
        <v>751</v>
      </c>
      <c r="D22" s="497" t="s">
        <v>752</v>
      </c>
      <c r="E22" s="497"/>
      <c r="F22" s="497"/>
      <c r="G22" s="498" t="s">
        <v>753</v>
      </c>
      <c r="H22" s="498"/>
      <c r="I22" s="498"/>
      <c r="J22" s="497" t="s">
        <v>754</v>
      </c>
      <c r="K22" s="497"/>
      <c r="L22" s="497"/>
      <c r="M22" s="498" t="s">
        <v>755</v>
      </c>
      <c r="N22" s="498"/>
      <c r="O22" s="498"/>
    </row>
    <row r="23" spans="1:15" x14ac:dyDescent="0.25">
      <c r="A23" s="6"/>
      <c r="B23" s="6"/>
      <c r="C23" s="356">
        <f>C15</f>
        <v>2015</v>
      </c>
      <c r="D23" s="494">
        <f>D15</f>
        <v>2016</v>
      </c>
      <c r="E23" s="494"/>
      <c r="F23" s="494"/>
      <c r="G23" s="495">
        <f>G15</f>
        <v>2017</v>
      </c>
      <c r="H23" s="495"/>
      <c r="I23" s="495"/>
      <c r="J23" s="494">
        <f>J15</f>
        <v>2018</v>
      </c>
      <c r="K23" s="494"/>
      <c r="L23" s="494"/>
      <c r="M23" s="495">
        <f>M15</f>
        <v>2019</v>
      </c>
      <c r="N23" s="495"/>
      <c r="O23" s="495"/>
    </row>
    <row r="24" spans="1:15" x14ac:dyDescent="0.25">
      <c r="A24" s="6" t="s">
        <v>765</v>
      </c>
      <c r="B24" s="366" t="s">
        <v>766</v>
      </c>
      <c r="C24" s="366"/>
      <c r="D24" s="367" t="s">
        <v>770</v>
      </c>
      <c r="E24" s="366" t="s">
        <v>771</v>
      </c>
      <c r="F24" s="366" t="s">
        <v>772</v>
      </c>
      <c r="G24" s="367" t="s">
        <v>770</v>
      </c>
      <c r="H24" s="366" t="s">
        <v>771</v>
      </c>
      <c r="I24" s="366" t="s">
        <v>772</v>
      </c>
      <c r="J24" s="367" t="s">
        <v>770</v>
      </c>
      <c r="K24" s="366" t="s">
        <v>771</v>
      </c>
      <c r="L24" s="366" t="s">
        <v>772</v>
      </c>
      <c r="M24" s="367" t="s">
        <v>770</v>
      </c>
      <c r="N24" s="366" t="s">
        <v>771</v>
      </c>
      <c r="O24" s="366" t="s">
        <v>772</v>
      </c>
    </row>
    <row r="25" spans="1:15" x14ac:dyDescent="0.25">
      <c r="A25" s="345"/>
      <c r="B25" s="346"/>
      <c r="C25" s="350"/>
      <c r="D25" s="199"/>
      <c r="E25" s="199"/>
      <c r="F25" s="199"/>
      <c r="G25" s="199"/>
      <c r="H25" s="199"/>
      <c r="I25" s="199"/>
      <c r="J25" s="199"/>
      <c r="K25" s="199"/>
      <c r="L25" s="199"/>
      <c r="M25" s="199"/>
      <c r="N25" s="199"/>
      <c r="O25" s="199"/>
    </row>
    <row r="26" spans="1:15" x14ac:dyDescent="0.25">
      <c r="A26" s="345"/>
      <c r="B26" s="346"/>
      <c r="C26" s="350"/>
      <c r="D26" s="199"/>
      <c r="E26" s="199"/>
      <c r="F26" s="199"/>
      <c r="G26" s="199"/>
      <c r="H26" s="199"/>
      <c r="I26" s="199"/>
      <c r="J26" s="199"/>
      <c r="K26" s="199"/>
      <c r="L26" s="199"/>
      <c r="M26" s="199"/>
      <c r="N26" s="199"/>
      <c r="O26" s="199"/>
    </row>
    <row r="27" spans="1:15" x14ac:dyDescent="0.25">
      <c r="A27" s="345"/>
      <c r="B27" s="346"/>
      <c r="C27" s="350"/>
      <c r="D27" s="199"/>
      <c r="E27" s="199"/>
      <c r="F27" s="199"/>
      <c r="G27" s="199"/>
      <c r="H27" s="199"/>
      <c r="I27" s="199"/>
      <c r="J27" s="199"/>
      <c r="K27" s="199"/>
      <c r="L27" s="199"/>
      <c r="M27" s="199"/>
      <c r="N27" s="199"/>
      <c r="O27" s="199"/>
    </row>
    <row r="28" spans="1:15" x14ac:dyDescent="0.25">
      <c r="A28" s="345"/>
      <c r="B28" s="346"/>
      <c r="C28" s="350"/>
      <c r="D28" s="199"/>
      <c r="E28" s="199"/>
      <c r="F28" s="199"/>
      <c r="G28" s="199"/>
      <c r="H28" s="199"/>
      <c r="I28" s="199"/>
      <c r="J28" s="199"/>
      <c r="K28" s="199"/>
      <c r="L28" s="199"/>
      <c r="M28" s="199"/>
      <c r="N28" s="199"/>
      <c r="O28" s="199"/>
    </row>
    <row r="29" spans="1:15" x14ac:dyDescent="0.25">
      <c r="A29" s="345"/>
      <c r="B29" s="346"/>
      <c r="C29" s="350"/>
      <c r="D29" s="199"/>
      <c r="E29" s="199"/>
      <c r="F29" s="199"/>
      <c r="G29" s="199"/>
      <c r="H29" s="199"/>
      <c r="I29" s="199"/>
      <c r="J29" s="199"/>
      <c r="K29" s="199"/>
      <c r="L29" s="199"/>
      <c r="M29" s="199"/>
      <c r="N29" s="199"/>
      <c r="O29" s="199"/>
    </row>
    <row r="30" spans="1:15" x14ac:dyDescent="0.25">
      <c r="A30" s="345"/>
      <c r="B30" s="346"/>
      <c r="C30" s="350"/>
      <c r="D30" s="199"/>
      <c r="E30" s="199"/>
      <c r="F30" s="199"/>
      <c r="G30" s="199"/>
      <c r="H30" s="199"/>
      <c r="I30" s="199"/>
      <c r="J30" s="199"/>
      <c r="K30" s="199"/>
      <c r="L30" s="199"/>
      <c r="M30" s="199"/>
      <c r="N30" s="199"/>
      <c r="O30" s="199"/>
    </row>
    <row r="31" spans="1:15" x14ac:dyDescent="0.25">
      <c r="A31" s="345"/>
      <c r="B31" s="346"/>
      <c r="C31" s="350"/>
      <c r="D31" s="199"/>
      <c r="E31" s="199"/>
      <c r="F31" s="199"/>
      <c r="G31" s="199"/>
      <c r="H31" s="199"/>
      <c r="I31" s="199"/>
      <c r="J31" s="199"/>
      <c r="K31" s="199"/>
      <c r="L31" s="199"/>
      <c r="M31" s="199"/>
      <c r="N31" s="199"/>
      <c r="O31" s="199"/>
    </row>
    <row r="32" spans="1:15" x14ac:dyDescent="0.25">
      <c r="A32" s="345"/>
      <c r="B32" s="346"/>
      <c r="C32" s="350"/>
      <c r="D32" s="199"/>
      <c r="E32" s="199"/>
      <c r="F32" s="199"/>
      <c r="G32" s="199"/>
      <c r="H32" s="199"/>
      <c r="I32" s="199"/>
      <c r="J32" s="199"/>
      <c r="K32" s="199"/>
      <c r="L32" s="199"/>
      <c r="M32" s="199"/>
      <c r="N32" s="199"/>
      <c r="O32" s="199"/>
    </row>
    <row r="33" spans="1:15" x14ac:dyDescent="0.25">
      <c r="A33" s="345"/>
      <c r="B33" s="346"/>
      <c r="C33" s="350"/>
      <c r="D33" s="199"/>
      <c r="E33" s="199"/>
      <c r="F33" s="199"/>
      <c r="G33" s="199"/>
      <c r="H33" s="199"/>
      <c r="I33" s="199"/>
      <c r="J33" s="199"/>
      <c r="K33" s="199"/>
      <c r="L33" s="199"/>
      <c r="M33" s="199"/>
      <c r="N33" s="199"/>
      <c r="O33" s="199"/>
    </row>
    <row r="34" spans="1:15" x14ac:dyDescent="0.25">
      <c r="A34" s="345"/>
      <c r="B34" s="346"/>
      <c r="C34" s="350"/>
      <c r="D34" s="199"/>
      <c r="E34" s="199"/>
      <c r="F34" s="199"/>
      <c r="G34" s="199"/>
      <c r="H34" s="199"/>
      <c r="I34" s="199"/>
      <c r="J34" s="199"/>
      <c r="K34" s="199"/>
      <c r="L34" s="199"/>
      <c r="M34" s="199"/>
      <c r="N34" s="199"/>
      <c r="O34" s="199"/>
    </row>
    <row r="35" spans="1:15" x14ac:dyDescent="0.25">
      <c r="A35" s="345"/>
      <c r="B35" s="346"/>
      <c r="C35" s="350"/>
      <c r="D35" s="199"/>
      <c r="E35" s="199"/>
      <c r="F35" s="199"/>
      <c r="G35" s="199"/>
      <c r="H35" s="199"/>
      <c r="I35" s="199"/>
      <c r="J35" s="199"/>
      <c r="K35" s="199"/>
      <c r="L35" s="199"/>
      <c r="M35" s="199"/>
      <c r="N35" s="199"/>
      <c r="O35" s="199"/>
    </row>
    <row r="36" spans="1:15" x14ac:dyDescent="0.25">
      <c r="A36" s="345"/>
      <c r="B36" s="346"/>
      <c r="C36" s="350"/>
      <c r="D36" s="199"/>
      <c r="E36" s="199"/>
      <c r="F36" s="199"/>
      <c r="G36" s="199"/>
      <c r="H36" s="199"/>
      <c r="I36" s="199"/>
      <c r="J36" s="199"/>
      <c r="K36" s="199"/>
      <c r="L36" s="199"/>
      <c r="M36" s="199"/>
      <c r="N36" s="199"/>
      <c r="O36" s="199"/>
    </row>
    <row r="37" spans="1:15" x14ac:dyDescent="0.25">
      <c r="A37" s="345"/>
      <c r="B37" s="346"/>
      <c r="C37" s="350"/>
      <c r="D37" s="199"/>
      <c r="E37" s="199"/>
      <c r="F37" s="199"/>
      <c r="G37" s="199"/>
      <c r="H37" s="199"/>
      <c r="I37" s="199"/>
      <c r="J37" s="199"/>
      <c r="K37" s="199"/>
      <c r="L37" s="199"/>
      <c r="M37" s="199"/>
      <c r="N37" s="199"/>
      <c r="O37" s="199"/>
    </row>
    <row r="38" spans="1:15" x14ac:dyDescent="0.25">
      <c r="A38" s="345"/>
      <c r="B38" s="346"/>
      <c r="C38" s="350"/>
      <c r="D38" s="199"/>
      <c r="E38" s="199"/>
      <c r="F38" s="199"/>
      <c r="G38" s="199"/>
      <c r="H38" s="199"/>
      <c r="I38" s="199"/>
      <c r="J38" s="199"/>
      <c r="K38" s="199"/>
      <c r="L38" s="199"/>
      <c r="M38" s="199"/>
      <c r="N38" s="199"/>
      <c r="O38" s="199"/>
    </row>
    <row r="39" spans="1:15" x14ac:dyDescent="0.25">
      <c r="A39" s="345"/>
      <c r="B39" s="346"/>
      <c r="C39" s="350"/>
      <c r="D39" s="199"/>
      <c r="E39" s="199"/>
      <c r="F39" s="199"/>
      <c r="G39" s="199"/>
      <c r="H39" s="199"/>
      <c r="I39" s="199"/>
      <c r="J39" s="199"/>
      <c r="K39" s="199"/>
      <c r="L39" s="199"/>
      <c r="M39" s="199"/>
      <c r="N39" s="199"/>
      <c r="O39" s="199"/>
    </row>
    <row r="40" spans="1:15" x14ac:dyDescent="0.25">
      <c r="A40" s="345"/>
      <c r="B40" s="346"/>
      <c r="C40" s="350"/>
      <c r="D40" s="199"/>
      <c r="E40" s="199"/>
      <c r="F40" s="199"/>
      <c r="G40" s="199"/>
      <c r="H40" s="199"/>
      <c r="I40" s="199"/>
      <c r="J40" s="199"/>
      <c r="K40" s="199"/>
      <c r="L40" s="199"/>
      <c r="M40" s="199"/>
      <c r="N40" s="199"/>
      <c r="O40" s="199"/>
    </row>
    <row r="41" spans="1:15" x14ac:dyDescent="0.25">
      <c r="A41" s="345"/>
      <c r="B41" s="346"/>
      <c r="C41" s="350"/>
      <c r="D41" s="199"/>
      <c r="E41" s="199"/>
      <c r="F41" s="199"/>
      <c r="G41" s="199"/>
      <c r="H41" s="199"/>
      <c r="I41" s="199"/>
      <c r="J41" s="199"/>
      <c r="K41" s="199"/>
      <c r="L41" s="199"/>
      <c r="M41" s="199"/>
      <c r="N41" s="199"/>
      <c r="O41" s="199"/>
    </row>
    <row r="42" spans="1:15" x14ac:dyDescent="0.25">
      <c r="A42" s="345"/>
      <c r="B42" s="346"/>
      <c r="C42" s="350"/>
      <c r="D42" s="199"/>
      <c r="E42" s="199"/>
      <c r="F42" s="199"/>
      <c r="G42" s="199"/>
      <c r="H42" s="199"/>
      <c r="I42" s="199"/>
      <c r="J42" s="199"/>
      <c r="K42" s="199"/>
      <c r="L42" s="199"/>
      <c r="M42" s="199"/>
      <c r="N42" s="199"/>
      <c r="O42" s="199"/>
    </row>
    <row r="43" spans="1:15" x14ac:dyDescent="0.25">
      <c r="A43" s="345"/>
      <c r="B43" s="346"/>
      <c r="C43" s="350"/>
      <c r="D43" s="199"/>
      <c r="E43" s="199"/>
      <c r="F43" s="199"/>
      <c r="G43" s="199"/>
      <c r="H43" s="199"/>
      <c r="I43" s="199"/>
      <c r="J43" s="199"/>
      <c r="K43" s="199"/>
      <c r="L43" s="199"/>
      <c r="M43" s="199"/>
      <c r="N43" s="199"/>
      <c r="O43" s="199"/>
    </row>
    <row r="44" spans="1:15" x14ac:dyDescent="0.25">
      <c r="A44" s="345"/>
      <c r="B44" s="346"/>
      <c r="C44" s="350"/>
      <c r="D44" s="199"/>
      <c r="E44" s="199"/>
      <c r="F44" s="199"/>
      <c r="G44" s="199"/>
      <c r="H44" s="199"/>
      <c r="I44" s="199"/>
      <c r="J44" s="199"/>
      <c r="K44" s="199"/>
      <c r="L44" s="199"/>
      <c r="M44" s="199"/>
      <c r="N44" s="199"/>
      <c r="O44" s="199"/>
    </row>
    <row r="46" spans="1:15" x14ac:dyDescent="0.25">
      <c r="A46" s="349" t="s">
        <v>768</v>
      </c>
      <c r="B46" s="349"/>
      <c r="D46" s="351">
        <f>SUM(D25:D44)</f>
        <v>0</v>
      </c>
      <c r="E46" s="351">
        <f t="shared" ref="E46:O46" si="0">SUM(E25:E44)</f>
        <v>0</v>
      </c>
      <c r="F46" s="351">
        <f t="shared" si="0"/>
        <v>0</v>
      </c>
      <c r="G46" s="351">
        <f t="shared" si="0"/>
        <v>0</v>
      </c>
      <c r="H46" s="351">
        <f t="shared" si="0"/>
        <v>0</v>
      </c>
      <c r="I46" s="351">
        <f t="shared" si="0"/>
        <v>0</v>
      </c>
      <c r="J46" s="351">
        <f t="shared" si="0"/>
        <v>0</v>
      </c>
      <c r="K46" s="351">
        <f t="shared" si="0"/>
        <v>0</v>
      </c>
      <c r="L46" s="351">
        <f t="shared" si="0"/>
        <v>0</v>
      </c>
      <c r="M46" s="351">
        <f t="shared" si="0"/>
        <v>0</v>
      </c>
      <c r="N46" s="351">
        <f t="shared" si="0"/>
        <v>0</v>
      </c>
      <c r="O46" s="351">
        <f t="shared" si="0"/>
        <v>0</v>
      </c>
    </row>
    <row r="47" spans="1:15" x14ac:dyDescent="0.25">
      <c r="A47" s="349"/>
      <c r="B47" s="349"/>
      <c r="D47" s="357"/>
      <c r="E47" s="357"/>
      <c r="F47" s="357"/>
      <c r="G47" s="357"/>
      <c r="H47" s="357"/>
      <c r="I47" s="357"/>
      <c r="J47" s="357"/>
      <c r="K47" s="357"/>
      <c r="L47" s="357"/>
      <c r="M47" s="357"/>
      <c r="N47" s="357"/>
      <c r="O47" s="357"/>
    </row>
    <row r="48" spans="1:15" x14ac:dyDescent="0.25">
      <c r="A48" s="349" t="s">
        <v>769</v>
      </c>
      <c r="B48" s="349"/>
      <c r="D48" s="351">
        <f>MIN(D46,D20)</f>
        <v>0</v>
      </c>
      <c r="E48" s="357"/>
      <c r="F48" s="357"/>
      <c r="G48" s="351">
        <f>MIN(G46,G20)</f>
        <v>0</v>
      </c>
      <c r="H48" s="357"/>
      <c r="I48" s="357"/>
      <c r="J48" s="351">
        <f>MIN(J46,J20)</f>
        <v>0</v>
      </c>
      <c r="K48" s="357"/>
      <c r="L48" s="357"/>
      <c r="M48" s="351">
        <f>MIN(M46,M20)</f>
        <v>0</v>
      </c>
      <c r="N48" s="357"/>
      <c r="O48" s="357"/>
    </row>
    <row r="49" spans="1:15" ht="15.75" thickBot="1" x14ac:dyDescent="0.3"/>
    <row r="50" spans="1:15" ht="15" customHeight="1" thickBot="1" x14ac:dyDescent="0.3">
      <c r="A50" s="449" t="s">
        <v>880</v>
      </c>
      <c r="B50" s="449"/>
      <c r="D50" s="500" t="s">
        <v>854</v>
      </c>
      <c r="E50" s="501"/>
      <c r="F50" s="501"/>
      <c r="G50" s="500" t="s">
        <v>854</v>
      </c>
      <c r="H50" s="501"/>
      <c r="I50" s="502"/>
      <c r="J50" s="500" t="s">
        <v>854</v>
      </c>
      <c r="K50" s="501"/>
      <c r="L50" s="501"/>
      <c r="M50" s="500" t="s">
        <v>854</v>
      </c>
      <c r="N50" s="501"/>
      <c r="O50" s="502"/>
    </row>
    <row r="51" spans="1:15" x14ac:dyDescent="0.25">
      <c r="A51" s="449"/>
      <c r="B51" s="449"/>
    </row>
    <row r="52" spans="1:15" x14ac:dyDescent="0.25">
      <c r="A52" s="449"/>
      <c r="B52" s="449"/>
      <c r="D52" s="499" t="s">
        <v>750</v>
      </c>
      <c r="E52" s="499"/>
      <c r="F52" s="499"/>
      <c r="G52" s="499" t="s">
        <v>750</v>
      </c>
      <c r="H52" s="499"/>
      <c r="I52" s="499"/>
      <c r="J52" s="499" t="s">
        <v>750</v>
      </c>
      <c r="K52" s="499"/>
      <c r="L52" s="499"/>
      <c r="M52" s="499" t="s">
        <v>750</v>
      </c>
      <c r="N52" s="499"/>
      <c r="O52" s="499"/>
    </row>
    <row r="53" spans="1:15" x14ac:dyDescent="0.25">
      <c r="A53" s="449"/>
      <c r="B53" s="449"/>
      <c r="D53" s="494" t="s">
        <v>756</v>
      </c>
      <c r="E53" s="494"/>
      <c r="F53" s="494"/>
      <c r="G53" s="495" t="s">
        <v>757</v>
      </c>
      <c r="H53" s="495"/>
      <c r="I53" s="495"/>
      <c r="J53" s="494" t="s">
        <v>758</v>
      </c>
      <c r="K53" s="494"/>
      <c r="L53" s="494"/>
      <c r="M53" s="503" t="s">
        <v>759</v>
      </c>
      <c r="N53" s="503"/>
      <c r="O53" s="503"/>
    </row>
    <row r="54" spans="1:15" x14ac:dyDescent="0.25">
      <c r="D54" s="494">
        <f>M15+1</f>
        <v>2020</v>
      </c>
      <c r="E54" s="494"/>
      <c r="F54" s="494"/>
      <c r="G54" s="495">
        <f>D54+1</f>
        <v>2021</v>
      </c>
      <c r="H54" s="495"/>
      <c r="I54" s="495"/>
      <c r="J54" s="494">
        <f>G54+1</f>
        <v>2022</v>
      </c>
      <c r="K54" s="494"/>
      <c r="L54" s="494"/>
      <c r="M54" s="495">
        <f>J54+1</f>
        <v>2023</v>
      </c>
      <c r="N54" s="495"/>
      <c r="O54" s="495"/>
    </row>
    <row r="55" spans="1:15" x14ac:dyDescent="0.25">
      <c r="A55" s="349" t="s">
        <v>762</v>
      </c>
      <c r="B55" s="496"/>
      <c r="D55" s="199"/>
      <c r="G55" s="199">
        <v>42160900.972395658</v>
      </c>
      <c r="J55" s="199"/>
      <c r="M55" s="199"/>
    </row>
    <row r="56" spans="1:15" x14ac:dyDescent="0.25">
      <c r="A56" s="349"/>
      <c r="B56" s="496"/>
    </row>
    <row r="57" spans="1:15" x14ac:dyDescent="0.25">
      <c r="A57" s="349" t="s">
        <v>763</v>
      </c>
      <c r="B57" s="496"/>
      <c r="D57" s="351">
        <f>IF('8. Threshold Test'!$E$70="", 0, '8. Threshold Test'!$E$70)</f>
        <v>31052210.020796768</v>
      </c>
      <c r="G57" s="351">
        <f>IF('8. Threshold Test'!$E$71="", 0, '8. Threshold Test'!$E$71)</f>
        <v>31499198.401319791</v>
      </c>
      <c r="J57" s="351">
        <f>IF('8. Threshold Test'!$E$72="", 0, '8. Threshold Test'!$E$72)</f>
        <v>31960156.602972902</v>
      </c>
      <c r="M57" s="351">
        <f>IF('8. Threshold Test'!$E$73="", 0, '8. Threshold Test'!$E$73)</f>
        <v>32435521.227490988</v>
      </c>
    </row>
    <row r="58" spans="1:15" x14ac:dyDescent="0.25">
      <c r="A58" s="6"/>
      <c r="B58" s="496"/>
    </row>
    <row r="59" spans="1:15" ht="30" x14ac:dyDescent="0.25">
      <c r="A59" s="352" t="s">
        <v>764</v>
      </c>
      <c r="B59" s="349"/>
      <c r="C59" s="353"/>
      <c r="D59" s="354">
        <f t="shared" ref="D59" si="1">IF(D57&gt;D55,0,D55-D57)</f>
        <v>0</v>
      </c>
      <c r="G59" s="354">
        <f t="shared" ref="G59" si="2">IF(G57&gt;G55,0,G55-G57)</f>
        <v>10661702.571075868</v>
      </c>
      <c r="J59" s="354">
        <f t="shared" ref="J59" si="3">IF(J57&gt;J55,0,J55-J57)</f>
        <v>0</v>
      </c>
      <c r="M59" s="354">
        <f t="shared" ref="M59" si="4">IF(M57&gt;M55,0,M55-M57)</f>
        <v>0</v>
      </c>
    </row>
    <row r="60" spans="1:15" x14ac:dyDescent="0.25">
      <c r="A60" s="352"/>
      <c r="B60" s="349"/>
      <c r="C60" s="353"/>
      <c r="D60" s="355"/>
      <c r="G60" s="355"/>
      <c r="J60" s="355"/>
      <c r="M60" s="355"/>
    </row>
    <row r="61" spans="1:15" x14ac:dyDescent="0.25">
      <c r="A61" s="6"/>
      <c r="B61" s="6"/>
      <c r="C61" s="353"/>
      <c r="D61" s="494" t="str">
        <f>D53</f>
        <v>Year 5</v>
      </c>
      <c r="E61" s="494"/>
      <c r="F61" s="494"/>
      <c r="G61" s="495" t="str">
        <f>G53</f>
        <v>Year 6</v>
      </c>
      <c r="H61" s="495"/>
      <c r="I61" s="495"/>
      <c r="J61" s="494" t="str">
        <f>J53</f>
        <v>Year 7</v>
      </c>
      <c r="K61" s="494"/>
      <c r="L61" s="494"/>
      <c r="M61" s="495" t="str">
        <f>M53</f>
        <v>Year 8</v>
      </c>
      <c r="N61" s="495"/>
      <c r="O61" s="495"/>
    </row>
    <row r="62" spans="1:15" x14ac:dyDescent="0.25">
      <c r="A62" s="6"/>
      <c r="B62" s="6"/>
      <c r="C62" s="353"/>
      <c r="D62" s="494">
        <f>D54</f>
        <v>2020</v>
      </c>
      <c r="E62" s="494"/>
      <c r="F62" s="494"/>
      <c r="G62" s="495">
        <f>G54</f>
        <v>2021</v>
      </c>
      <c r="H62" s="495"/>
      <c r="I62" s="495"/>
      <c r="J62" s="494">
        <f>J54</f>
        <v>2022</v>
      </c>
      <c r="K62" s="494"/>
      <c r="L62" s="494"/>
      <c r="M62" s="495">
        <f>M54</f>
        <v>2023</v>
      </c>
      <c r="N62" s="495"/>
      <c r="O62" s="495"/>
    </row>
    <row r="63" spans="1:15" x14ac:dyDescent="0.25">
      <c r="A63" s="6" t="s">
        <v>765</v>
      </c>
      <c r="B63" s="366" t="s">
        <v>766</v>
      </c>
      <c r="C63" s="353"/>
      <c r="D63" s="367" t="s">
        <v>770</v>
      </c>
      <c r="E63" s="366" t="s">
        <v>771</v>
      </c>
      <c r="F63" s="366" t="s">
        <v>772</v>
      </c>
      <c r="G63" s="367" t="s">
        <v>770</v>
      </c>
      <c r="H63" s="366" t="s">
        <v>771</v>
      </c>
      <c r="I63" s="366" t="s">
        <v>772</v>
      </c>
      <c r="J63" s="367" t="s">
        <v>770</v>
      </c>
      <c r="K63" s="366" t="s">
        <v>771</v>
      </c>
      <c r="L63" s="366" t="s">
        <v>772</v>
      </c>
      <c r="M63" s="367" t="s">
        <v>770</v>
      </c>
      <c r="N63" s="366" t="s">
        <v>771</v>
      </c>
      <c r="O63" s="366" t="s">
        <v>772</v>
      </c>
    </row>
    <row r="64" spans="1:15" x14ac:dyDescent="0.25">
      <c r="A64" s="345" t="s">
        <v>893</v>
      </c>
      <c r="B64" s="346" t="s">
        <v>892</v>
      </c>
      <c r="C64" s="350"/>
      <c r="D64" s="199"/>
      <c r="E64" s="199"/>
      <c r="F64" s="199"/>
      <c r="G64" s="199">
        <v>2090197.12</v>
      </c>
      <c r="H64" s="199">
        <f>G64/45</f>
        <v>46448.824888888892</v>
      </c>
      <c r="I64" s="199">
        <f>G64*8%</f>
        <v>167215.7696</v>
      </c>
      <c r="J64" s="199"/>
      <c r="K64" s="199"/>
      <c r="L64" s="199"/>
      <c r="M64" s="199"/>
      <c r="N64" s="199"/>
      <c r="O64" s="199"/>
    </row>
    <row r="65" spans="1:15" x14ac:dyDescent="0.25">
      <c r="A65" s="345" t="s">
        <v>891</v>
      </c>
      <c r="B65" s="346" t="s">
        <v>892</v>
      </c>
      <c r="C65" s="350"/>
      <c r="D65" s="199"/>
      <c r="E65" s="199"/>
      <c r="F65" s="199"/>
      <c r="G65" s="199">
        <v>5682220.2000000002</v>
      </c>
      <c r="H65" s="199">
        <f>G65/40</f>
        <v>142055.505</v>
      </c>
      <c r="I65" s="199">
        <f>(G65)/15</f>
        <v>378814.68</v>
      </c>
      <c r="J65" s="199"/>
      <c r="K65" s="199"/>
      <c r="L65" s="199"/>
      <c r="M65" s="199"/>
      <c r="N65" s="199"/>
      <c r="O65" s="199"/>
    </row>
    <row r="66" spans="1:15" x14ac:dyDescent="0.25">
      <c r="A66" s="345"/>
      <c r="B66" s="346"/>
      <c r="C66" s="350"/>
      <c r="D66" s="199"/>
      <c r="E66" s="199"/>
      <c r="F66" s="199"/>
      <c r="G66" s="199"/>
      <c r="H66" s="199"/>
      <c r="I66" s="199"/>
      <c r="J66" s="199"/>
      <c r="K66" s="199"/>
      <c r="L66" s="199"/>
      <c r="M66" s="199"/>
      <c r="N66" s="199"/>
      <c r="O66" s="199"/>
    </row>
    <row r="67" spans="1:15" x14ac:dyDescent="0.25">
      <c r="A67" s="345"/>
      <c r="B67" s="346"/>
      <c r="C67" s="350"/>
      <c r="D67" s="199"/>
      <c r="E67" s="199"/>
      <c r="F67" s="199"/>
      <c r="G67" s="199"/>
      <c r="H67" s="199"/>
      <c r="I67" s="199"/>
      <c r="J67" s="199"/>
      <c r="K67" s="199"/>
      <c r="L67" s="199"/>
      <c r="M67" s="199"/>
      <c r="N67" s="199"/>
      <c r="O67" s="199"/>
    </row>
    <row r="68" spans="1:15" x14ac:dyDescent="0.25">
      <c r="A68" s="345"/>
      <c r="B68" s="346"/>
      <c r="C68" s="350"/>
      <c r="D68" s="199"/>
      <c r="E68" s="199"/>
      <c r="F68" s="199"/>
      <c r="G68" s="199"/>
      <c r="H68" s="199"/>
      <c r="I68" s="199"/>
      <c r="J68" s="199"/>
      <c r="K68" s="199"/>
      <c r="L68" s="199"/>
      <c r="M68" s="199"/>
      <c r="N68" s="199"/>
      <c r="O68" s="199"/>
    </row>
    <row r="69" spans="1:15" x14ac:dyDescent="0.25">
      <c r="A69" s="345"/>
      <c r="B69" s="346"/>
      <c r="C69" s="350"/>
      <c r="D69" s="199"/>
      <c r="E69" s="199"/>
      <c r="F69" s="199"/>
      <c r="G69" s="199"/>
      <c r="H69" s="199"/>
      <c r="I69" s="199"/>
      <c r="J69" s="199"/>
      <c r="K69" s="199"/>
      <c r="L69" s="199"/>
      <c r="M69" s="199"/>
      <c r="N69" s="199"/>
      <c r="O69" s="199"/>
    </row>
    <row r="70" spans="1:15" x14ac:dyDescent="0.25">
      <c r="A70" s="345"/>
      <c r="B70" s="346"/>
      <c r="C70" s="350"/>
      <c r="D70" s="199"/>
      <c r="E70" s="199"/>
      <c r="F70" s="199"/>
      <c r="G70" s="199"/>
      <c r="H70" s="199"/>
      <c r="I70" s="199"/>
      <c r="J70" s="199"/>
      <c r="K70" s="199"/>
      <c r="L70" s="199"/>
      <c r="M70" s="199"/>
      <c r="N70" s="199"/>
      <c r="O70" s="199"/>
    </row>
    <row r="71" spans="1:15" x14ac:dyDescent="0.25">
      <c r="A71" s="345"/>
      <c r="B71" s="346"/>
      <c r="C71" s="350"/>
      <c r="D71" s="199"/>
      <c r="E71" s="199"/>
      <c r="F71" s="199"/>
      <c r="G71" s="199"/>
      <c r="H71" s="199"/>
      <c r="I71" s="199"/>
      <c r="J71" s="199"/>
      <c r="K71" s="199"/>
      <c r="L71" s="199"/>
      <c r="M71" s="199"/>
      <c r="N71" s="199"/>
      <c r="O71" s="199"/>
    </row>
    <row r="72" spans="1:15" x14ac:dyDescent="0.25">
      <c r="A72" s="345"/>
      <c r="B72" s="346"/>
      <c r="C72" s="350"/>
      <c r="D72" s="199"/>
      <c r="E72" s="199"/>
      <c r="F72" s="199"/>
      <c r="G72" s="199"/>
      <c r="H72" s="199"/>
      <c r="I72" s="199"/>
      <c r="J72" s="199"/>
      <c r="K72" s="199"/>
      <c r="L72" s="199"/>
      <c r="M72" s="199"/>
      <c r="N72" s="199"/>
      <c r="O72" s="199"/>
    </row>
    <row r="73" spans="1:15" x14ac:dyDescent="0.25">
      <c r="A73" s="345"/>
      <c r="B73" s="346"/>
      <c r="C73" s="350"/>
      <c r="D73" s="199"/>
      <c r="E73" s="199"/>
      <c r="F73" s="199"/>
      <c r="G73" s="199"/>
      <c r="H73" s="199"/>
      <c r="I73" s="199"/>
      <c r="J73" s="199"/>
      <c r="K73" s="199"/>
      <c r="L73" s="199"/>
      <c r="M73" s="199"/>
      <c r="N73" s="199"/>
      <c r="O73" s="199"/>
    </row>
    <row r="74" spans="1:15" x14ac:dyDescent="0.25">
      <c r="A74" s="345"/>
      <c r="B74" s="346"/>
      <c r="C74" s="350"/>
      <c r="D74" s="199"/>
      <c r="E74" s="199"/>
      <c r="F74" s="199"/>
      <c r="G74" s="199"/>
      <c r="H74" s="199"/>
      <c r="I74" s="199"/>
      <c r="J74" s="199"/>
      <c r="K74" s="199"/>
      <c r="L74" s="199"/>
      <c r="M74" s="199"/>
      <c r="N74" s="199"/>
      <c r="O74" s="199"/>
    </row>
    <row r="75" spans="1:15" x14ac:dyDescent="0.25">
      <c r="A75" s="345"/>
      <c r="B75" s="346"/>
      <c r="C75" s="350"/>
      <c r="D75" s="199"/>
      <c r="E75" s="199"/>
      <c r="F75" s="199"/>
      <c r="G75" s="199"/>
      <c r="H75" s="199"/>
      <c r="I75" s="199"/>
      <c r="J75" s="199"/>
      <c r="K75" s="199"/>
      <c r="L75" s="199"/>
      <c r="M75" s="199"/>
      <c r="N75" s="199"/>
      <c r="O75" s="199"/>
    </row>
    <row r="76" spans="1:15" x14ac:dyDescent="0.25">
      <c r="A76" s="345"/>
      <c r="B76" s="346"/>
      <c r="C76" s="350"/>
      <c r="D76" s="199"/>
      <c r="E76" s="199"/>
      <c r="F76" s="199"/>
      <c r="G76" s="199"/>
      <c r="H76" s="199"/>
      <c r="I76" s="199"/>
      <c r="J76" s="199"/>
      <c r="K76" s="199"/>
      <c r="L76" s="199"/>
      <c r="M76" s="199"/>
      <c r="N76" s="199"/>
      <c r="O76" s="199"/>
    </row>
    <row r="77" spans="1:15" x14ac:dyDescent="0.25">
      <c r="A77" s="345"/>
      <c r="B77" s="346"/>
      <c r="C77" s="350"/>
      <c r="D77" s="199"/>
      <c r="E77" s="199"/>
      <c r="F77" s="199"/>
      <c r="G77" s="199"/>
      <c r="H77" s="199"/>
      <c r="I77" s="199"/>
      <c r="J77" s="199"/>
      <c r="K77" s="199"/>
      <c r="L77" s="199"/>
      <c r="M77" s="199"/>
      <c r="N77" s="199"/>
      <c r="O77" s="199"/>
    </row>
    <row r="78" spans="1:15" x14ac:dyDescent="0.25">
      <c r="A78" s="345"/>
      <c r="B78" s="346"/>
      <c r="C78" s="350"/>
      <c r="D78" s="199"/>
      <c r="E78" s="199"/>
      <c r="F78" s="199"/>
      <c r="G78" s="199"/>
      <c r="H78" s="199"/>
      <c r="I78" s="199"/>
      <c r="J78" s="199"/>
      <c r="K78" s="199"/>
      <c r="L78" s="199"/>
      <c r="M78" s="199"/>
      <c r="N78" s="199"/>
      <c r="O78" s="199"/>
    </row>
    <row r="79" spans="1:15" x14ac:dyDescent="0.25">
      <c r="A79" s="345"/>
      <c r="B79" s="346"/>
      <c r="C79" s="350"/>
      <c r="D79" s="199"/>
      <c r="E79" s="199"/>
      <c r="F79" s="199"/>
      <c r="G79" s="199"/>
      <c r="H79" s="199"/>
      <c r="I79" s="199"/>
      <c r="J79" s="199"/>
      <c r="K79" s="199"/>
      <c r="L79" s="199"/>
      <c r="M79" s="199"/>
      <c r="N79" s="199"/>
      <c r="O79" s="199"/>
    </row>
    <row r="80" spans="1:15" x14ac:dyDescent="0.25">
      <c r="A80" s="345"/>
      <c r="B80" s="346"/>
      <c r="C80" s="350"/>
      <c r="D80" s="199"/>
      <c r="E80" s="199"/>
      <c r="F80" s="199"/>
      <c r="G80" s="199"/>
      <c r="H80" s="199"/>
      <c r="I80" s="199"/>
      <c r="J80" s="199"/>
      <c r="K80" s="199"/>
      <c r="L80" s="199"/>
      <c r="M80" s="199"/>
      <c r="N80" s="199"/>
      <c r="O80" s="199"/>
    </row>
    <row r="81" spans="1:15" x14ac:dyDescent="0.25">
      <c r="A81" s="345"/>
      <c r="B81" s="346"/>
      <c r="C81" s="350"/>
      <c r="D81" s="199"/>
      <c r="E81" s="199"/>
      <c r="F81" s="199"/>
      <c r="G81" s="199"/>
      <c r="H81" s="199"/>
      <c r="I81" s="199"/>
      <c r="J81" s="199"/>
      <c r="K81" s="199"/>
      <c r="L81" s="199"/>
      <c r="M81" s="199"/>
      <c r="N81" s="199"/>
      <c r="O81" s="199"/>
    </row>
    <row r="82" spans="1:15" x14ac:dyDescent="0.25">
      <c r="A82" s="345"/>
      <c r="B82" s="346"/>
      <c r="C82" s="350"/>
      <c r="D82" s="199"/>
      <c r="E82" s="199"/>
      <c r="F82" s="199"/>
      <c r="G82" s="199"/>
      <c r="H82" s="199"/>
      <c r="I82" s="199"/>
      <c r="J82" s="199"/>
      <c r="K82" s="199"/>
      <c r="L82" s="199"/>
      <c r="M82" s="199"/>
      <c r="N82" s="199"/>
      <c r="O82" s="199"/>
    </row>
    <row r="83" spans="1:15" x14ac:dyDescent="0.25">
      <c r="A83" s="345"/>
      <c r="B83" s="346"/>
      <c r="C83" s="350"/>
      <c r="D83" s="199"/>
      <c r="E83" s="199"/>
      <c r="F83" s="199"/>
      <c r="G83" s="199"/>
      <c r="H83" s="199"/>
      <c r="I83" s="199"/>
      <c r="J83" s="199"/>
      <c r="K83" s="199"/>
      <c r="L83" s="199"/>
      <c r="M83" s="199"/>
      <c r="N83" s="199"/>
      <c r="O83" s="199"/>
    </row>
    <row r="85" spans="1:15" x14ac:dyDescent="0.25">
      <c r="A85" s="349" t="s">
        <v>768</v>
      </c>
      <c r="B85" s="349"/>
      <c r="D85" s="351">
        <f t="shared" ref="D85:O85" si="5">SUM(D64:D83)</f>
        <v>0</v>
      </c>
      <c r="E85" s="351">
        <f t="shared" si="5"/>
        <v>0</v>
      </c>
      <c r="F85" s="351">
        <f t="shared" si="5"/>
        <v>0</v>
      </c>
      <c r="G85" s="351">
        <f t="shared" si="5"/>
        <v>7772417.3200000003</v>
      </c>
      <c r="H85" s="351">
        <f t="shared" si="5"/>
        <v>188504.3298888889</v>
      </c>
      <c r="I85" s="351">
        <f t="shared" si="5"/>
        <v>546030.44959999993</v>
      </c>
      <c r="J85" s="351">
        <f t="shared" si="5"/>
        <v>0</v>
      </c>
      <c r="K85" s="351">
        <f t="shared" si="5"/>
        <v>0</v>
      </c>
      <c r="L85" s="351">
        <f t="shared" si="5"/>
        <v>0</v>
      </c>
      <c r="M85" s="351">
        <f t="shared" si="5"/>
        <v>0</v>
      </c>
      <c r="N85" s="351">
        <f t="shared" si="5"/>
        <v>0</v>
      </c>
      <c r="O85" s="351">
        <f t="shared" si="5"/>
        <v>0</v>
      </c>
    </row>
    <row r="86" spans="1:15" x14ac:dyDescent="0.25">
      <c r="A86" s="349"/>
      <c r="B86" s="349"/>
      <c r="D86" s="357"/>
      <c r="E86" s="357"/>
      <c r="F86" s="357"/>
      <c r="G86" s="357"/>
      <c r="H86" s="357"/>
      <c r="I86" s="357"/>
      <c r="J86" s="357"/>
      <c r="K86" s="357"/>
      <c r="L86" s="357"/>
      <c r="M86" s="357"/>
      <c r="N86" s="357"/>
      <c r="O86" s="357"/>
    </row>
    <row r="87" spans="1:15" x14ac:dyDescent="0.25">
      <c r="A87" s="349" t="s">
        <v>769</v>
      </c>
      <c r="B87" s="349"/>
      <c r="D87" s="351">
        <f>MIN(D85,D59)</f>
        <v>0</v>
      </c>
      <c r="E87" s="357"/>
      <c r="F87" s="357"/>
      <c r="G87" s="351">
        <f>MIN(G85,G59)</f>
        <v>7772417.3200000003</v>
      </c>
      <c r="H87" s="357"/>
      <c r="I87" s="357"/>
      <c r="J87" s="351">
        <f>MIN(J85,J59)</f>
        <v>0</v>
      </c>
      <c r="K87" s="357"/>
      <c r="L87" s="357"/>
      <c r="M87" s="351">
        <f>MIN(M85,M59)</f>
        <v>0</v>
      </c>
      <c r="N87" s="357"/>
      <c r="O87" s="357"/>
    </row>
    <row r="88" spans="1:15" ht="15.75" thickBot="1" x14ac:dyDescent="0.3"/>
    <row r="89" spans="1:15" ht="15.75" thickBot="1" x14ac:dyDescent="0.3">
      <c r="A89" s="449" t="s">
        <v>880</v>
      </c>
      <c r="B89" s="449"/>
      <c r="D89" s="500" t="str">
        <f>D50</f>
        <v>Price Cap IR (Deferred Rebasing) (if necessary)</v>
      </c>
      <c r="E89" s="501"/>
      <c r="F89" s="501"/>
      <c r="G89" s="500" t="str">
        <f>G50</f>
        <v>Price Cap IR (Deferred Rebasing) (if necessary)</v>
      </c>
      <c r="H89" s="501"/>
      <c r="I89" s="502"/>
      <c r="J89" s="492"/>
      <c r="K89" s="492"/>
      <c r="L89" s="492"/>
      <c r="M89" s="493"/>
      <c r="N89" s="493"/>
      <c r="O89" s="493"/>
    </row>
    <row r="90" spans="1:15" x14ac:dyDescent="0.25">
      <c r="A90" s="449"/>
      <c r="B90" s="449"/>
      <c r="J90" s="492"/>
      <c r="K90" s="492"/>
      <c r="L90" s="492"/>
      <c r="M90" s="493"/>
      <c r="N90" s="493"/>
      <c r="O90" s="493"/>
    </row>
    <row r="91" spans="1:15" x14ac:dyDescent="0.25">
      <c r="A91" s="449"/>
      <c r="B91" s="449"/>
      <c r="D91" s="504" t="s">
        <v>750</v>
      </c>
      <c r="E91" s="504"/>
      <c r="F91" s="504"/>
      <c r="G91" s="504" t="s">
        <v>750</v>
      </c>
      <c r="H91" s="504"/>
      <c r="I91" s="504"/>
      <c r="J91" s="492"/>
      <c r="K91" s="492"/>
      <c r="L91" s="492"/>
      <c r="M91" s="493"/>
      <c r="N91" s="493"/>
      <c r="O91" s="493"/>
    </row>
    <row r="92" spans="1:15" x14ac:dyDescent="0.25">
      <c r="A92" s="449"/>
      <c r="B92" s="449"/>
      <c r="D92" s="494" t="s">
        <v>760</v>
      </c>
      <c r="E92" s="494"/>
      <c r="F92" s="494"/>
      <c r="G92" s="495" t="s">
        <v>761</v>
      </c>
      <c r="H92" s="495"/>
      <c r="I92" s="495"/>
      <c r="J92" s="492"/>
      <c r="K92" s="492"/>
      <c r="L92" s="492"/>
      <c r="M92" s="493"/>
      <c r="N92" s="493"/>
      <c r="O92" s="493"/>
    </row>
    <row r="93" spans="1:15" x14ac:dyDescent="0.25">
      <c r="D93" s="494">
        <f>M54+1</f>
        <v>2024</v>
      </c>
      <c r="E93" s="494"/>
      <c r="F93" s="494"/>
      <c r="G93" s="495">
        <f>D93+1</f>
        <v>2025</v>
      </c>
      <c r="H93" s="495"/>
      <c r="I93" s="495"/>
      <c r="J93" s="492"/>
      <c r="K93" s="492"/>
      <c r="L93" s="492"/>
      <c r="M93" s="493"/>
      <c r="N93" s="493"/>
      <c r="O93" s="493"/>
    </row>
    <row r="94" spans="1:15" x14ac:dyDescent="0.25">
      <c r="A94" s="349" t="s">
        <v>762</v>
      </c>
      <c r="B94" s="496"/>
      <c r="D94" s="199"/>
      <c r="G94" s="199"/>
      <c r="J94" s="358"/>
      <c r="K94" s="292"/>
      <c r="L94" s="292"/>
      <c r="M94" s="358"/>
      <c r="N94" s="292"/>
      <c r="O94" s="292"/>
    </row>
    <row r="95" spans="1:15" x14ac:dyDescent="0.25">
      <c r="A95" s="349"/>
      <c r="B95" s="496"/>
      <c r="J95" s="292"/>
      <c r="K95" s="292"/>
      <c r="L95" s="292"/>
      <c r="M95" s="292"/>
      <c r="N95" s="292"/>
      <c r="O95" s="292"/>
    </row>
    <row r="96" spans="1:15" x14ac:dyDescent="0.25">
      <c r="A96" s="349" t="s">
        <v>763</v>
      </c>
      <c r="B96" s="496"/>
      <c r="D96" s="351">
        <f>IF('8. Threshold Test'!$E$73="", 0, '8. Threshold Test'!$E$73)</f>
        <v>32435521.227490988</v>
      </c>
      <c r="G96" s="351">
        <f>IF('8. Threshold Test'!$E$73="", 0, '8. Threshold Test'!$E$73)</f>
        <v>32435521.227490988</v>
      </c>
      <c r="J96" s="358"/>
      <c r="K96" s="292"/>
      <c r="L96" s="292"/>
      <c r="M96" s="358"/>
      <c r="N96" s="292"/>
      <c r="O96" s="292"/>
    </row>
    <row r="97" spans="1:15" x14ac:dyDescent="0.25">
      <c r="A97" s="6"/>
      <c r="B97" s="496"/>
      <c r="J97" s="292"/>
      <c r="K97" s="292"/>
      <c r="L97" s="292"/>
      <c r="M97" s="292"/>
      <c r="N97" s="292"/>
      <c r="O97" s="292"/>
    </row>
    <row r="98" spans="1:15" ht="30" x14ac:dyDescent="0.25">
      <c r="A98" s="352" t="s">
        <v>764</v>
      </c>
      <c r="B98" s="349"/>
      <c r="C98" s="353"/>
      <c r="D98" s="354">
        <f t="shared" ref="D98" si="6">IF(D96&gt;D94,0,D94-D96)</f>
        <v>0</v>
      </c>
      <c r="G98" s="354">
        <f t="shared" ref="G98" si="7">IF(G96&gt;G94,0,G94-G96)</f>
        <v>0</v>
      </c>
      <c r="J98" s="358"/>
      <c r="K98" s="292"/>
      <c r="L98" s="292"/>
      <c r="M98" s="358"/>
      <c r="N98" s="292"/>
      <c r="O98" s="292"/>
    </row>
    <row r="99" spans="1:15" x14ac:dyDescent="0.25">
      <c r="A99" s="352"/>
      <c r="B99" s="349"/>
      <c r="C99" s="353"/>
      <c r="D99" s="355"/>
      <c r="G99" s="355"/>
      <c r="J99" s="358"/>
      <c r="K99" s="292"/>
      <c r="L99" s="359"/>
      <c r="M99" s="358"/>
      <c r="N99" s="292"/>
      <c r="O99" s="292"/>
    </row>
    <row r="100" spans="1:15" x14ac:dyDescent="0.25">
      <c r="A100" s="6"/>
      <c r="B100" s="6"/>
      <c r="C100" s="353"/>
      <c r="D100" s="494" t="str">
        <f>D92</f>
        <v>Year 9</v>
      </c>
      <c r="E100" s="494"/>
      <c r="F100" s="494"/>
      <c r="G100" s="495" t="str">
        <f>G92</f>
        <v>Year 10</v>
      </c>
      <c r="H100" s="495"/>
      <c r="I100" s="495"/>
      <c r="J100" s="492"/>
      <c r="K100" s="492"/>
      <c r="L100" s="492"/>
      <c r="M100" s="492"/>
      <c r="N100" s="492"/>
      <c r="O100" s="492"/>
    </row>
    <row r="101" spans="1:15" x14ac:dyDescent="0.25">
      <c r="A101" s="6"/>
      <c r="B101" s="6"/>
      <c r="C101" s="353"/>
      <c r="D101" s="494">
        <f>D93</f>
        <v>2024</v>
      </c>
      <c r="E101" s="494"/>
      <c r="F101" s="494"/>
      <c r="G101" s="495">
        <f>G93</f>
        <v>2025</v>
      </c>
      <c r="H101" s="495"/>
      <c r="I101" s="495"/>
      <c r="J101" s="492"/>
      <c r="K101" s="492"/>
      <c r="L101" s="492"/>
      <c r="M101" s="492"/>
      <c r="N101" s="492"/>
      <c r="O101" s="492"/>
    </row>
    <row r="102" spans="1:15" x14ac:dyDescent="0.25">
      <c r="A102" s="6" t="s">
        <v>765</v>
      </c>
      <c r="B102" s="366" t="s">
        <v>766</v>
      </c>
      <c r="C102" s="353"/>
      <c r="D102" s="367" t="s">
        <v>770</v>
      </c>
      <c r="E102" s="366" t="s">
        <v>771</v>
      </c>
      <c r="F102" s="366" t="s">
        <v>772</v>
      </c>
      <c r="G102" s="367" t="s">
        <v>770</v>
      </c>
      <c r="H102" s="366" t="s">
        <v>771</v>
      </c>
      <c r="I102" s="366" t="s">
        <v>772</v>
      </c>
      <c r="J102" s="365"/>
      <c r="K102" s="364"/>
      <c r="L102" s="364"/>
      <c r="M102" s="365"/>
      <c r="N102" s="364"/>
      <c r="O102" s="364"/>
    </row>
    <row r="103" spans="1:15" x14ac:dyDescent="0.25">
      <c r="A103" s="345"/>
      <c r="B103" s="346"/>
      <c r="C103" s="350"/>
      <c r="D103" s="199"/>
      <c r="E103" s="199"/>
      <c r="F103" s="199"/>
      <c r="G103" s="199"/>
      <c r="H103" s="199"/>
      <c r="I103" s="199"/>
      <c r="J103" s="360"/>
      <c r="K103" s="361"/>
      <c r="L103" s="361"/>
      <c r="M103" s="360"/>
      <c r="N103" s="361"/>
      <c r="O103" s="361"/>
    </row>
    <row r="104" spans="1:15" x14ac:dyDescent="0.25">
      <c r="A104" s="345"/>
      <c r="B104" s="346"/>
      <c r="C104" s="350"/>
      <c r="D104" s="199"/>
      <c r="E104" s="199"/>
      <c r="F104" s="199"/>
      <c r="G104" s="199"/>
      <c r="H104" s="199"/>
      <c r="I104" s="199"/>
      <c r="J104" s="360"/>
      <c r="K104" s="361"/>
      <c r="L104" s="361"/>
      <c r="M104" s="360"/>
      <c r="N104" s="361"/>
      <c r="O104" s="361"/>
    </row>
    <row r="105" spans="1:15" x14ac:dyDescent="0.25">
      <c r="A105" s="345"/>
      <c r="B105" s="346"/>
      <c r="C105" s="350"/>
      <c r="D105" s="199"/>
      <c r="E105" s="199"/>
      <c r="F105" s="199"/>
      <c r="G105" s="199"/>
      <c r="H105" s="199"/>
      <c r="I105" s="199"/>
      <c r="J105" s="360"/>
      <c r="K105" s="361"/>
      <c r="L105" s="361"/>
      <c r="M105" s="360"/>
      <c r="N105" s="361"/>
      <c r="O105" s="361"/>
    </row>
    <row r="106" spans="1:15" x14ac:dyDescent="0.25">
      <c r="A106" s="345"/>
      <c r="B106" s="346"/>
      <c r="C106" s="350"/>
      <c r="D106" s="199"/>
      <c r="E106" s="199"/>
      <c r="F106" s="199"/>
      <c r="G106" s="199"/>
      <c r="H106" s="199"/>
      <c r="I106" s="199"/>
      <c r="J106" s="360"/>
      <c r="K106" s="361"/>
      <c r="L106" s="361"/>
      <c r="M106" s="360"/>
      <c r="N106" s="361"/>
      <c r="O106" s="361"/>
    </row>
    <row r="107" spans="1:15" x14ac:dyDescent="0.25">
      <c r="A107" s="345"/>
      <c r="B107" s="346"/>
      <c r="C107" s="350"/>
      <c r="D107" s="199"/>
      <c r="E107" s="199"/>
      <c r="F107" s="199"/>
      <c r="G107" s="199"/>
      <c r="H107" s="199"/>
      <c r="I107" s="199"/>
      <c r="J107" s="360"/>
      <c r="K107" s="361"/>
      <c r="L107" s="361"/>
      <c r="M107" s="360"/>
      <c r="N107" s="361"/>
      <c r="O107" s="361"/>
    </row>
    <row r="108" spans="1:15" x14ac:dyDescent="0.25">
      <c r="A108" s="345"/>
      <c r="B108" s="346"/>
      <c r="C108" s="350"/>
      <c r="D108" s="199"/>
      <c r="E108" s="199"/>
      <c r="F108" s="199"/>
      <c r="G108" s="199"/>
      <c r="H108" s="199"/>
      <c r="I108" s="199"/>
      <c r="J108" s="360"/>
      <c r="K108" s="361"/>
      <c r="L108" s="361"/>
      <c r="M108" s="360"/>
      <c r="N108" s="361"/>
      <c r="O108" s="361"/>
    </row>
    <row r="109" spans="1:15" x14ac:dyDescent="0.25">
      <c r="A109" s="345"/>
      <c r="B109" s="346"/>
      <c r="C109" s="350"/>
      <c r="D109" s="199"/>
      <c r="E109" s="199"/>
      <c r="F109" s="199"/>
      <c r="G109" s="199"/>
      <c r="H109" s="199"/>
      <c r="I109" s="199"/>
      <c r="J109" s="360"/>
      <c r="K109" s="361"/>
      <c r="L109" s="361"/>
      <c r="M109" s="360"/>
      <c r="N109" s="361"/>
      <c r="O109" s="361"/>
    </row>
    <row r="110" spans="1:15" x14ac:dyDescent="0.25">
      <c r="A110" s="345"/>
      <c r="B110" s="346"/>
      <c r="C110" s="350"/>
      <c r="D110" s="199"/>
      <c r="E110" s="199"/>
      <c r="F110" s="199"/>
      <c r="G110" s="199"/>
      <c r="H110" s="199"/>
      <c r="I110" s="199"/>
      <c r="J110" s="360"/>
      <c r="K110" s="361"/>
      <c r="L110" s="361"/>
      <c r="M110" s="360"/>
      <c r="N110" s="361"/>
      <c r="O110" s="361"/>
    </row>
    <row r="111" spans="1:15" x14ac:dyDescent="0.25">
      <c r="A111" s="345"/>
      <c r="B111" s="346"/>
      <c r="C111" s="350"/>
      <c r="D111" s="199"/>
      <c r="E111" s="199"/>
      <c r="F111" s="199"/>
      <c r="G111" s="199"/>
      <c r="H111" s="199"/>
      <c r="I111" s="199"/>
      <c r="J111" s="360"/>
      <c r="K111" s="361"/>
      <c r="L111" s="361"/>
      <c r="M111" s="360"/>
      <c r="N111" s="361"/>
      <c r="O111" s="361"/>
    </row>
    <row r="112" spans="1:15" x14ac:dyDescent="0.25">
      <c r="A112" s="345"/>
      <c r="B112" s="346"/>
      <c r="C112" s="350"/>
      <c r="D112" s="199"/>
      <c r="E112" s="199"/>
      <c r="F112" s="199"/>
      <c r="G112" s="199"/>
      <c r="H112" s="199"/>
      <c r="I112" s="199"/>
      <c r="J112" s="360"/>
      <c r="K112" s="361"/>
      <c r="L112" s="361"/>
      <c r="M112" s="360"/>
      <c r="N112" s="361"/>
      <c r="O112" s="361"/>
    </row>
    <row r="113" spans="1:15" x14ac:dyDescent="0.25">
      <c r="A113" s="345"/>
      <c r="B113" s="346"/>
      <c r="C113" s="350"/>
      <c r="D113" s="199"/>
      <c r="E113" s="199"/>
      <c r="F113" s="199"/>
      <c r="G113" s="199"/>
      <c r="H113" s="199"/>
      <c r="I113" s="199"/>
      <c r="J113" s="360"/>
      <c r="K113" s="361"/>
      <c r="L113" s="361"/>
      <c r="M113" s="360"/>
      <c r="N113" s="361"/>
      <c r="O113" s="361"/>
    </row>
    <row r="114" spans="1:15" x14ac:dyDescent="0.25">
      <c r="A114" s="345"/>
      <c r="B114" s="346"/>
      <c r="C114" s="350"/>
      <c r="D114" s="199"/>
      <c r="E114" s="199"/>
      <c r="F114" s="199"/>
      <c r="G114" s="199"/>
      <c r="H114" s="199"/>
      <c r="I114" s="199"/>
      <c r="J114" s="360"/>
      <c r="K114" s="361"/>
      <c r="L114" s="361"/>
      <c r="M114" s="360"/>
      <c r="N114" s="361"/>
      <c r="O114" s="361"/>
    </row>
    <row r="115" spans="1:15" x14ac:dyDescent="0.25">
      <c r="A115" s="345"/>
      <c r="B115" s="346"/>
      <c r="C115" s="350"/>
      <c r="D115" s="199"/>
      <c r="E115" s="199"/>
      <c r="F115" s="199"/>
      <c r="G115" s="199"/>
      <c r="H115" s="199"/>
      <c r="I115" s="199"/>
      <c r="J115" s="360"/>
      <c r="K115" s="361"/>
      <c r="L115" s="361"/>
      <c r="M115" s="360"/>
      <c r="N115" s="361"/>
      <c r="O115" s="361"/>
    </row>
    <row r="116" spans="1:15" x14ac:dyDescent="0.25">
      <c r="A116" s="345"/>
      <c r="B116" s="346"/>
      <c r="C116" s="350"/>
      <c r="D116" s="199"/>
      <c r="E116" s="199"/>
      <c r="F116" s="199"/>
      <c r="G116" s="199"/>
      <c r="H116" s="199"/>
      <c r="I116" s="199"/>
      <c r="J116" s="360"/>
      <c r="K116" s="361"/>
      <c r="L116" s="361"/>
      <c r="M116" s="360"/>
      <c r="N116" s="361"/>
      <c r="O116" s="361"/>
    </row>
    <row r="117" spans="1:15" x14ac:dyDescent="0.25">
      <c r="A117" s="345"/>
      <c r="B117" s="346"/>
      <c r="C117" s="350"/>
      <c r="D117" s="199"/>
      <c r="E117" s="199"/>
      <c r="F117" s="199"/>
      <c r="G117" s="199"/>
      <c r="H117" s="199"/>
      <c r="I117" s="199"/>
      <c r="J117" s="360"/>
      <c r="K117" s="361"/>
      <c r="L117" s="361"/>
      <c r="M117" s="360"/>
      <c r="N117" s="361"/>
      <c r="O117" s="361"/>
    </row>
    <row r="118" spans="1:15" x14ac:dyDescent="0.25">
      <c r="A118" s="345"/>
      <c r="B118" s="346"/>
      <c r="C118" s="350"/>
      <c r="D118" s="199"/>
      <c r="E118" s="199"/>
      <c r="F118" s="199"/>
      <c r="G118" s="199"/>
      <c r="H118" s="199"/>
      <c r="I118" s="199"/>
      <c r="J118" s="360"/>
      <c r="K118" s="361"/>
      <c r="L118" s="361"/>
      <c r="M118" s="360"/>
      <c r="N118" s="361"/>
      <c r="O118" s="361"/>
    </row>
    <row r="119" spans="1:15" x14ac:dyDescent="0.25">
      <c r="A119" s="345"/>
      <c r="B119" s="346"/>
      <c r="C119" s="350"/>
      <c r="D119" s="199"/>
      <c r="E119" s="199"/>
      <c r="F119" s="199"/>
      <c r="G119" s="199"/>
      <c r="H119" s="199"/>
      <c r="I119" s="199"/>
      <c r="J119" s="360"/>
      <c r="K119" s="361"/>
      <c r="L119" s="361"/>
      <c r="M119" s="360"/>
      <c r="N119" s="361"/>
      <c r="O119" s="361"/>
    </row>
    <row r="120" spans="1:15" x14ac:dyDescent="0.25">
      <c r="A120" s="345"/>
      <c r="B120" s="346"/>
      <c r="C120" s="350"/>
      <c r="D120" s="199"/>
      <c r="E120" s="199"/>
      <c r="F120" s="199"/>
      <c r="G120" s="199"/>
      <c r="H120" s="199"/>
      <c r="I120" s="199"/>
      <c r="J120" s="360"/>
      <c r="K120" s="361"/>
      <c r="L120" s="361"/>
      <c r="M120" s="360"/>
      <c r="N120" s="361"/>
      <c r="O120" s="361"/>
    </row>
    <row r="121" spans="1:15" x14ac:dyDescent="0.25">
      <c r="A121" s="345"/>
      <c r="B121" s="346"/>
      <c r="C121" s="350"/>
      <c r="D121" s="199"/>
      <c r="E121" s="199"/>
      <c r="F121" s="199"/>
      <c r="G121" s="199"/>
      <c r="H121" s="199"/>
      <c r="I121" s="199"/>
      <c r="J121" s="360"/>
      <c r="K121" s="361"/>
      <c r="L121" s="361"/>
      <c r="M121" s="360"/>
      <c r="N121" s="361"/>
      <c r="O121" s="361"/>
    </row>
    <row r="122" spans="1:15" x14ac:dyDescent="0.25">
      <c r="A122" s="345"/>
      <c r="B122" s="346"/>
      <c r="C122" s="350"/>
      <c r="D122" s="199"/>
      <c r="E122" s="199"/>
      <c r="F122" s="199"/>
      <c r="G122" s="199"/>
      <c r="H122" s="199"/>
      <c r="I122" s="199"/>
      <c r="J122" s="360"/>
      <c r="K122" s="361"/>
      <c r="L122" s="361"/>
      <c r="M122" s="360"/>
      <c r="N122" s="361"/>
      <c r="O122" s="361"/>
    </row>
    <row r="123" spans="1:15" x14ac:dyDescent="0.25">
      <c r="J123" s="292"/>
      <c r="K123" s="292"/>
      <c r="L123" s="292"/>
      <c r="M123" s="292"/>
      <c r="N123" s="292"/>
      <c r="O123" s="292"/>
    </row>
    <row r="124" spans="1:15" x14ac:dyDescent="0.25">
      <c r="A124" s="349" t="s">
        <v>768</v>
      </c>
      <c r="B124" s="349"/>
      <c r="D124" s="351">
        <f t="shared" ref="D124:I124" si="8">SUM(D103:D122)</f>
        <v>0</v>
      </c>
      <c r="E124" s="351">
        <f t="shared" si="8"/>
        <v>0</v>
      </c>
      <c r="F124" s="351">
        <f t="shared" si="8"/>
        <v>0</v>
      </c>
      <c r="G124" s="351">
        <f t="shared" si="8"/>
        <v>0</v>
      </c>
      <c r="H124" s="351">
        <f t="shared" si="8"/>
        <v>0</v>
      </c>
      <c r="I124" s="351">
        <f t="shared" si="8"/>
        <v>0</v>
      </c>
      <c r="J124" s="361"/>
      <c r="K124" s="361"/>
      <c r="L124" s="361"/>
      <c r="M124" s="361"/>
      <c r="N124" s="361"/>
      <c r="O124" s="361"/>
    </row>
    <row r="125" spans="1:15" x14ac:dyDescent="0.25">
      <c r="J125" s="292"/>
      <c r="K125" s="292"/>
      <c r="L125" s="292"/>
      <c r="M125" s="292"/>
      <c r="N125" s="292"/>
      <c r="O125" s="292"/>
    </row>
    <row r="126" spans="1:15" x14ac:dyDescent="0.25">
      <c r="A126" s="349" t="s">
        <v>769</v>
      </c>
      <c r="B126" s="349"/>
      <c r="D126" s="351">
        <f>MIN(D124,D98)</f>
        <v>0</v>
      </c>
      <c r="E126" s="357"/>
      <c r="F126" s="357"/>
      <c r="G126" s="351">
        <f>MIN(G124,G98)</f>
        <v>0</v>
      </c>
      <c r="H126" s="357"/>
      <c r="I126" s="357"/>
      <c r="N126" s="357"/>
      <c r="O126" s="357"/>
    </row>
    <row r="128" spans="1:15" x14ac:dyDescent="0.25">
      <c r="A128" s="449" t="s">
        <v>880</v>
      </c>
      <c r="B128" s="449"/>
    </row>
    <row r="129" spans="1:2" x14ac:dyDescent="0.25">
      <c r="A129" s="449"/>
      <c r="B129" s="449"/>
    </row>
    <row r="130" spans="1:2" x14ac:dyDescent="0.25">
      <c r="A130" s="449"/>
      <c r="B130" s="449"/>
    </row>
    <row r="131" spans="1:2" x14ac:dyDescent="0.25">
      <c r="A131" s="449"/>
      <c r="B131" s="449"/>
    </row>
  </sheetData>
  <sheetProtection password="F8BD" sheet="1" objects="1" scenarios="1"/>
  <mergeCells count="76">
    <mergeCell ref="J91:L91"/>
    <mergeCell ref="M91:O91"/>
    <mergeCell ref="J90:L90"/>
    <mergeCell ref="D53:F53"/>
    <mergeCell ref="G53:I53"/>
    <mergeCell ref="J53:L53"/>
    <mergeCell ref="M53:O53"/>
    <mergeCell ref="D54:F54"/>
    <mergeCell ref="D89:F89"/>
    <mergeCell ref="G89:I89"/>
    <mergeCell ref="G91:I91"/>
    <mergeCell ref="D91:F91"/>
    <mergeCell ref="D52:F52"/>
    <mergeCell ref="G52:I52"/>
    <mergeCell ref="D13:F13"/>
    <mergeCell ref="G13:I13"/>
    <mergeCell ref="J13:L13"/>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B94:B97"/>
    <mergeCell ref="D100:F100"/>
    <mergeCell ref="G100:I100"/>
    <mergeCell ref="J100:L100"/>
    <mergeCell ref="M100:O100"/>
    <mergeCell ref="G101:I101"/>
    <mergeCell ref="J101:L101"/>
    <mergeCell ref="M101:O101"/>
    <mergeCell ref="D92:F92"/>
    <mergeCell ref="G92:I92"/>
    <mergeCell ref="J92:L92"/>
    <mergeCell ref="M92:O92"/>
    <mergeCell ref="D93:F93"/>
    <mergeCell ref="G93:I93"/>
    <mergeCell ref="J93:L93"/>
    <mergeCell ref="M93:O93"/>
    <mergeCell ref="M23:O23"/>
    <mergeCell ref="G54:I54"/>
    <mergeCell ref="J54:L54"/>
    <mergeCell ref="M54:O54"/>
    <mergeCell ref="J52:L52"/>
    <mergeCell ref="M52:O52"/>
    <mergeCell ref="B16:B19"/>
    <mergeCell ref="D22:F22"/>
    <mergeCell ref="G22:I22"/>
    <mergeCell ref="J22:L22"/>
    <mergeCell ref="M22:O22"/>
    <mergeCell ref="A50:B53"/>
    <mergeCell ref="A89:B92"/>
    <mergeCell ref="A128:B131"/>
    <mergeCell ref="J89:L89"/>
    <mergeCell ref="M89:O89"/>
    <mergeCell ref="M90:O90"/>
    <mergeCell ref="D62:F62"/>
    <mergeCell ref="G62:I62"/>
    <mergeCell ref="J62:L62"/>
    <mergeCell ref="M62:O62"/>
    <mergeCell ref="B55:B58"/>
    <mergeCell ref="D61:F61"/>
    <mergeCell ref="G61:I61"/>
    <mergeCell ref="J61:L61"/>
    <mergeCell ref="M61:O61"/>
    <mergeCell ref="D101:F101"/>
  </mergeCells>
  <dataValidations count="1">
    <dataValidation type="list" allowBlank="1" showInputMessage="1" showErrorMessage="1" sqref="B103:B122 B64:B83 B25:B44" xr:uid="{00000000-0002-0000-0B00-000000000000}">
      <formula1>"Approved ACM, New ICM"</formula1>
    </dataValidation>
  </dataValidations>
  <pageMargins left="0.70866141732283472" right="0.70866141732283472" top="0.74803149606299213" bottom="0.74803149606299213" header="0.31496062992125984" footer="0.31496062992125984"/>
  <pageSetup scale="36"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4"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23"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22"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21"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19"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20"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25" id="{A9EC1FF4-F2CB-4EA4-ACC0-8BD1F3764905}">
            <xm:f>'1. Information Sheet'!$F$28&lt;5</xm:f>
            <x14:dxf>
              <font>
                <color theme="0"/>
              </font>
              <fill>
                <patternFill patternType="none">
                  <bgColor auto="1"/>
                </patternFill>
              </fill>
              <border>
                <left/>
                <right/>
                <top/>
                <bottom/>
                <vertical/>
                <horizontal/>
              </border>
            </x14:dxf>
          </x14:cfRule>
          <xm:sqref>A50 A54:F87 C50:F53</xm:sqref>
        </x14:conditionalFormatting>
        <x14:conditionalFormatting xmlns:xm="http://schemas.microsoft.com/office/excel/2006/main">
          <x14:cfRule type="expression" priority="16"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G64:G83 G85 G50</xm:sqref>
        </x14:conditionalFormatting>
        <x14:conditionalFormatting xmlns:xm="http://schemas.microsoft.com/office/excel/2006/main">
          <x14:cfRule type="expression" priority="17" id="{0EAE023B-B033-4DE4-A037-38E476722950}">
            <xm:f>'1. Information Sheet'!$F$28&lt;6</xm:f>
            <x14:dxf>
              <font>
                <color theme="0"/>
              </font>
              <fill>
                <patternFill patternType="none">
                  <bgColor auto="1"/>
                </patternFill>
              </fill>
              <border>
                <left/>
                <right/>
                <top/>
                <bottom/>
                <vertical/>
                <horizontal/>
              </border>
            </x14:dxf>
          </x14:cfRule>
          <xm:sqref>G50:I87</xm:sqref>
        </x14:conditionalFormatting>
        <x14:conditionalFormatting xmlns:xm="http://schemas.microsoft.com/office/excel/2006/main">
          <x14:cfRule type="expression" priority="14"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15"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12"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13"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11" id="{98FE007D-FCEA-4B2E-8E54-CCCD9B561D6A}">
            <xm:f>'1. Information Sheet'!$F$28&lt;9</xm:f>
            <x14:dxf>
              <font>
                <color theme="0"/>
              </font>
              <fill>
                <patternFill patternType="none">
                  <bgColor auto="1"/>
                </patternFill>
              </fill>
              <border>
                <left/>
                <right/>
                <top/>
                <bottom/>
                <vertical/>
                <horizontal/>
              </border>
            </x14:dxf>
          </x14:cfRule>
          <xm:sqref>A93:F126 C89:F92</xm:sqref>
        </x14:conditionalFormatting>
        <x14:conditionalFormatting xmlns:xm="http://schemas.microsoft.com/office/excel/2006/main">
          <x14:cfRule type="expression" priority="8"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10"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3" id="{D5F941D3-0686-4D74-B572-C18225254D82}">
            <xm:f>'1. Information Sheet'!$F$28&gt;8</xm:f>
            <x14:dxf>
              <font>
                <color theme="0"/>
              </font>
            </x14:dxf>
          </x14:cfRule>
          <x14:cfRule type="expression" priority="4" id="{CA0EEF7B-8D76-430D-A458-B723C8CA0F51}">
            <xm:f>AND('1. Information Sheet'!$F$28&lt;9, '1. Information Sheet'!$F$28&gt;4)</xm:f>
            <x14:dxf>
              <font>
                <color theme="1"/>
              </font>
            </x14:dxf>
          </x14:cfRule>
          <x14:cfRule type="expression" priority="7"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1" id="{E06A501B-3E9D-4003-B34F-EE5ACCA47D2A}">
            <xm:f>'1. Information Sheet'!$F$28&lt;9</xm:f>
            <x14:dxf>
              <font>
                <color theme="0"/>
              </font>
            </x14:dxf>
          </x14:cfRule>
          <x14:cfRule type="expression" priority="2" id="{09E9FE2D-3612-4C40-BCAF-9769E5CB7457}">
            <xm:f>'1. Information Sheet'!$F$28&gt;8</xm:f>
            <x14:dxf>
              <font>
                <color theme="1"/>
              </font>
            </x14:dxf>
          </x14:cfRule>
          <x14:cfRule type="expression" priority="6" id="{78F076D4-D4B6-43F2-8DA6-12AA8BFBD170}">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5" id="{5B8D277D-B633-4B67-BD49-10C4B74B5D24}">
            <xm:f>'1. Information Sheet'!$F$28&gt;4</xm:f>
            <x14:dxf>
              <font>
                <color theme="0"/>
              </font>
            </x14:dxf>
          </x14:cfRule>
          <x14:cfRule type="expression" priority="18" id="{42C1639C-07A6-497D-B13D-6043DF2F00A0}">
            <xm:f>'1. Information Sheet'!$F$28&lt;5</xm:f>
            <x14:dxf>
              <font>
                <color auto="1"/>
              </font>
            </x14:dxf>
          </x14:cfRule>
          <xm:sqref>A50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6:J96"/>
  <sheetViews>
    <sheetView showGridLines="0" topLeftCell="A55" zoomScaleNormal="100" workbookViewId="0">
      <selection activeCell="E88" sqref="E88:E90"/>
    </sheetView>
  </sheetViews>
  <sheetFormatPr defaultRowHeight="15" x14ac:dyDescent="0.25"/>
  <cols>
    <col min="2" max="2" width="60.5703125" customWidth="1"/>
    <col min="3" max="3" width="16.5703125" style="102" customWidth="1"/>
    <col min="4" max="4" width="4.5703125" bestFit="1" customWidth="1"/>
    <col min="5" max="5" width="29.85546875" customWidth="1"/>
    <col min="6" max="6" width="27.85546875" customWidth="1"/>
  </cols>
  <sheetData>
    <row r="6" spans="2:6" ht="26.25" x14ac:dyDescent="0.4">
      <c r="B6" s="210"/>
      <c r="C6" s="12"/>
      <c r="D6" s="1"/>
      <c r="E6" s="1"/>
      <c r="F6" s="1"/>
    </row>
    <row r="7" spans="2:6" x14ac:dyDescent="0.25">
      <c r="B7" s="1"/>
      <c r="C7" s="12"/>
      <c r="D7" s="1"/>
      <c r="E7" s="1"/>
      <c r="F7" s="1"/>
    </row>
    <row r="8" spans="2:6" x14ac:dyDescent="0.25">
      <c r="B8" s="1"/>
      <c r="C8" s="12"/>
      <c r="D8" s="1"/>
      <c r="E8" s="1"/>
      <c r="F8" s="1"/>
    </row>
    <row r="9" spans="2:6" x14ac:dyDescent="0.25">
      <c r="B9" s="1"/>
      <c r="C9" s="12"/>
      <c r="D9" s="1"/>
      <c r="E9" s="1"/>
      <c r="F9" s="1"/>
    </row>
    <row r="10" spans="2:6" x14ac:dyDescent="0.25">
      <c r="B10" s="1"/>
      <c r="C10" s="12"/>
      <c r="D10" s="1"/>
      <c r="E10" s="1"/>
      <c r="F10" s="1"/>
    </row>
    <row r="11" spans="2:6" x14ac:dyDescent="0.25">
      <c r="B11" s="1"/>
      <c r="C11" s="12"/>
      <c r="D11" s="1"/>
      <c r="E11" s="1"/>
      <c r="F11" s="1"/>
    </row>
    <row r="12" spans="2:6" ht="18.75" x14ac:dyDescent="0.3">
      <c r="B12" s="211" t="s">
        <v>773</v>
      </c>
      <c r="C12" s="212" t="s">
        <v>774</v>
      </c>
      <c r="D12" s="213"/>
      <c r="E12" s="214">
        <f>'1. Information Sheet'!M26</f>
        <v>2021</v>
      </c>
      <c r="F12" s="215"/>
    </row>
    <row r="13" spans="2:6" x14ac:dyDescent="0.25">
      <c r="B13" s="216"/>
      <c r="C13" s="216"/>
      <c r="D13" s="216"/>
      <c r="E13" s="216"/>
    </row>
    <row r="14" spans="2:6" x14ac:dyDescent="0.25">
      <c r="C14"/>
    </row>
    <row r="15" spans="2:6" ht="15.75" thickBot="1" x14ac:dyDescent="0.3">
      <c r="B15" s="1"/>
      <c r="C15" s="12"/>
      <c r="D15" s="1"/>
      <c r="E15" s="1"/>
      <c r="F15" s="1"/>
    </row>
    <row r="16" spans="2:6" ht="18.75" thickBot="1" x14ac:dyDescent="0.3">
      <c r="B16" s="217" t="s">
        <v>775</v>
      </c>
      <c r="C16" s="12"/>
      <c r="D16" s="1"/>
      <c r="E16" s="215"/>
      <c r="F16" s="1"/>
    </row>
    <row r="17" spans="2:10" ht="15.75" x14ac:dyDescent="0.25">
      <c r="B17" s="218"/>
      <c r="C17" s="219"/>
      <c r="D17" s="220"/>
      <c r="E17" s="221"/>
      <c r="F17" s="222"/>
    </row>
    <row r="18" spans="2:10" ht="16.5" thickBot="1" x14ac:dyDescent="0.3">
      <c r="B18" s="223" t="s">
        <v>776</v>
      </c>
      <c r="C18" s="224"/>
      <c r="D18" s="225"/>
      <c r="E18" s="226">
        <f>'5. Rev_Requ_Check'!E62</f>
        <v>68017986.494504422</v>
      </c>
      <c r="F18" s="222" t="s">
        <v>618</v>
      </c>
    </row>
    <row r="19" spans="2:10" ht="16.5" thickBot="1" x14ac:dyDescent="0.3">
      <c r="B19" s="227"/>
      <c r="C19" s="228"/>
      <c r="D19" s="229"/>
      <c r="E19" s="230"/>
      <c r="F19" s="222"/>
    </row>
    <row r="20" spans="2:10" ht="16.5" thickBot="1" x14ac:dyDescent="0.3">
      <c r="B20" s="231"/>
      <c r="C20" s="224"/>
      <c r="D20" s="225"/>
      <c r="E20" s="232"/>
      <c r="F20" s="222"/>
    </row>
    <row r="21" spans="2:10" ht="18.75" thickBot="1" x14ac:dyDescent="0.3">
      <c r="B21" s="233" t="s">
        <v>777</v>
      </c>
      <c r="C21" s="234"/>
      <c r="D21" s="225"/>
      <c r="E21" s="232"/>
      <c r="F21" s="222"/>
    </row>
    <row r="22" spans="2:10" ht="15.75" x14ac:dyDescent="0.25">
      <c r="B22" s="218"/>
      <c r="C22" s="235" t="s">
        <v>778</v>
      </c>
      <c r="D22" s="236"/>
      <c r="E22" s="237" t="s">
        <v>779</v>
      </c>
      <c r="F22" s="222"/>
    </row>
    <row r="23" spans="2:10" ht="14.45" customHeight="1" x14ac:dyDescent="0.25">
      <c r="B23" s="238"/>
      <c r="C23" s="239"/>
      <c r="D23" s="240"/>
      <c r="E23" s="241" t="str">
        <f>"("&amp;IF(('1. Information Sheet'!M28-'1. Information Sheet'!M26)=1,"Half Year*","Full Year")&amp;" Prorated Amount)"</f>
        <v>(Full Year Prorated Amount)</v>
      </c>
      <c r="F23" s="508" t="str">
        <f>IF(('1. Information Sheet'!M28-'1. Information Sheet'!M26)=1,"*The half year rule is applied as the distributor is scheduled to rebase in the next rate year.","")</f>
        <v/>
      </c>
      <c r="G23" s="509"/>
      <c r="H23" s="509"/>
      <c r="I23" s="280"/>
    </row>
    <row r="24" spans="2:10" ht="15.6" customHeight="1" x14ac:dyDescent="0.25">
      <c r="B24" s="238"/>
      <c r="C24" s="505" t="s">
        <v>780</v>
      </c>
      <c r="D24" s="505"/>
      <c r="E24" s="506"/>
      <c r="F24" s="508"/>
      <c r="G24" s="509"/>
      <c r="H24" s="509"/>
    </row>
    <row r="25" spans="2:10" ht="15.75" x14ac:dyDescent="0.25">
      <c r="B25" s="223" t="s">
        <v>781</v>
      </c>
      <c r="C25" s="232">
        <f ca="1">INDIRECT("'9b. Proposed ACM ICM Projects'!"&amp;CHAR(68+MOD('1. Information Sheet'!$F$28-1,4)*3)&amp;(39*INT(('1. Information Sheet'!$F$28-1)/4))+46)</f>
        <v>7772417.3200000003</v>
      </c>
      <c r="D25" s="225"/>
      <c r="E25" s="232">
        <f ca="1">IF(('1. Information Sheet'!M28-'1. Information Sheet'!M26)=1,INDIRECT("'9b. Proposed ACM ICM Projects'!"&amp;CHAR(68+MOD('1. Information Sheet'!$F$28-1,4)*3)&amp;(39*INT(('1. Information Sheet'!$F$28-1)/4))+48)/2,INDIRECT("'9b. Proposed ACM ICM Projects'!"&amp;CHAR(68+MOD('1. Information Sheet'!$F$28-1,4)*3)&amp;(39*INT(('1. Information Sheet'!$F$28-1)/4))+48))</f>
        <v>7772417.3200000003</v>
      </c>
      <c r="F25" s="362" t="s">
        <v>620</v>
      </c>
      <c r="J25" s="232"/>
    </row>
    <row r="26" spans="2:10" ht="15.75" x14ac:dyDescent="0.25">
      <c r="B26" s="243" t="s">
        <v>736</v>
      </c>
      <c r="C26" s="232">
        <f ca="1">INDIRECT("'9b. Proposed ACM ICM Projects'!"&amp;CHAR(69+MOD('1. Information Sheet'!$F$28-1,4)*3)&amp;(39*INT(('1. Information Sheet'!$F$28-1)/4))+46)</f>
        <v>188504.3298888889</v>
      </c>
      <c r="D26" s="225"/>
      <c r="E26" s="242">
        <f ca="1">C26*(E25/C25)</f>
        <v>188504.3298888889</v>
      </c>
      <c r="F26" s="222" t="s">
        <v>622</v>
      </c>
    </row>
    <row r="27" spans="2:10" ht="16.5" thickBot="1" x14ac:dyDescent="0.3">
      <c r="B27" s="244" t="s">
        <v>772</v>
      </c>
      <c r="C27" s="245">
        <f ca="1">INDIRECT("'9b. Proposed ACM ICM Projects'!"&amp;CHAR(70+MOD('1. Information Sheet'!$F$28-1,4)*3)&amp;(39*INT(('1. Information Sheet'!$F$28-1)/4))+46)</f>
        <v>546030.44959999993</v>
      </c>
      <c r="D27" s="229"/>
      <c r="E27" s="230">
        <f ca="1">C27*(E25/C25)</f>
        <v>546030.44959999993</v>
      </c>
      <c r="F27" s="222" t="s">
        <v>660</v>
      </c>
    </row>
    <row r="28" spans="2:10" ht="15.75" x14ac:dyDescent="0.25">
      <c r="B28" s="231"/>
      <c r="C28" s="224"/>
      <c r="D28" s="225"/>
      <c r="E28" s="232"/>
      <c r="F28" s="222"/>
    </row>
    <row r="29" spans="2:10" ht="18.75" customHeight="1" x14ac:dyDescent="0.3">
      <c r="B29" s="507" t="s">
        <v>782</v>
      </c>
      <c r="C29" s="507"/>
      <c r="D29" s="507"/>
      <c r="E29" s="507"/>
      <c r="F29" s="507"/>
    </row>
    <row r="30" spans="2:10" ht="16.5" thickBot="1" x14ac:dyDescent="0.3">
      <c r="B30" s="1"/>
      <c r="C30" s="246"/>
      <c r="D30" s="247"/>
      <c r="E30" s="171"/>
      <c r="F30" s="222"/>
    </row>
    <row r="31" spans="2:10" ht="18.75" thickBot="1" x14ac:dyDescent="0.3">
      <c r="B31" s="248" t="s">
        <v>652</v>
      </c>
      <c r="C31" s="246"/>
      <c r="D31" s="247"/>
      <c r="E31" s="171"/>
      <c r="F31" s="222"/>
    </row>
    <row r="32" spans="2:10" ht="15.75" x14ac:dyDescent="0.25">
      <c r="B32" s="223" t="s">
        <v>783</v>
      </c>
      <c r="C32" s="249"/>
      <c r="D32" s="250"/>
      <c r="E32" s="251">
        <f ca="1">E25</f>
        <v>7772417.3200000003</v>
      </c>
      <c r="F32" s="222" t="s">
        <v>620</v>
      </c>
    </row>
    <row r="33" spans="2:6" ht="15.75" x14ac:dyDescent="0.25">
      <c r="B33" s="223" t="s">
        <v>784</v>
      </c>
      <c r="C33" s="246"/>
      <c r="D33" s="252"/>
      <c r="E33" s="242">
        <f ca="1">E26</f>
        <v>188504.3298888889</v>
      </c>
      <c r="F33" s="222" t="s">
        <v>622</v>
      </c>
    </row>
    <row r="34" spans="2:6" ht="16.5" thickBot="1" x14ac:dyDescent="0.3">
      <c r="B34" s="223" t="s">
        <v>785</v>
      </c>
      <c r="C34" s="224"/>
      <c r="D34" s="252"/>
      <c r="E34" s="253">
        <f ca="1">E32-E33/2</f>
        <v>7678165.1550555555</v>
      </c>
      <c r="F34" s="222" t="s">
        <v>786</v>
      </c>
    </row>
    <row r="35" spans="2:6" ht="25.5" x14ac:dyDescent="0.25">
      <c r="B35" s="223"/>
      <c r="C35" s="254" t="s">
        <v>787</v>
      </c>
      <c r="D35" s="252"/>
      <c r="E35" s="242"/>
      <c r="F35" s="222"/>
    </row>
    <row r="36" spans="2:6" ht="15.75" x14ac:dyDescent="0.25">
      <c r="B36" s="223" t="s">
        <v>788</v>
      </c>
      <c r="C36" s="255">
        <f>'5. Rev_Requ_Check'!C36</f>
        <v>0.04</v>
      </c>
      <c r="D36" s="252" t="s">
        <v>610</v>
      </c>
      <c r="E36" s="242">
        <f ca="1">E34*C36</f>
        <v>307126.60620222223</v>
      </c>
      <c r="F36" s="222" t="s">
        <v>789</v>
      </c>
    </row>
    <row r="37" spans="2:6" ht="15.75" x14ac:dyDescent="0.25">
      <c r="B37" s="223" t="s">
        <v>790</v>
      </c>
      <c r="C37" s="255">
        <f>'5. Rev_Requ_Check'!C37</f>
        <v>0.56000000000000005</v>
      </c>
      <c r="D37" s="252" t="s">
        <v>611</v>
      </c>
      <c r="E37" s="242">
        <f ca="1">E34*C37</f>
        <v>4299772.4868311118</v>
      </c>
      <c r="F37" s="222" t="s">
        <v>791</v>
      </c>
    </row>
    <row r="38" spans="2:6" ht="15.75" x14ac:dyDescent="0.25">
      <c r="B38" s="223"/>
      <c r="C38" s="256" t="s">
        <v>792</v>
      </c>
      <c r="D38" s="252"/>
      <c r="E38" s="242"/>
      <c r="F38" s="222"/>
    </row>
    <row r="39" spans="2:6" ht="15.75" x14ac:dyDescent="0.25">
      <c r="B39" s="223" t="s">
        <v>793</v>
      </c>
      <c r="C39" s="257">
        <f>'5. Rev_Requ_Check'!C40</f>
        <v>2.1600000000000001E-2</v>
      </c>
      <c r="D39" s="252" t="s">
        <v>631</v>
      </c>
      <c r="E39" s="242">
        <f ca="1">E36*C39</f>
        <v>6633.9346939680008</v>
      </c>
      <c r="F39" s="222" t="s">
        <v>794</v>
      </c>
    </row>
    <row r="40" spans="2:6" ht="15.75" x14ac:dyDescent="0.25">
      <c r="B40" s="223" t="s">
        <v>795</v>
      </c>
      <c r="C40" s="257">
        <f>'5. Rev_Requ_Check'!C41</f>
        <v>6.0728710462287103E-2</v>
      </c>
      <c r="D40" s="252" t="s">
        <v>633</v>
      </c>
      <c r="E40" s="242">
        <f ca="1">E37*C40</f>
        <v>261119.63840647478</v>
      </c>
      <c r="F40" s="222" t="s">
        <v>796</v>
      </c>
    </row>
    <row r="41" spans="2:6" ht="15.75" x14ac:dyDescent="0.25">
      <c r="B41" s="223"/>
      <c r="C41" s="224"/>
      <c r="D41" s="252"/>
      <c r="E41" s="242"/>
      <c r="F41" s="222"/>
    </row>
    <row r="42" spans="2:6" ht="16.5" thickBot="1" x14ac:dyDescent="0.3">
      <c r="B42" s="223" t="s">
        <v>797</v>
      </c>
      <c r="C42" s="224"/>
      <c r="D42" s="252"/>
      <c r="E42" s="226">
        <f ca="1">SUM(E39:E40)</f>
        <v>267753.57310044277</v>
      </c>
      <c r="F42" s="222" t="s">
        <v>798</v>
      </c>
    </row>
    <row r="43" spans="2:6" ht="15.75" x14ac:dyDescent="0.25">
      <c r="B43" s="223"/>
      <c r="C43" s="224"/>
      <c r="D43" s="252"/>
      <c r="E43" s="242"/>
      <c r="F43" s="222"/>
    </row>
    <row r="44" spans="2:6" ht="25.5" x14ac:dyDescent="0.25">
      <c r="B44" s="223"/>
      <c r="C44" s="258" t="str">
        <f>C35</f>
        <v>% of capital structure</v>
      </c>
      <c r="D44" s="252"/>
      <c r="E44" s="242"/>
      <c r="F44" s="222"/>
    </row>
    <row r="45" spans="2:6" ht="15.75" x14ac:dyDescent="0.25">
      <c r="B45" s="223" t="s">
        <v>659</v>
      </c>
      <c r="C45" s="257">
        <f>'5. Rev_Requ_Check'!C38</f>
        <v>0.39999999999999991</v>
      </c>
      <c r="D45" s="252" t="s">
        <v>746</v>
      </c>
      <c r="E45" s="242">
        <f ca="1">E34*C45</f>
        <v>3071266.0620222217</v>
      </c>
      <c r="F45" s="222" t="s">
        <v>799</v>
      </c>
    </row>
    <row r="46" spans="2:6" ht="15.75" x14ac:dyDescent="0.25">
      <c r="B46" s="223"/>
      <c r="C46" s="259" t="str">
        <f>C38</f>
        <v>Rate (%)</v>
      </c>
      <c r="D46" s="252"/>
      <c r="E46" s="242"/>
      <c r="F46" s="222"/>
    </row>
    <row r="47" spans="2:6" ht="15.75" x14ac:dyDescent="0.25">
      <c r="B47" s="223" t="s">
        <v>800</v>
      </c>
      <c r="C47" s="257">
        <f>'5. Rev_Requ_Check'!C42</f>
        <v>9.2999999999999999E-2</v>
      </c>
      <c r="D47" s="252" t="s">
        <v>747</v>
      </c>
      <c r="E47" s="242">
        <f ca="1">E45*C47</f>
        <v>285627.74376806663</v>
      </c>
      <c r="F47" s="222" t="s">
        <v>801</v>
      </c>
    </row>
    <row r="48" spans="2:6" ht="15.75" x14ac:dyDescent="0.25">
      <c r="B48" s="223"/>
      <c r="C48" s="224"/>
      <c r="D48" s="225"/>
      <c r="E48" s="242"/>
      <c r="F48" s="222"/>
    </row>
    <row r="49" spans="2:6" ht="16.5" thickBot="1" x14ac:dyDescent="0.3">
      <c r="B49" s="223" t="s">
        <v>802</v>
      </c>
      <c r="C49" s="246"/>
      <c r="D49" s="225"/>
      <c r="E49" s="226">
        <f ca="1">E42+E47</f>
        <v>553381.3168685094</v>
      </c>
      <c r="F49" s="222" t="s">
        <v>803</v>
      </c>
    </row>
    <row r="50" spans="2:6" ht="16.5" thickBot="1" x14ac:dyDescent="0.3">
      <c r="B50" s="260"/>
      <c r="C50" s="228"/>
      <c r="D50" s="229"/>
      <c r="E50" s="230"/>
      <c r="F50" s="222"/>
    </row>
    <row r="51" spans="2:6" ht="15.75" x14ac:dyDescent="0.25">
      <c r="B51" s="1"/>
      <c r="C51" s="246"/>
      <c r="D51" s="247"/>
      <c r="E51" s="171"/>
      <c r="F51" s="222"/>
    </row>
    <row r="52" spans="2:6" ht="16.5" thickBot="1" x14ac:dyDescent="0.3">
      <c r="B52" s="1"/>
      <c r="C52" s="12"/>
      <c r="D52" s="1"/>
      <c r="E52" s="261"/>
      <c r="F52" s="222"/>
    </row>
    <row r="53" spans="2:6" ht="18.75" thickBot="1" x14ac:dyDescent="0.3">
      <c r="B53" s="248" t="s">
        <v>771</v>
      </c>
      <c r="C53" s="219"/>
      <c r="D53" s="220"/>
      <c r="E53" s="221"/>
      <c r="F53" s="222"/>
    </row>
    <row r="54" spans="2:6" ht="18" x14ac:dyDescent="0.25">
      <c r="B54" s="262"/>
      <c r="C54" s="263"/>
      <c r="D54" s="231"/>
      <c r="E54" s="264"/>
      <c r="F54" s="222"/>
    </row>
    <row r="55" spans="2:6" ht="15.75" x14ac:dyDescent="0.25">
      <c r="B55" s="223" t="s">
        <v>804</v>
      </c>
      <c r="C55" s="263"/>
      <c r="D55" s="222" t="s">
        <v>622</v>
      </c>
      <c r="E55" s="242">
        <f ca="1">E33</f>
        <v>188504.3298888889</v>
      </c>
      <c r="F55" s="222" t="s">
        <v>805</v>
      </c>
    </row>
    <row r="56" spans="2:6" ht="16.5" thickBot="1" x14ac:dyDescent="0.3">
      <c r="B56" s="227"/>
      <c r="C56" s="265"/>
      <c r="D56" s="266"/>
      <c r="E56" s="230"/>
      <c r="F56" s="222"/>
    </row>
    <row r="57" spans="2:6" ht="16.5" thickBot="1" x14ac:dyDescent="0.3">
      <c r="B57" s="1"/>
      <c r="C57" s="12"/>
      <c r="D57" s="1"/>
      <c r="E57" s="171"/>
      <c r="F57" s="222"/>
    </row>
    <row r="58" spans="2:6" ht="18.75" thickBot="1" x14ac:dyDescent="0.3">
      <c r="B58" s="217" t="s">
        <v>806</v>
      </c>
      <c r="C58" s="219"/>
      <c r="D58" s="220"/>
      <c r="E58" s="251"/>
      <c r="F58" s="222"/>
    </row>
    <row r="59" spans="2:6" ht="18" x14ac:dyDescent="0.25">
      <c r="B59" s="267"/>
      <c r="C59" s="263"/>
      <c r="D59" s="231"/>
      <c r="E59" s="242"/>
      <c r="F59" s="222"/>
    </row>
    <row r="60" spans="2:6" ht="15.75" x14ac:dyDescent="0.25">
      <c r="B60" s="223" t="s">
        <v>807</v>
      </c>
      <c r="C60" s="263"/>
      <c r="D60" s="222" t="s">
        <v>747</v>
      </c>
      <c r="E60" s="242">
        <f ca="1">E47</f>
        <v>285627.74376806663</v>
      </c>
      <c r="F60" s="222" t="s">
        <v>808</v>
      </c>
    </row>
    <row r="61" spans="2:6" ht="15.75" x14ac:dyDescent="0.25">
      <c r="B61" s="223"/>
      <c r="C61" s="263"/>
      <c r="D61" s="231"/>
      <c r="E61" s="242"/>
      <c r="F61" s="222"/>
    </row>
    <row r="62" spans="2:6" ht="15.75" x14ac:dyDescent="0.25">
      <c r="B62" s="223" t="s">
        <v>809</v>
      </c>
      <c r="C62" s="263"/>
      <c r="D62" s="222" t="s">
        <v>805</v>
      </c>
      <c r="E62" s="242">
        <f ca="1">E55</f>
        <v>188504.3298888889</v>
      </c>
      <c r="F62" s="222" t="s">
        <v>657</v>
      </c>
    </row>
    <row r="63" spans="2:6" ht="15.75" x14ac:dyDescent="0.25">
      <c r="B63" s="223"/>
      <c r="C63" s="263"/>
      <c r="D63" s="231"/>
      <c r="E63" s="242"/>
      <c r="F63" s="222"/>
    </row>
    <row r="64" spans="2:6" ht="15.75" x14ac:dyDescent="0.25">
      <c r="B64" s="223" t="s">
        <v>810</v>
      </c>
      <c r="C64" s="263"/>
      <c r="D64" s="268"/>
      <c r="E64" s="242">
        <f ca="1">E27</f>
        <v>546030.44959999993</v>
      </c>
      <c r="F64" s="222" t="s">
        <v>660</v>
      </c>
    </row>
    <row r="65" spans="2:6" ht="15.75" x14ac:dyDescent="0.25">
      <c r="B65" s="223"/>
      <c r="C65" s="263"/>
      <c r="D65" s="268"/>
      <c r="E65" s="242"/>
      <c r="F65" s="222"/>
    </row>
    <row r="66" spans="2:6" ht="16.5" thickBot="1" x14ac:dyDescent="0.3">
      <c r="B66" s="223" t="s">
        <v>811</v>
      </c>
      <c r="C66" s="263"/>
      <c r="D66" s="268"/>
      <c r="E66" s="226">
        <f ca="1">E60+E62-E64</f>
        <v>-71898.375943044433</v>
      </c>
      <c r="F66" s="222" t="s">
        <v>812</v>
      </c>
    </row>
    <row r="67" spans="2:6" ht="15.75" x14ac:dyDescent="0.25">
      <c r="B67" s="223"/>
      <c r="C67" s="263"/>
      <c r="D67" s="268"/>
      <c r="E67" s="264"/>
      <c r="F67" s="222"/>
    </row>
    <row r="68" spans="2:6" ht="15.75" x14ac:dyDescent="0.25">
      <c r="B68" s="223" t="s">
        <v>813</v>
      </c>
      <c r="C68" s="269">
        <v>0.26500000000000001</v>
      </c>
      <c r="D68" s="268" t="s">
        <v>814</v>
      </c>
      <c r="E68" s="264"/>
      <c r="F68" s="222"/>
    </row>
    <row r="69" spans="2:6" ht="15.75" x14ac:dyDescent="0.25">
      <c r="B69" s="223"/>
      <c r="C69" s="263"/>
      <c r="D69" s="231"/>
      <c r="E69" s="264"/>
      <c r="F69" s="222"/>
    </row>
    <row r="70" spans="2:6" ht="15.75" x14ac:dyDescent="0.25">
      <c r="B70" s="223" t="s">
        <v>815</v>
      </c>
      <c r="C70" s="263"/>
      <c r="D70" s="231"/>
      <c r="E70" s="242">
        <f ca="1">E66*C68</f>
        <v>-19053.069624906777</v>
      </c>
      <c r="F70" s="222" t="s">
        <v>816</v>
      </c>
    </row>
    <row r="71" spans="2:6" ht="15.75" x14ac:dyDescent="0.25">
      <c r="B71" s="223"/>
      <c r="C71" s="263"/>
      <c r="D71" s="231"/>
      <c r="E71" s="242"/>
      <c r="F71" s="222"/>
    </row>
    <row r="72" spans="2:6" ht="15.75" x14ac:dyDescent="0.25">
      <c r="B72" s="223" t="s">
        <v>817</v>
      </c>
      <c r="C72" s="263"/>
      <c r="D72" s="231"/>
      <c r="E72" s="242">
        <f ca="1">E70/(1-C68)</f>
        <v>-25922.543707356159</v>
      </c>
      <c r="F72" s="222" t="s">
        <v>818</v>
      </c>
    </row>
    <row r="73" spans="2:6" ht="16.5" thickBot="1" x14ac:dyDescent="0.3">
      <c r="B73" s="260"/>
      <c r="C73" s="265"/>
      <c r="D73" s="266"/>
      <c r="E73" s="270"/>
      <c r="F73" s="222"/>
    </row>
    <row r="74" spans="2:6" ht="15.75" hidden="1" x14ac:dyDescent="0.25">
      <c r="B74" s="1"/>
      <c r="C74" s="12"/>
      <c r="D74" s="1"/>
      <c r="E74" s="261"/>
      <c r="F74" s="222"/>
    </row>
    <row r="75" spans="2:6" ht="18" hidden="1" x14ac:dyDescent="0.25">
      <c r="B75" s="217" t="s">
        <v>677</v>
      </c>
      <c r="C75" s="12"/>
      <c r="D75" s="1"/>
      <c r="E75" s="261"/>
      <c r="F75" s="222"/>
    </row>
    <row r="76" spans="2:6" ht="15.75" hidden="1" x14ac:dyDescent="0.25">
      <c r="B76" s="223" t="s">
        <v>819</v>
      </c>
      <c r="C76" s="219"/>
      <c r="D76" s="220"/>
      <c r="E76" s="251"/>
      <c r="F76" s="222" t="s">
        <v>666</v>
      </c>
    </row>
    <row r="77" spans="2:6" ht="15.75" hidden="1" x14ac:dyDescent="0.25">
      <c r="B77" s="223"/>
      <c r="C77" s="263"/>
      <c r="D77" s="231"/>
      <c r="E77" s="264"/>
      <c r="F77" s="222"/>
    </row>
    <row r="78" spans="2:6" ht="15.75" hidden="1" x14ac:dyDescent="0.25">
      <c r="B78" s="223" t="s">
        <v>820</v>
      </c>
      <c r="C78" s="263"/>
      <c r="D78" s="231"/>
      <c r="E78" s="271"/>
      <c r="F78" s="222" t="s">
        <v>669</v>
      </c>
    </row>
    <row r="79" spans="2:6" ht="15.75" hidden="1" x14ac:dyDescent="0.25">
      <c r="B79" s="223"/>
      <c r="C79" s="263"/>
      <c r="D79" s="231"/>
      <c r="E79" s="264"/>
      <c r="F79" s="222"/>
    </row>
    <row r="80" spans="2:6" ht="15.75" hidden="1" x14ac:dyDescent="0.25">
      <c r="B80" s="223" t="s">
        <v>821</v>
      </c>
      <c r="C80" s="263"/>
      <c r="D80" s="231"/>
      <c r="E80" s="272"/>
      <c r="F80" s="222" t="s">
        <v>822</v>
      </c>
    </row>
    <row r="81" spans="2:6" ht="15.75" hidden="1" x14ac:dyDescent="0.25">
      <c r="B81" s="223"/>
      <c r="C81" s="263"/>
      <c r="D81" s="231"/>
      <c r="E81" s="264"/>
      <c r="F81" s="222"/>
    </row>
    <row r="82" spans="2:6" ht="15.75" hidden="1" x14ac:dyDescent="0.25">
      <c r="B82" s="223" t="s">
        <v>823</v>
      </c>
      <c r="C82" s="269"/>
      <c r="D82" s="222" t="s">
        <v>824</v>
      </c>
      <c r="E82" s="264"/>
      <c r="F82" s="222"/>
    </row>
    <row r="83" spans="2:6" ht="15.75" hidden="1" x14ac:dyDescent="0.25">
      <c r="B83" s="273"/>
      <c r="C83" s="263"/>
      <c r="D83" s="231"/>
      <c r="E83" s="264"/>
      <c r="F83" s="222"/>
    </row>
    <row r="84" spans="2:6" ht="16.5" hidden="1" thickBot="1" x14ac:dyDescent="0.3">
      <c r="B84" s="223" t="s">
        <v>825</v>
      </c>
      <c r="C84" s="263"/>
      <c r="D84" s="231"/>
      <c r="E84" s="226"/>
      <c r="F84" s="222" t="s">
        <v>826</v>
      </c>
    </row>
    <row r="85" spans="2:6" ht="16.5" hidden="1" thickBot="1" x14ac:dyDescent="0.3">
      <c r="B85" s="260"/>
      <c r="C85" s="265"/>
      <c r="D85" s="266"/>
      <c r="E85" s="270"/>
      <c r="F85" s="222"/>
    </row>
    <row r="86" spans="2:6" ht="16.5" thickBot="1" x14ac:dyDescent="0.3">
      <c r="B86" s="1"/>
      <c r="C86" s="12"/>
      <c r="D86" s="1"/>
      <c r="E86" s="261"/>
      <c r="F86" s="222"/>
    </row>
    <row r="87" spans="2:6" ht="18.75" thickBot="1" x14ac:dyDescent="0.3">
      <c r="B87" s="217" t="s">
        <v>827</v>
      </c>
      <c r="C87" s="12"/>
      <c r="D87" s="1"/>
      <c r="E87" s="261"/>
      <c r="F87" s="222"/>
    </row>
    <row r="88" spans="2:6" ht="15.75" x14ac:dyDescent="0.25">
      <c r="B88" s="274" t="s">
        <v>802</v>
      </c>
      <c r="C88" s="219"/>
      <c r="D88" s="275" t="s">
        <v>648</v>
      </c>
      <c r="E88" s="276">
        <f ca="1">E49</f>
        <v>553381.3168685094</v>
      </c>
      <c r="F88" s="222" t="s">
        <v>666</v>
      </c>
    </row>
    <row r="89" spans="2:6" ht="15.75" x14ac:dyDescent="0.25">
      <c r="B89" s="223" t="s">
        <v>828</v>
      </c>
      <c r="C89" s="263"/>
      <c r="D89" s="268" t="s">
        <v>805</v>
      </c>
      <c r="E89" s="277">
        <f ca="1">E55</f>
        <v>188504.3298888889</v>
      </c>
      <c r="F89" s="222" t="s">
        <v>669</v>
      </c>
    </row>
    <row r="90" spans="2:6" ht="15.75" x14ac:dyDescent="0.25">
      <c r="B90" s="223" t="str">
        <f>B72</f>
        <v>Grossed-Up Taxes/PILs</v>
      </c>
      <c r="C90" s="263"/>
      <c r="D90" s="268" t="s">
        <v>663</v>
      </c>
      <c r="E90" s="277">
        <f ca="1">E72</f>
        <v>-25922.543707356159</v>
      </c>
      <c r="F90" s="222" t="s">
        <v>829</v>
      </c>
    </row>
    <row r="91" spans="2:6" ht="15.75" x14ac:dyDescent="0.25">
      <c r="B91" s="223"/>
      <c r="C91" s="263"/>
      <c r="D91" s="268"/>
      <c r="E91" s="264"/>
      <c r="F91" s="222"/>
    </row>
    <row r="92" spans="2:6" ht="15.75" x14ac:dyDescent="0.25">
      <c r="B92" s="223"/>
      <c r="C92" s="263"/>
      <c r="D92" s="231"/>
      <c r="E92" s="264"/>
      <c r="F92" s="222"/>
    </row>
    <row r="93" spans="2:6" ht="16.5" thickBot="1" x14ac:dyDescent="0.3">
      <c r="B93" s="223" t="s">
        <v>827</v>
      </c>
      <c r="C93" s="263"/>
      <c r="D93" s="231"/>
      <c r="E93" s="278">
        <f ca="1">SUM(E88:E90)</f>
        <v>715963.10305004206</v>
      </c>
      <c r="F93" s="222" t="s">
        <v>830</v>
      </c>
    </row>
    <row r="94" spans="2:6" ht="16.5" thickBot="1" x14ac:dyDescent="0.3">
      <c r="B94" s="260"/>
      <c r="C94" s="265"/>
      <c r="D94" s="266"/>
      <c r="E94" s="270"/>
      <c r="F94" s="222"/>
    </row>
    <row r="95" spans="2:6" ht="15.75" x14ac:dyDescent="0.25">
      <c r="E95" s="279"/>
    </row>
    <row r="96" spans="2:6" ht="15.75" x14ac:dyDescent="0.25">
      <c r="E96" s="279"/>
    </row>
  </sheetData>
  <sheetProtection password="F8BD" sheet="1" objects="1" scenarios="1"/>
  <mergeCells count="3">
    <mergeCell ref="C24:E24"/>
    <mergeCell ref="B29:F29"/>
    <mergeCell ref="F23:H24"/>
  </mergeCells>
  <pageMargins left="0.70866141732283472" right="0.70866141732283472" top="0.74803149606299213" bottom="0.74803149606299213" header="0.31496062992125984" footer="0.31496062992125984"/>
  <pageSetup scale="5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2:Z50"/>
  <sheetViews>
    <sheetView showGridLines="0" topLeftCell="I13" zoomScaleNormal="100" workbookViewId="0">
      <selection activeCell="O18" sqref="O18"/>
    </sheetView>
  </sheetViews>
  <sheetFormatPr defaultRowHeight="15" x14ac:dyDescent="0.25"/>
  <cols>
    <col min="1" max="1" width="49.42578125" customWidth="1"/>
    <col min="2" max="2" width="4.140625" customWidth="1"/>
    <col min="3" max="3" width="19.85546875" customWidth="1"/>
    <col min="4" max="4" width="22" customWidth="1"/>
    <col min="5" max="5" width="18.42578125" customWidth="1"/>
    <col min="6" max="7" width="22" customWidth="1"/>
    <col min="8" max="8" width="27.5703125" customWidth="1"/>
    <col min="9" max="9" width="15.42578125" bestFit="1" customWidth="1"/>
    <col min="10" max="10" width="3.42578125" customWidth="1"/>
    <col min="11" max="11" width="22" customWidth="1"/>
    <col min="12" max="12" width="17.42578125" customWidth="1"/>
    <col min="13" max="13" width="11.5703125" bestFit="1" customWidth="1"/>
    <col min="14" max="14" width="2.42578125" customWidth="1"/>
    <col min="15" max="15" width="20.140625" customWidth="1"/>
    <col min="16" max="16" width="24.5703125" customWidth="1"/>
    <col min="17" max="17" width="22.5703125" customWidth="1"/>
    <col min="18" max="18" width="18.5703125" customWidth="1"/>
    <col min="19" max="20" width="20" customWidth="1"/>
  </cols>
  <sheetData>
    <row r="12" spans="1:20" ht="15.75" thickBot="1" x14ac:dyDescent="0.3"/>
    <row r="13" spans="1:20" ht="22.5" thickTop="1" thickBot="1" x14ac:dyDescent="0.3">
      <c r="A13" s="510" t="s">
        <v>831</v>
      </c>
      <c r="B13" s="510"/>
      <c r="C13" s="510"/>
      <c r="D13" s="510"/>
      <c r="E13" s="450" t="s">
        <v>849</v>
      </c>
      <c r="F13" s="451"/>
    </row>
    <row r="14" spans="1:20" ht="43.5" customHeight="1" x14ac:dyDescent="0.25"/>
    <row r="15" spans="1:20" s="119" customFormat="1" ht="47.25" x14ac:dyDescent="0.25">
      <c r="A15" s="281" t="s">
        <v>593</v>
      </c>
      <c r="B15" s="111"/>
      <c r="C15" s="111" t="s">
        <v>605</v>
      </c>
      <c r="D15" s="111" t="s">
        <v>832</v>
      </c>
      <c r="E15" s="111" t="s">
        <v>833</v>
      </c>
      <c r="F15" s="111" t="s">
        <v>601</v>
      </c>
      <c r="G15" s="111" t="s">
        <v>834</v>
      </c>
      <c r="H15" s="111" t="s">
        <v>835</v>
      </c>
      <c r="I15" s="111" t="s">
        <v>836</v>
      </c>
      <c r="J15" s="111"/>
      <c r="K15" s="111" t="s">
        <v>594</v>
      </c>
      <c r="L15" s="111" t="s">
        <v>595</v>
      </c>
      <c r="M15" s="111" t="s">
        <v>704</v>
      </c>
      <c r="N15" s="111"/>
      <c r="O15" s="111" t="s">
        <v>837</v>
      </c>
      <c r="P15" s="111" t="s">
        <v>838</v>
      </c>
      <c r="Q15" s="111" t="s">
        <v>839</v>
      </c>
      <c r="R15" s="111"/>
      <c r="S15" s="111"/>
      <c r="T15" s="111"/>
    </row>
    <row r="16" spans="1:20" s="119" customFormat="1" ht="17.25" customHeight="1" x14ac:dyDescent="0.25">
      <c r="A16" s="111"/>
      <c r="B16" s="111"/>
      <c r="C16" s="282" t="s">
        <v>848</v>
      </c>
      <c r="D16" s="282" t="s">
        <v>848</v>
      </c>
      <c r="E16" s="282" t="s">
        <v>848</v>
      </c>
      <c r="F16" s="283" t="s">
        <v>840</v>
      </c>
      <c r="G16" s="283" t="s">
        <v>841</v>
      </c>
      <c r="H16" s="283" t="s">
        <v>842</v>
      </c>
      <c r="I16" s="284" t="s">
        <v>843</v>
      </c>
      <c r="J16" s="285"/>
      <c r="K16" s="282" t="s">
        <v>844</v>
      </c>
      <c r="L16" s="282" t="s">
        <v>844</v>
      </c>
      <c r="M16" s="282" t="s">
        <v>844</v>
      </c>
      <c r="N16" s="285"/>
      <c r="O16" s="283" t="s">
        <v>845</v>
      </c>
      <c r="P16" s="283" t="s">
        <v>846</v>
      </c>
      <c r="Q16" s="283" t="s">
        <v>847</v>
      </c>
      <c r="R16"/>
      <c r="S16"/>
      <c r="T16" s="286"/>
    </row>
    <row r="17" spans="1:26" x14ac:dyDescent="0.25">
      <c r="A17" s="389" t="s">
        <v>77</v>
      </c>
      <c r="B17" s="389"/>
      <c r="C17" s="409">
        <f>'7. Revenue Proportions'!P17</f>
        <v>0.58172164423979122</v>
      </c>
      <c r="D17" s="409">
        <f>'7. Revenue Proportions'!Q17</f>
        <v>0</v>
      </c>
      <c r="E17" s="409">
        <f>'7. Revenue Proportions'!R17</f>
        <v>0</v>
      </c>
      <c r="F17" s="405">
        <f ca="1">ROUND(C17*I28, 2)</f>
        <v>416491.23</v>
      </c>
      <c r="G17" s="405">
        <f ca="1">ROUND(D17*I28, 2)</f>
        <v>0</v>
      </c>
      <c r="H17" s="405">
        <f ca="1">ROUND(E17*I28, 2)</f>
        <v>0</v>
      </c>
      <c r="I17" s="405">
        <f t="shared" ref="I17:I26" ca="1" si="0">ROUND(F17+G17+H17, 2)</f>
        <v>416491.23</v>
      </c>
      <c r="J17" s="391"/>
      <c r="K17" s="390">
        <f>'3. Growth Factor - NUM_CALC1'!C17</f>
        <v>154770</v>
      </c>
      <c r="L17" s="390">
        <f>'3. Growth Factor - NUM_CALC1'!D17</f>
        <v>1338716137.0932236</v>
      </c>
      <c r="M17" s="390">
        <f>'3. Growth Factor - NUM_CALC1'!E17</f>
        <v>0</v>
      </c>
      <c r="N17" s="391"/>
      <c r="O17" s="404">
        <f ca="1">IF(ISERROR(ROUND(I17 / K17 / 12, 2)),0,ROUND(I17 / K17 / 12, 2))</f>
        <v>0.22</v>
      </c>
      <c r="P17" s="415">
        <v>0</v>
      </c>
      <c r="Q17" s="415">
        <v>0</v>
      </c>
      <c r="R17" s="414" t="s">
        <v>890</v>
      </c>
    </row>
    <row r="18" spans="1:26" x14ac:dyDescent="0.25">
      <c r="A18" s="158" t="s">
        <v>86</v>
      </c>
      <c r="B18" s="158"/>
      <c r="C18" s="410">
        <f>'7. Revenue Proportions'!P18</f>
        <v>3.8625711952971924E-2</v>
      </c>
      <c r="D18" s="410">
        <f>'7. Revenue Proportions'!Q18</f>
        <v>7.7217885452324261E-2</v>
      </c>
      <c r="E18" s="410">
        <f>'7. Revenue Proportions'!R18</f>
        <v>0</v>
      </c>
      <c r="F18" s="407">
        <f ca="1">ROUND(C18*I28, 2)</f>
        <v>27654.58</v>
      </c>
      <c r="G18" s="407">
        <f ca="1">ROUND(D18*I28, 2)</f>
        <v>55285.16</v>
      </c>
      <c r="H18" s="407">
        <f ca="1">ROUND(E18*I28, 2)</f>
        <v>0</v>
      </c>
      <c r="I18" s="407">
        <f t="shared" ca="1" si="0"/>
        <v>82939.740000000005</v>
      </c>
      <c r="J18" s="159"/>
      <c r="K18" s="396">
        <f>'3. Growth Factor - NUM_CALC1'!C18</f>
        <v>9733</v>
      </c>
      <c r="L18" s="396">
        <f>'3. Growth Factor - NUM_CALC1'!D18</f>
        <v>350101690.2006948</v>
      </c>
      <c r="M18" s="396">
        <f>'3. Growth Factor - NUM_CALC1'!E18</f>
        <v>0</v>
      </c>
      <c r="N18" s="159"/>
      <c r="O18" s="406">
        <f t="shared" ref="O18:O26" ca="1" si="1">IF(ISERROR(ROUND(F18 / K18 / 12, 2)),0,ROUND(F18 / K18 / 12, 2))</f>
        <v>0.24</v>
      </c>
      <c r="P18" s="416">
        <f t="shared" ref="P18:P26" ca="1" si="2">IF(ISERROR(ROUND(G18 / L18, 4)),0,ROUND(G18 / L18, 4))</f>
        <v>2.0000000000000001E-4</v>
      </c>
      <c r="Q18" s="416">
        <f t="shared" ref="Q18:Q26" ca="1" si="3">IF(ISERROR(ROUND(H18 / M18, 4)),0,ROUND(H18 / M18, 4))</f>
        <v>0</v>
      </c>
    </row>
    <row r="19" spans="1:26" x14ac:dyDescent="0.25">
      <c r="A19" s="158" t="s">
        <v>219</v>
      </c>
      <c r="B19" s="158"/>
      <c r="C19" s="410">
        <f>'7. Revenue Proportions'!P19</f>
        <v>3.2073639938107128E-2</v>
      </c>
      <c r="D19" s="410">
        <f>'7. Revenue Proportions'!Q19</f>
        <v>0</v>
      </c>
      <c r="E19" s="410">
        <f>'7. Revenue Proportions'!R19</f>
        <v>0.1153790811479042</v>
      </c>
      <c r="F19" s="407">
        <f ca="1">ROUND(C19*I28, 2)</f>
        <v>22963.54</v>
      </c>
      <c r="G19" s="407">
        <f ca="1">ROUND(D19*I28, 2)</f>
        <v>0</v>
      </c>
      <c r="H19" s="407">
        <f ca="1">ROUND(E19*I28, 2)</f>
        <v>82607.16</v>
      </c>
      <c r="I19" s="407">
        <f t="shared" ca="1" si="0"/>
        <v>105570.7</v>
      </c>
      <c r="J19" s="159"/>
      <c r="K19" s="396">
        <f>'3. Growth Factor - NUM_CALC1'!C19</f>
        <v>1620</v>
      </c>
      <c r="L19" s="396">
        <f>'3. Growth Factor - NUM_CALC1'!D19</f>
        <v>1119807677.0631137</v>
      </c>
      <c r="M19" s="396">
        <f>'3. Growth Factor - NUM_CALC1'!E19</f>
        <v>3087734</v>
      </c>
      <c r="N19" s="159"/>
      <c r="O19" s="406">
        <f t="shared" ca="1" si="1"/>
        <v>1.18</v>
      </c>
      <c r="P19" s="416">
        <f t="shared" ca="1" si="2"/>
        <v>0</v>
      </c>
      <c r="Q19" s="416">
        <f t="shared" ca="1" si="3"/>
        <v>2.6800000000000001E-2</v>
      </c>
    </row>
    <row r="20" spans="1:26" x14ac:dyDescent="0.25">
      <c r="A20" s="158" t="s">
        <v>225</v>
      </c>
      <c r="B20" s="158"/>
      <c r="C20" s="410">
        <f>'7. Revenue Proportions'!P20</f>
        <v>1.8755940571320844E-2</v>
      </c>
      <c r="D20" s="410">
        <f>'7. Revenue Proportions'!Q20</f>
        <v>0</v>
      </c>
      <c r="E20" s="410">
        <f>'7. Revenue Proportions'!R20</f>
        <v>8.4654652936434621E-2</v>
      </c>
      <c r="F20" s="407">
        <f ca="1">ROUND(C20*I28, 2)</f>
        <v>13428.56</v>
      </c>
      <c r="G20" s="407">
        <f ca="1">ROUND(D20*I28, 2)</f>
        <v>0</v>
      </c>
      <c r="H20" s="407">
        <f ca="1">ROUND(E20*I28, 2)</f>
        <v>60609.61</v>
      </c>
      <c r="I20" s="407">
        <f t="shared" ca="1" si="0"/>
        <v>74038.17</v>
      </c>
      <c r="J20" s="159"/>
      <c r="K20" s="396">
        <f>'3. Growth Factor - NUM_CALC1'!C20</f>
        <v>105</v>
      </c>
      <c r="L20" s="396">
        <f>'3. Growth Factor - NUM_CALC1'!D20</f>
        <v>834408608.75273895</v>
      </c>
      <c r="M20" s="396">
        <f>'3. Growth Factor - NUM_CALC1'!E20</f>
        <v>1951568</v>
      </c>
      <c r="N20" s="159"/>
      <c r="O20" s="406">
        <f t="shared" ca="1" si="1"/>
        <v>10.66</v>
      </c>
      <c r="P20" s="416">
        <f t="shared" ca="1" si="2"/>
        <v>0</v>
      </c>
      <c r="Q20" s="416">
        <f t="shared" ca="1" si="3"/>
        <v>3.1099999999999999E-2</v>
      </c>
    </row>
    <row r="21" spans="1:26" x14ac:dyDescent="0.25">
      <c r="A21" s="158" t="s">
        <v>116</v>
      </c>
      <c r="B21" s="158"/>
      <c r="C21" s="410">
        <f>'7. Revenue Proportions'!P21</f>
        <v>4.4598469711451989E-3</v>
      </c>
      <c r="D21" s="410">
        <f>'7. Revenue Proportions'!Q21</f>
        <v>0</v>
      </c>
      <c r="E21" s="410">
        <f>'7. Revenue Proportions'!R21</f>
        <v>2.1563450316678327E-2</v>
      </c>
      <c r="F21" s="407">
        <f ca="1">ROUND(C21*I28, 2)</f>
        <v>3193.09</v>
      </c>
      <c r="G21" s="407">
        <f ca="1">ROUND(D21*I28, 2)</f>
        <v>0</v>
      </c>
      <c r="H21" s="407">
        <f ca="1">ROUND(E21*I28, 2)</f>
        <v>15438.63</v>
      </c>
      <c r="I21" s="407">
        <f t="shared" ca="1" si="0"/>
        <v>18631.72</v>
      </c>
      <c r="J21" s="159"/>
      <c r="K21" s="396">
        <f>'3. Growth Factor - NUM_CALC1'!C21</f>
        <v>6</v>
      </c>
      <c r="L21" s="396">
        <f>'3. Growth Factor - NUM_CALC1'!D21</f>
        <v>347102418.30584443</v>
      </c>
      <c r="M21" s="396">
        <f>'3. Growth Factor - NUM_CALC1'!E21</f>
        <v>656588.31958770775</v>
      </c>
      <c r="N21" s="159"/>
      <c r="O21" s="406">
        <f t="shared" ca="1" si="1"/>
        <v>44.35</v>
      </c>
      <c r="P21" s="416">
        <f t="shared" ca="1" si="2"/>
        <v>0</v>
      </c>
      <c r="Q21" s="416">
        <f t="shared" ca="1" si="3"/>
        <v>2.35E-2</v>
      </c>
    </row>
    <row r="22" spans="1:26" x14ac:dyDescent="0.25">
      <c r="A22" s="158" t="s">
        <v>123</v>
      </c>
      <c r="B22" s="158"/>
      <c r="C22" s="410">
        <f>'7. Revenue Proportions'!P22</f>
        <v>2.6745069520502307E-4</v>
      </c>
      <c r="D22" s="410">
        <f>'7. Revenue Proportions'!Q22</f>
        <v>1.7054929379859386E-3</v>
      </c>
      <c r="E22" s="410">
        <f>'7. Revenue Proportions'!R22</f>
        <v>0</v>
      </c>
      <c r="F22" s="407">
        <f ca="1">ROUND(C22*I28, 2)</f>
        <v>191.48</v>
      </c>
      <c r="G22" s="407">
        <f ca="1">ROUND(D22*I28, 2)</f>
        <v>1221.07</v>
      </c>
      <c r="H22" s="407">
        <f ca="1">ROUND(E22*I28, 2)</f>
        <v>0</v>
      </c>
      <c r="I22" s="407">
        <f t="shared" ca="1" si="0"/>
        <v>1412.55</v>
      </c>
      <c r="J22" s="159"/>
      <c r="K22" s="396">
        <f>'3. Growth Factor - NUM_CALC1'!C22</f>
        <v>1556</v>
      </c>
      <c r="L22" s="396">
        <f>'3. Growth Factor - NUM_CALC1'!D22</f>
        <v>6563290.3233262245</v>
      </c>
      <c r="M22" s="396">
        <f>'3. Growth Factor - NUM_CALC1'!E22</f>
        <v>0</v>
      </c>
      <c r="N22" s="159"/>
      <c r="O22" s="406">
        <f t="shared" ca="1" si="1"/>
        <v>0.01</v>
      </c>
      <c r="P22" s="416">
        <f t="shared" ca="1" si="2"/>
        <v>2.0000000000000001E-4</v>
      </c>
      <c r="Q22" s="416">
        <f t="shared" ca="1" si="3"/>
        <v>0</v>
      </c>
    </row>
    <row r="23" spans="1:26" x14ac:dyDescent="0.25">
      <c r="A23" s="158" t="s">
        <v>68</v>
      </c>
      <c r="B23" s="158"/>
      <c r="C23" s="410">
        <f>'7. Revenue Proportions'!P23</f>
        <v>7.6300019942225515E-3</v>
      </c>
      <c r="D23" s="410">
        <f>'7. Revenue Proportions'!Q23</f>
        <v>0</v>
      </c>
      <c r="E23" s="410">
        <f>'7. Revenue Proportions'!R23</f>
        <v>1.3087399175875033E-2</v>
      </c>
      <c r="F23" s="407">
        <f ca="1">ROUND(C23*I28, 2)</f>
        <v>5462.8</v>
      </c>
      <c r="G23" s="407">
        <f ca="1">ROUND(D23*I28, 2)</f>
        <v>0</v>
      </c>
      <c r="H23" s="407">
        <f ca="1">ROUND(E23*I28, 2)</f>
        <v>9370.09</v>
      </c>
      <c r="I23" s="407">
        <f t="shared" ca="1" si="0"/>
        <v>14832.89</v>
      </c>
      <c r="J23" s="159"/>
      <c r="K23" s="396">
        <f>'3. Growth Factor - NUM_CALC1'!C23</f>
        <v>20988</v>
      </c>
      <c r="L23" s="396">
        <f>'3. Growth Factor - NUM_CALC1'!D23</f>
        <v>30181776.056474227</v>
      </c>
      <c r="M23" s="396">
        <f>'3. Growth Factor - NUM_CALC1'!E23</f>
        <v>86164.394</v>
      </c>
      <c r="N23" s="159"/>
      <c r="O23" s="406">
        <f t="shared" ca="1" si="1"/>
        <v>0.02</v>
      </c>
      <c r="P23" s="416">
        <f t="shared" ca="1" si="2"/>
        <v>0</v>
      </c>
      <c r="Q23" s="416">
        <f t="shared" ca="1" si="3"/>
        <v>0.1087</v>
      </c>
    </row>
    <row r="24" spans="1:26" x14ac:dyDescent="0.25">
      <c r="A24" s="158" t="s">
        <v>45</v>
      </c>
      <c r="B24" s="158"/>
      <c r="C24" s="410">
        <f>'7. Revenue Proportions'!P24</f>
        <v>6.5708772844738433E-4</v>
      </c>
      <c r="D24" s="410">
        <f>'7. Revenue Proportions'!Q24</f>
        <v>0</v>
      </c>
      <c r="E24" s="410">
        <f>'7. Revenue Proportions'!R24</f>
        <v>0</v>
      </c>
      <c r="F24" s="407">
        <f ca="1">ROUND(C24*I28, 2)</f>
        <v>470.45</v>
      </c>
      <c r="G24" s="407">
        <f ca="1">ROUND(D24*I28, 2)</f>
        <v>0</v>
      </c>
      <c r="H24" s="407">
        <f ca="1">ROUND(E24*I28, 2)</f>
        <v>0</v>
      </c>
      <c r="I24" s="407">
        <f t="shared" ca="1" si="0"/>
        <v>470.45</v>
      </c>
      <c r="J24" s="159"/>
      <c r="K24" s="396">
        <f>'3. Growth Factor - NUM_CALC1'!C24</f>
        <v>1</v>
      </c>
      <c r="L24" s="396">
        <f>'3. Growth Factor - NUM_CALC1'!D24</f>
        <v>15915.06977652</v>
      </c>
      <c r="M24" s="396">
        <f>'3. Growth Factor - NUM_CALC1'!E24</f>
        <v>0</v>
      </c>
      <c r="N24" s="159"/>
      <c r="O24" s="406">
        <f t="shared" ca="1" si="1"/>
        <v>39.200000000000003</v>
      </c>
      <c r="P24" s="416">
        <f t="shared" ca="1" si="2"/>
        <v>0</v>
      </c>
      <c r="Q24" s="416">
        <f t="shared" ca="1" si="3"/>
        <v>0</v>
      </c>
    </row>
    <row r="25" spans="1:26" x14ac:dyDescent="0.25">
      <c r="A25" s="158" t="s">
        <v>33</v>
      </c>
      <c r="B25" s="158"/>
      <c r="C25" s="410">
        <f>'7. Revenue Proportions'!P25</f>
        <v>2.2007139415863059E-3</v>
      </c>
      <c r="D25" s="410">
        <f>'7. Revenue Proportions'!Q25</f>
        <v>0</v>
      </c>
      <c r="E25" s="410">
        <f>'7. Revenue Proportions'!R25</f>
        <v>0</v>
      </c>
      <c r="F25" s="407">
        <f ca="1">ROUND(C25*I28, 2)</f>
        <v>1575.63</v>
      </c>
      <c r="G25" s="407">
        <f ca="1">ROUND(D25*I28, 2)</f>
        <v>0</v>
      </c>
      <c r="H25" s="407">
        <f ca="1">ROUND(E25*I28, 2)</f>
        <v>0</v>
      </c>
      <c r="I25" s="407">
        <f t="shared" ca="1" si="0"/>
        <v>1575.63</v>
      </c>
      <c r="J25" s="159"/>
      <c r="K25" s="396">
        <f>'3. Growth Factor - NUM_CALC1'!C25</f>
        <v>134</v>
      </c>
      <c r="L25" s="396">
        <f>'3. Growth Factor - NUM_CALC1'!D25</f>
        <v>293427.26428778644</v>
      </c>
      <c r="M25" s="396">
        <f>'3. Growth Factor - NUM_CALC1'!E25</f>
        <v>0</v>
      </c>
      <c r="N25" s="159"/>
      <c r="O25" s="406">
        <f t="shared" ca="1" si="1"/>
        <v>0.98</v>
      </c>
      <c r="P25" s="416">
        <f t="shared" ca="1" si="2"/>
        <v>0</v>
      </c>
      <c r="Q25" s="416">
        <f t="shared" ca="1" si="3"/>
        <v>0</v>
      </c>
    </row>
    <row r="26" spans="1:26" x14ac:dyDescent="0.25">
      <c r="A26" s="158" t="s">
        <v>143</v>
      </c>
      <c r="B26" s="158"/>
      <c r="C26" s="410">
        <f>'7. Revenue Proportions'!P26</f>
        <v>0</v>
      </c>
      <c r="D26" s="410">
        <f>'7. Revenue Proportions'!Q26</f>
        <v>0</v>
      </c>
      <c r="E26" s="410">
        <f>'7. Revenue Proportions'!R26</f>
        <v>0</v>
      </c>
      <c r="F26" s="407">
        <f ca="1">ROUND(C26*I28, 2)</f>
        <v>0</v>
      </c>
      <c r="G26" s="407">
        <f ca="1">ROUND(D26*I28, 2)</f>
        <v>0</v>
      </c>
      <c r="H26" s="407">
        <f ca="1">ROUND(E26*I28, 2)</f>
        <v>0</v>
      </c>
      <c r="I26" s="407">
        <f t="shared" ca="1" si="0"/>
        <v>0</v>
      </c>
      <c r="J26" s="159"/>
      <c r="K26" s="396">
        <f>'3. Growth Factor - NUM_CALC1'!C26</f>
        <v>0</v>
      </c>
      <c r="L26" s="396">
        <f>'3. Growth Factor - NUM_CALC1'!D26</f>
        <v>0</v>
      </c>
      <c r="M26" s="396">
        <f>'3. Growth Factor - NUM_CALC1'!E26</f>
        <v>0</v>
      </c>
      <c r="N26" s="159"/>
      <c r="O26" s="406">
        <f t="shared" ca="1" si="1"/>
        <v>0</v>
      </c>
      <c r="P26" s="416">
        <f t="shared" ca="1" si="2"/>
        <v>0</v>
      </c>
      <c r="Q26" s="416">
        <f t="shared" ca="1" si="3"/>
        <v>0</v>
      </c>
    </row>
    <row r="27" spans="1:26" x14ac:dyDescent="0.25">
      <c r="A27" s="120" t="s">
        <v>767</v>
      </c>
      <c r="B27" s="120"/>
      <c r="C27" s="411">
        <f t="shared" ref="C27:I27" si="4">SUM(C17:C26)</f>
        <v>0.68639203803279758</v>
      </c>
      <c r="D27" s="411">
        <f t="shared" si="4"/>
        <v>7.8923378390310203E-2</v>
      </c>
      <c r="E27" s="411">
        <f t="shared" si="4"/>
        <v>0.2346845835768922</v>
      </c>
      <c r="F27" s="408">
        <f t="shared" ca="1" si="4"/>
        <v>491431.36</v>
      </c>
      <c r="G27" s="408">
        <f t="shared" ca="1" si="4"/>
        <v>56506.23</v>
      </c>
      <c r="H27" s="408">
        <f t="shared" ca="1" si="4"/>
        <v>168025.49000000002</v>
      </c>
      <c r="I27" s="408">
        <f t="shared" ca="1" si="4"/>
        <v>715963.08</v>
      </c>
      <c r="J27" s="121"/>
      <c r="K27" s="408">
        <f>SUM(K17:K26)</f>
        <v>188913</v>
      </c>
      <c r="L27" s="408">
        <f>SUM(L17:L26)</f>
        <v>4027190940.1294799</v>
      </c>
      <c r="M27" s="408">
        <f>SUM(M17:M26)</f>
        <v>5782054.7135877078</v>
      </c>
      <c r="N27" s="121"/>
      <c r="O27" s="121"/>
      <c r="P27" s="121"/>
      <c r="Q27" s="121"/>
      <c r="R27" s="118"/>
      <c r="S27" s="118"/>
      <c r="T27" s="118"/>
      <c r="U27" s="118"/>
      <c r="V27" s="118"/>
      <c r="W27" s="118"/>
      <c r="X27" s="118"/>
      <c r="Y27" s="118"/>
      <c r="Z27" s="118"/>
    </row>
    <row r="28" spans="1:26" x14ac:dyDescent="0.25">
      <c r="C28" s="124"/>
      <c r="D28" s="124"/>
      <c r="E28" s="124"/>
      <c r="F28" s="124"/>
      <c r="G28" s="124"/>
      <c r="H28" s="124"/>
      <c r="I28" s="413">
        <f ca="1">'10. Incremental Capital Adj.'!E93</f>
        <v>715963.10305004206</v>
      </c>
      <c r="J28" s="124"/>
      <c r="K28" s="124"/>
      <c r="L28" s="124"/>
      <c r="M28" s="124"/>
      <c r="N28" s="124"/>
      <c r="O28" s="124"/>
      <c r="P28" s="124"/>
      <c r="Q28" s="124"/>
    </row>
    <row r="29" spans="1:26" x14ac:dyDescent="0.25">
      <c r="C29" s="124"/>
      <c r="D29" s="124"/>
      <c r="E29" s="124"/>
      <c r="F29" s="124"/>
      <c r="G29" s="124"/>
      <c r="H29" s="124"/>
      <c r="I29" s="412" t="s">
        <v>889</v>
      </c>
      <c r="J29" s="124"/>
      <c r="K29" s="124"/>
      <c r="L29" s="124"/>
      <c r="M29" s="124"/>
      <c r="N29" s="124"/>
      <c r="O29" s="124"/>
      <c r="P29" s="124"/>
      <c r="Q29" s="124"/>
    </row>
    <row r="30" spans="1:26" x14ac:dyDescent="0.25">
      <c r="C30" s="124"/>
      <c r="D30" s="124"/>
      <c r="E30" s="124"/>
      <c r="F30" s="124"/>
      <c r="G30" s="124"/>
      <c r="H30" s="124"/>
      <c r="I30" s="124"/>
      <c r="J30" s="124"/>
      <c r="K30" s="124"/>
      <c r="L30" s="124"/>
      <c r="M30" s="124"/>
      <c r="N30" s="124"/>
      <c r="O30" s="124"/>
      <c r="P30" s="124"/>
      <c r="Q30" s="124"/>
    </row>
    <row r="31" spans="1:26" x14ac:dyDescent="0.25">
      <c r="C31" s="124"/>
      <c r="D31" s="124"/>
      <c r="E31" s="124"/>
      <c r="F31" s="124"/>
      <c r="G31" s="124"/>
      <c r="H31" s="124"/>
      <c r="I31" s="124"/>
      <c r="J31" s="124"/>
      <c r="K31" s="124"/>
      <c r="L31" s="124"/>
      <c r="M31" s="124"/>
      <c r="N31" s="124"/>
      <c r="O31" s="124"/>
      <c r="P31" s="124"/>
      <c r="Q31" s="124"/>
    </row>
    <row r="32" spans="1:26" x14ac:dyDescent="0.25">
      <c r="C32" s="124"/>
      <c r="D32" s="124"/>
      <c r="E32" s="124"/>
      <c r="F32" s="124"/>
      <c r="G32" s="124"/>
      <c r="H32" s="124"/>
      <c r="I32" s="124"/>
      <c r="J32" s="124"/>
      <c r="K32" s="124"/>
      <c r="L32" s="124"/>
      <c r="M32" s="124"/>
      <c r="N32" s="124"/>
      <c r="O32" s="124"/>
      <c r="P32" s="124"/>
      <c r="Q32" s="124"/>
    </row>
    <row r="33" spans="3:17" x14ac:dyDescent="0.25">
      <c r="C33" s="124"/>
      <c r="D33" s="124"/>
      <c r="E33" s="124"/>
      <c r="F33" s="124"/>
      <c r="G33" s="124"/>
      <c r="H33" s="124"/>
      <c r="I33" s="124"/>
      <c r="J33" s="124"/>
      <c r="K33" s="124"/>
      <c r="L33" s="124"/>
      <c r="M33" s="124"/>
      <c r="N33" s="124"/>
      <c r="O33" s="124"/>
      <c r="P33" s="124"/>
      <c r="Q33" s="124"/>
    </row>
    <row r="34" spans="3:17" x14ac:dyDescent="0.25">
      <c r="C34" s="124"/>
      <c r="D34" s="124"/>
      <c r="E34" s="124"/>
      <c r="F34" s="124"/>
      <c r="G34" s="124"/>
      <c r="H34" s="124"/>
      <c r="I34" s="124"/>
      <c r="J34" s="124"/>
      <c r="K34" s="124"/>
      <c r="L34" s="124"/>
      <c r="M34" s="124"/>
      <c r="N34" s="124"/>
      <c r="O34" s="124"/>
      <c r="P34" s="124"/>
      <c r="Q34" s="124"/>
    </row>
    <row r="35" spans="3:17" x14ac:dyDescent="0.25">
      <c r="C35" s="124"/>
      <c r="D35" s="124"/>
      <c r="E35" s="124"/>
      <c r="F35" s="124"/>
      <c r="G35" s="124"/>
      <c r="H35" s="124"/>
      <c r="I35" s="124"/>
      <c r="J35" s="124"/>
      <c r="K35" s="124"/>
      <c r="L35" s="124"/>
      <c r="M35" s="124"/>
      <c r="N35" s="124"/>
      <c r="O35" s="124"/>
      <c r="P35" s="124"/>
      <c r="Q35" s="124"/>
    </row>
    <row r="36" spans="3:17" x14ac:dyDescent="0.25">
      <c r="C36" s="124"/>
      <c r="D36" s="124"/>
      <c r="E36" s="124"/>
      <c r="F36" s="124"/>
      <c r="G36" s="124"/>
      <c r="H36" s="124"/>
      <c r="I36" s="124"/>
      <c r="J36" s="124"/>
      <c r="K36" s="124"/>
      <c r="L36" s="124"/>
      <c r="M36" s="124"/>
      <c r="N36" s="124"/>
      <c r="O36" s="124"/>
      <c r="P36" s="124"/>
      <c r="Q36" s="124"/>
    </row>
    <row r="37" spans="3:17" x14ac:dyDescent="0.25">
      <c r="C37" s="124"/>
      <c r="D37" s="124"/>
      <c r="E37" s="124"/>
      <c r="F37" s="124"/>
      <c r="G37" s="124"/>
      <c r="H37" s="124"/>
      <c r="I37" s="124"/>
      <c r="J37" s="124"/>
      <c r="K37" s="124"/>
      <c r="L37" s="124"/>
      <c r="M37" s="124"/>
      <c r="N37" s="124"/>
      <c r="O37" s="124"/>
      <c r="P37" s="124"/>
      <c r="Q37" s="124"/>
    </row>
    <row r="38" spans="3:17" x14ac:dyDescent="0.25">
      <c r="C38" s="124"/>
      <c r="D38" s="124"/>
      <c r="E38" s="124"/>
      <c r="F38" s="124"/>
      <c r="G38" s="124"/>
      <c r="H38" s="124"/>
      <c r="I38" s="124"/>
      <c r="J38" s="124"/>
      <c r="K38" s="124"/>
      <c r="L38" s="124"/>
      <c r="M38" s="124"/>
      <c r="N38" s="124"/>
      <c r="O38" s="124"/>
      <c r="P38" s="124"/>
      <c r="Q38" s="124"/>
    </row>
    <row r="39" spans="3:17" x14ac:dyDescent="0.25">
      <c r="C39" s="124"/>
      <c r="D39" s="124"/>
      <c r="E39" s="124"/>
      <c r="F39" s="124"/>
      <c r="G39" s="124"/>
      <c r="H39" s="124"/>
      <c r="I39" s="124"/>
      <c r="J39" s="124"/>
      <c r="K39" s="124"/>
      <c r="L39" s="124"/>
      <c r="M39" s="124"/>
      <c r="N39" s="124"/>
      <c r="O39" s="124"/>
      <c r="P39" s="124"/>
      <c r="Q39" s="124"/>
    </row>
    <row r="40" spans="3:17" x14ac:dyDescent="0.25">
      <c r="C40" s="124"/>
      <c r="D40" s="124"/>
      <c r="E40" s="124"/>
      <c r="F40" s="124"/>
      <c r="G40" s="124"/>
      <c r="H40" s="124"/>
      <c r="I40" s="124"/>
      <c r="J40" s="124"/>
      <c r="K40" s="124"/>
      <c r="L40" s="124"/>
      <c r="M40" s="124"/>
      <c r="N40" s="124"/>
      <c r="O40" s="124"/>
      <c r="P40" s="124"/>
      <c r="Q40" s="124"/>
    </row>
    <row r="41" spans="3:17" x14ac:dyDescent="0.25">
      <c r="C41" s="124"/>
      <c r="D41" s="124"/>
      <c r="E41" s="124"/>
      <c r="F41" s="124"/>
      <c r="G41" s="124"/>
      <c r="H41" s="124"/>
      <c r="I41" s="124"/>
      <c r="J41" s="124"/>
      <c r="K41" s="124"/>
      <c r="L41" s="124"/>
      <c r="M41" s="124"/>
      <c r="N41" s="124"/>
      <c r="O41" s="124"/>
      <c r="P41" s="124"/>
      <c r="Q41" s="124"/>
    </row>
    <row r="42" spans="3:17" x14ac:dyDescent="0.25">
      <c r="C42" s="124"/>
      <c r="D42" s="124"/>
      <c r="E42" s="124"/>
      <c r="F42" s="124"/>
      <c r="G42" s="124"/>
      <c r="H42" s="124"/>
      <c r="I42" s="124"/>
      <c r="J42" s="124"/>
      <c r="K42" s="124"/>
      <c r="L42" s="124"/>
      <c r="M42" s="124"/>
      <c r="N42" s="124"/>
      <c r="O42" s="124"/>
      <c r="P42" s="124"/>
      <c r="Q42" s="124"/>
    </row>
    <row r="43" spans="3:17" x14ac:dyDescent="0.25">
      <c r="C43" s="124"/>
      <c r="D43" s="124"/>
      <c r="E43" s="124"/>
      <c r="F43" s="124"/>
      <c r="G43" s="124"/>
      <c r="H43" s="124"/>
      <c r="I43" s="124"/>
      <c r="J43" s="124"/>
      <c r="K43" s="124"/>
      <c r="L43" s="124"/>
      <c r="M43" s="124"/>
      <c r="N43" s="124"/>
      <c r="O43" s="124"/>
      <c r="P43" s="124"/>
      <c r="Q43" s="124"/>
    </row>
    <row r="44" spans="3:17" x14ac:dyDescent="0.25">
      <c r="C44" s="124"/>
      <c r="D44" s="124"/>
      <c r="E44" s="124"/>
      <c r="F44" s="124"/>
      <c r="G44" s="124"/>
      <c r="H44" s="124"/>
      <c r="I44" s="124"/>
      <c r="J44" s="124"/>
      <c r="K44" s="124"/>
      <c r="L44" s="124"/>
      <c r="M44" s="124"/>
      <c r="N44" s="124"/>
      <c r="O44" s="124"/>
      <c r="P44" s="124"/>
      <c r="Q44" s="124"/>
    </row>
    <row r="45" spans="3:17" x14ac:dyDescent="0.25">
      <c r="C45" s="124"/>
      <c r="D45" s="124"/>
      <c r="E45" s="124"/>
      <c r="F45" s="124"/>
      <c r="G45" s="124"/>
      <c r="H45" s="124"/>
      <c r="I45" s="124"/>
      <c r="J45" s="124"/>
      <c r="K45" s="124"/>
      <c r="L45" s="124"/>
      <c r="M45" s="124"/>
      <c r="N45" s="124"/>
      <c r="O45" s="124"/>
      <c r="P45" s="124"/>
      <c r="Q45" s="124"/>
    </row>
    <row r="46" spans="3:17" x14ac:dyDescent="0.25">
      <c r="C46" s="124"/>
      <c r="D46" s="124"/>
      <c r="E46" s="124"/>
      <c r="F46" s="124"/>
      <c r="G46" s="124"/>
      <c r="H46" s="124"/>
      <c r="I46" s="124"/>
      <c r="J46" s="124"/>
      <c r="K46" s="124"/>
      <c r="L46" s="124"/>
      <c r="M46" s="124"/>
      <c r="N46" s="124"/>
      <c r="O46" s="124"/>
      <c r="P46" s="124"/>
      <c r="Q46" s="124"/>
    </row>
    <row r="47" spans="3:17" x14ac:dyDescent="0.25">
      <c r="C47" s="124"/>
      <c r="D47" s="124"/>
      <c r="E47" s="124"/>
      <c r="F47" s="124"/>
      <c r="G47" s="124"/>
      <c r="H47" s="124"/>
      <c r="I47" s="124"/>
      <c r="J47" s="124"/>
      <c r="K47" s="124"/>
      <c r="L47" s="124"/>
      <c r="M47" s="124"/>
      <c r="N47" s="124"/>
      <c r="O47" s="124"/>
      <c r="P47" s="124"/>
      <c r="Q47" s="124"/>
    </row>
    <row r="48" spans="3:17" x14ac:dyDescent="0.25">
      <c r="C48" s="124"/>
      <c r="D48" s="124"/>
      <c r="E48" s="124"/>
      <c r="F48" s="124"/>
      <c r="G48" s="124"/>
      <c r="H48" s="124"/>
      <c r="I48" s="124"/>
      <c r="J48" s="124"/>
      <c r="K48" s="124"/>
      <c r="L48" s="124"/>
      <c r="M48" s="124"/>
      <c r="N48" s="124"/>
      <c r="O48" s="124"/>
      <c r="P48" s="124"/>
      <c r="Q48" s="124"/>
    </row>
    <row r="49" spans="3:17" x14ac:dyDescent="0.25">
      <c r="C49" s="124"/>
      <c r="D49" s="124"/>
      <c r="E49" s="124"/>
      <c r="F49" s="124"/>
      <c r="G49" s="124"/>
      <c r="H49" s="124"/>
      <c r="I49" s="124"/>
      <c r="J49" s="124"/>
      <c r="K49" s="124"/>
      <c r="L49" s="124"/>
      <c r="M49" s="124"/>
      <c r="N49" s="124"/>
      <c r="O49" s="124"/>
      <c r="P49" s="124"/>
      <c r="Q49" s="124"/>
    </row>
    <row r="50" spans="3:17" x14ac:dyDescent="0.25">
      <c r="C50" s="124"/>
      <c r="D50" s="124"/>
      <c r="E50" s="124"/>
      <c r="F50" s="124"/>
      <c r="G50" s="124"/>
      <c r="H50" s="124"/>
      <c r="I50" s="124"/>
      <c r="J50" s="124"/>
      <c r="K50" s="124"/>
      <c r="L50" s="124"/>
      <c r="M50" s="124"/>
      <c r="N50" s="124"/>
      <c r="O50" s="124"/>
      <c r="P50" s="124"/>
      <c r="Q50" s="124"/>
    </row>
  </sheetData>
  <sheetProtection password="F8BD" sheet="1" objects="1" scenarios="1"/>
  <mergeCells count="2">
    <mergeCell ref="A13:D13"/>
    <mergeCell ref="E13:F13"/>
  </mergeCells>
  <dataValidations count="1">
    <dataValidation type="list" allowBlank="1" showInputMessage="1" showErrorMessage="1" sqref="E13:F13" xr:uid="{00000000-0002-0000-0D00-000000000000}">
      <formula1>"Fixed and Variable Rate Riders, Variable Only Rate Rider, Fixed Only Rate Rider"</formula1>
    </dataValidation>
  </dataValidations>
  <pageMargins left="0.70866141732283472" right="0.70866141732283472" top="0.74803149606299213" bottom="0.74803149606299213" header="0.31496062992125984" footer="0.31496062992125984"/>
  <pageSetup scale="3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8"/>
  <dimension ref="A1:I24"/>
  <sheetViews>
    <sheetView workbookViewId="0">
      <selection activeCell="F18" sqref="F18:J18"/>
    </sheetView>
  </sheetViews>
  <sheetFormatPr defaultRowHeight="15" x14ac:dyDescent="0.25"/>
  <sheetData>
    <row r="1" spans="1:9" x14ac:dyDescent="0.25">
      <c r="A1" s="158"/>
      <c r="B1" s="158"/>
      <c r="C1" s="159"/>
      <c r="D1" s="159"/>
      <c r="E1" s="159"/>
      <c r="F1" s="159"/>
      <c r="G1" s="159"/>
      <c r="H1" s="159"/>
      <c r="I1" s="159"/>
    </row>
    <row r="2" spans="1:9" x14ac:dyDescent="0.25">
      <c r="C2" s="124"/>
      <c r="D2" s="124"/>
      <c r="E2" s="124"/>
      <c r="F2" s="124"/>
      <c r="G2" s="124"/>
      <c r="H2" s="124"/>
      <c r="I2" s="124"/>
    </row>
    <row r="3" spans="1:9" x14ac:dyDescent="0.25">
      <c r="C3" s="124"/>
      <c r="D3" s="124"/>
      <c r="E3" s="124"/>
      <c r="F3" s="124"/>
      <c r="G3" s="124"/>
      <c r="H3" s="124"/>
      <c r="I3" s="124"/>
    </row>
    <row r="4" spans="1:9" x14ac:dyDescent="0.25">
      <c r="C4" s="124"/>
      <c r="D4" s="124"/>
      <c r="E4" s="124"/>
      <c r="F4" s="124"/>
      <c r="G4" s="124"/>
      <c r="H4" s="124"/>
      <c r="I4" s="124"/>
    </row>
    <row r="5" spans="1:9" x14ac:dyDescent="0.25">
      <c r="C5" s="124"/>
      <c r="D5" s="124"/>
      <c r="E5" s="124"/>
      <c r="F5" s="124"/>
      <c r="G5" s="124"/>
      <c r="H5" s="124"/>
      <c r="I5" s="124"/>
    </row>
    <row r="6" spans="1:9" x14ac:dyDescent="0.25">
      <c r="C6" s="124"/>
      <c r="D6" s="124"/>
      <c r="E6" s="124"/>
      <c r="F6" s="124"/>
      <c r="G6" s="124"/>
      <c r="H6" s="124"/>
      <c r="I6" s="124"/>
    </row>
    <row r="7" spans="1:9" x14ac:dyDescent="0.25">
      <c r="C7" s="124"/>
      <c r="D7" s="124"/>
      <c r="E7" s="124"/>
      <c r="F7" s="124"/>
      <c r="G7" s="124"/>
      <c r="H7" s="124"/>
      <c r="I7" s="124"/>
    </row>
    <row r="8" spans="1:9" x14ac:dyDescent="0.25">
      <c r="C8" s="124"/>
      <c r="D8" s="124"/>
      <c r="E8" s="124"/>
      <c r="F8" s="124"/>
      <c r="G8" s="124"/>
      <c r="H8" s="124"/>
      <c r="I8" s="124"/>
    </row>
    <row r="9" spans="1:9" x14ac:dyDescent="0.25">
      <c r="C9" s="124"/>
      <c r="D9" s="124"/>
      <c r="E9" s="124"/>
      <c r="F9" s="124"/>
      <c r="G9" s="124"/>
      <c r="H9" s="124"/>
      <c r="I9" s="124"/>
    </row>
    <row r="10" spans="1:9" x14ac:dyDescent="0.25">
      <c r="C10" s="124"/>
      <c r="D10" s="124"/>
      <c r="E10" s="124"/>
      <c r="F10" s="124"/>
      <c r="G10" s="124"/>
      <c r="H10" s="124"/>
      <c r="I10" s="124"/>
    </row>
    <row r="11" spans="1:9" x14ac:dyDescent="0.25">
      <c r="C11" s="124"/>
      <c r="D11" s="124"/>
      <c r="E11" s="124"/>
      <c r="F11" s="124"/>
      <c r="G11" s="124"/>
      <c r="H11" s="124"/>
      <c r="I11" s="124"/>
    </row>
    <row r="12" spans="1:9" x14ac:dyDescent="0.25">
      <c r="C12" s="124"/>
      <c r="D12" s="124"/>
      <c r="E12" s="124"/>
      <c r="F12" s="124"/>
      <c r="G12" s="124"/>
      <c r="H12" s="124"/>
      <c r="I12" s="124"/>
    </row>
    <row r="13" spans="1:9" x14ac:dyDescent="0.25">
      <c r="C13" s="124"/>
      <c r="D13" s="124"/>
      <c r="E13" s="124"/>
      <c r="F13" s="124"/>
      <c r="G13" s="124"/>
      <c r="H13" s="124"/>
      <c r="I13" s="124"/>
    </row>
    <row r="14" spans="1:9" x14ac:dyDescent="0.25">
      <c r="C14" s="124"/>
      <c r="D14" s="124"/>
      <c r="E14" s="124"/>
      <c r="F14" s="124"/>
      <c r="G14" s="124"/>
      <c r="H14" s="124"/>
      <c r="I14" s="124"/>
    </row>
    <row r="15" spans="1:9" x14ac:dyDescent="0.25">
      <c r="C15" s="124"/>
      <c r="D15" s="124"/>
      <c r="E15" s="124"/>
      <c r="F15" s="124"/>
      <c r="G15" s="124"/>
      <c r="H15" s="124"/>
      <c r="I15" s="124"/>
    </row>
    <row r="16" spans="1:9" x14ac:dyDescent="0.25">
      <c r="C16" s="124"/>
      <c r="D16" s="124"/>
      <c r="E16" s="124"/>
      <c r="F16" s="124"/>
      <c r="G16" s="124"/>
      <c r="H16" s="124"/>
      <c r="I16" s="124"/>
    </row>
    <row r="17" spans="3:9" x14ac:dyDescent="0.25">
      <c r="C17" s="124"/>
      <c r="D17" s="124"/>
      <c r="E17" s="124"/>
      <c r="F17" s="124"/>
      <c r="G17" s="124"/>
      <c r="H17" s="124"/>
      <c r="I17" s="124"/>
    </row>
    <row r="18" spans="3:9" x14ac:dyDescent="0.25">
      <c r="C18" s="124"/>
      <c r="D18" s="124"/>
      <c r="E18" s="124"/>
      <c r="F18" s="124"/>
      <c r="G18" s="124"/>
      <c r="H18" s="124"/>
      <c r="I18" s="124"/>
    </row>
    <row r="19" spans="3:9" x14ac:dyDescent="0.25">
      <c r="C19" s="124"/>
      <c r="D19" s="124"/>
      <c r="E19" s="124"/>
      <c r="F19" s="124"/>
      <c r="G19" s="124"/>
      <c r="H19" s="124"/>
      <c r="I19" s="124"/>
    </row>
    <row r="20" spans="3:9" x14ac:dyDescent="0.25">
      <c r="C20" s="124"/>
      <c r="D20" s="124"/>
      <c r="E20" s="124"/>
      <c r="F20" s="124"/>
      <c r="G20" s="124"/>
      <c r="H20" s="124"/>
      <c r="I20" s="124"/>
    </row>
    <row r="21" spans="3:9" x14ac:dyDescent="0.25">
      <c r="C21" s="124"/>
      <c r="D21" s="124"/>
      <c r="E21" s="124"/>
      <c r="F21" s="124"/>
      <c r="G21" s="124"/>
      <c r="H21" s="124"/>
      <c r="I21" s="124"/>
    </row>
    <row r="22" spans="3:9" x14ac:dyDescent="0.25">
      <c r="C22" s="124"/>
      <c r="D22" s="124"/>
      <c r="E22" s="124"/>
      <c r="F22" s="124"/>
      <c r="G22" s="124"/>
      <c r="H22" s="124"/>
      <c r="I22" s="124"/>
    </row>
    <row r="23" spans="3:9" x14ac:dyDescent="0.25">
      <c r="C23" s="124"/>
      <c r="D23" s="124"/>
      <c r="E23" s="124"/>
      <c r="F23" s="124"/>
      <c r="G23" s="124"/>
      <c r="H23" s="124"/>
      <c r="I23" s="124"/>
    </row>
    <row r="24" spans="3:9" x14ac:dyDescent="0.25">
      <c r="C24" s="124"/>
      <c r="D24" s="124"/>
      <c r="E24" s="124"/>
      <c r="F24" s="124"/>
      <c r="G24" s="124"/>
      <c r="H24" s="124"/>
      <c r="I24" s="124"/>
    </row>
  </sheetData>
  <sheetProtection password="F8B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A61"/>
  <sheetViews>
    <sheetView showGridLines="0" tabSelected="1" topLeftCell="A13" zoomScaleNormal="100" workbookViewId="0">
      <selection activeCell="F22" sqref="F22:J22"/>
    </sheetView>
  </sheetViews>
  <sheetFormatPr defaultColWidth="9.140625" defaultRowHeight="15" x14ac:dyDescent="0.25"/>
  <cols>
    <col min="1" max="1" width="13.42578125" style="1" customWidth="1"/>
    <col min="2" max="2" width="13.5703125" style="1" customWidth="1"/>
    <col min="3" max="3" width="9.140625" style="1"/>
    <col min="4" max="7" width="14.5703125" style="1" customWidth="1"/>
    <col min="8" max="8" width="22.425781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Alectra Utilities Corporation-Brampton Rate Zone</v>
      </c>
    </row>
    <row r="11" spans="1:27" x14ac:dyDescent="0.25">
      <c r="G11" s="3"/>
    </row>
    <row r="12" spans="1:27" x14ac:dyDescent="0.25">
      <c r="A12" s="4" t="s">
        <v>1</v>
      </c>
      <c r="B12" s="5"/>
      <c r="C12" s="5"/>
      <c r="D12" s="5"/>
      <c r="E12" s="5"/>
      <c r="F12" s="5"/>
      <c r="G12" s="3"/>
      <c r="M12" s="6" t="s">
        <v>2</v>
      </c>
      <c r="N12" s="7">
        <v>5.01</v>
      </c>
    </row>
    <row r="13" spans="1:27" ht="15.75" thickBot="1" x14ac:dyDescent="0.3">
      <c r="G13" s="3"/>
    </row>
    <row r="14" spans="1:27" ht="16.5" customHeight="1" thickTop="1" thickBot="1" x14ac:dyDescent="0.3">
      <c r="E14" s="8" t="s">
        <v>3</v>
      </c>
      <c r="F14" s="456" t="s">
        <v>858</v>
      </c>
      <c r="G14" s="457"/>
      <c r="H14" s="457"/>
      <c r="I14" s="457"/>
      <c r="J14" s="457"/>
      <c r="K14" s="457"/>
      <c r="L14" s="458"/>
    </row>
    <row r="15" spans="1:27" x14ac:dyDescent="0.25">
      <c r="E15" s="9"/>
      <c r="F15" s="10"/>
      <c r="G15" s="11"/>
      <c r="H15" s="10"/>
      <c r="I15" s="10"/>
      <c r="J15" s="10"/>
    </row>
    <row r="16" spans="1:27" ht="1.7" customHeight="1" x14ac:dyDescent="0.25"/>
    <row r="17" spans="1:13" ht="2.25" customHeight="1" thickBot="1" x14ac:dyDescent="0.3">
      <c r="E17" s="12"/>
    </row>
    <row r="18" spans="1:13" ht="16.5" thickTop="1" thickBot="1" x14ac:dyDescent="0.3">
      <c r="E18" s="13" t="s">
        <v>4</v>
      </c>
      <c r="F18" s="459" t="s">
        <v>894</v>
      </c>
      <c r="G18" s="460"/>
      <c r="H18" s="460"/>
      <c r="I18" s="460"/>
      <c r="J18" s="461"/>
    </row>
    <row r="19" spans="1:13" ht="15.75" thickBot="1" x14ac:dyDescent="0.3">
      <c r="E19" s="12"/>
    </row>
    <row r="20" spans="1:13" ht="16.5" thickTop="1" thickBot="1" x14ac:dyDescent="0.3">
      <c r="E20" s="13" t="s">
        <v>5</v>
      </c>
      <c r="F20" s="459" t="s">
        <v>895</v>
      </c>
      <c r="G20" s="460"/>
      <c r="H20" s="460"/>
      <c r="I20" s="460"/>
      <c r="J20" s="461"/>
      <c r="M20" s="14"/>
    </row>
    <row r="21" spans="1:13" ht="15.75" thickBot="1" x14ac:dyDescent="0.3">
      <c r="E21" s="15"/>
      <c r="F21" s="10"/>
      <c r="G21" s="11"/>
      <c r="H21" s="10"/>
      <c r="I21" s="10"/>
      <c r="J21" s="10"/>
    </row>
    <row r="22" spans="1:13" ht="16.5" thickTop="1" thickBot="1" x14ac:dyDescent="0.3">
      <c r="E22" s="8" t="s">
        <v>6</v>
      </c>
      <c r="F22" s="459"/>
      <c r="G22" s="460"/>
      <c r="H22" s="460"/>
      <c r="I22" s="460"/>
      <c r="J22" s="461"/>
    </row>
    <row r="23" spans="1:13" ht="15.75" thickBot="1" x14ac:dyDescent="0.3">
      <c r="E23" s="15"/>
      <c r="F23" s="10"/>
      <c r="G23" s="11"/>
      <c r="H23" s="10"/>
      <c r="I23" s="10"/>
      <c r="J23" s="10"/>
    </row>
    <row r="24" spans="1:13" ht="16.5" thickTop="1" thickBot="1" x14ac:dyDescent="0.3">
      <c r="E24" s="8" t="s">
        <v>7</v>
      </c>
      <c r="F24" s="462" t="s">
        <v>896</v>
      </c>
      <c r="G24" s="463"/>
      <c r="H24" s="463"/>
      <c r="I24" s="463"/>
      <c r="J24" s="464"/>
    </row>
    <row r="25" spans="1:13" ht="15.75" thickBot="1" x14ac:dyDescent="0.3">
      <c r="E25" s="15"/>
      <c r="F25" s="10"/>
      <c r="G25" s="11"/>
      <c r="H25" s="10"/>
      <c r="I25" s="10"/>
      <c r="J25" s="10"/>
    </row>
    <row r="26" spans="1:13" ht="32.25" customHeight="1" thickTop="1" thickBot="1" x14ac:dyDescent="0.3">
      <c r="A26" s="426" t="s">
        <v>8</v>
      </c>
      <c r="B26" s="426"/>
      <c r="C26" s="426"/>
      <c r="D26" s="426"/>
      <c r="E26" s="431"/>
      <c r="F26" s="450" t="s">
        <v>856</v>
      </c>
      <c r="G26" s="451"/>
      <c r="H26" s="452"/>
      <c r="I26" s="10"/>
      <c r="L26" s="16" t="s">
        <v>9</v>
      </c>
      <c r="M26" s="101">
        <v>2021</v>
      </c>
    </row>
    <row r="27" spans="1:13" ht="15.75" thickBot="1" x14ac:dyDescent="0.3">
      <c r="E27" s="15"/>
      <c r="F27" s="10"/>
      <c r="G27" s="11"/>
      <c r="H27" s="10"/>
      <c r="I27" s="10"/>
      <c r="J27" s="10"/>
    </row>
    <row r="28" spans="1:13" ht="46.5" customHeight="1" thickTop="1" thickBot="1" x14ac:dyDescent="0.3">
      <c r="A28" s="426" t="str">
        <f>"Indicate the Price-Cap IR Year (1, 2, 3, 4, etc) in which " &amp;F14 &amp; " is applying:"</f>
        <v>Indicate the Price-Cap IR Year (1, 2, 3, 4, etc) in which Alectra Utilities Corporation-Brampton Rate Zone is applying:</v>
      </c>
      <c r="B28" s="426"/>
      <c r="C28" s="426"/>
      <c r="D28" s="426"/>
      <c r="E28" s="431"/>
      <c r="F28" s="450">
        <v>6</v>
      </c>
      <c r="G28" s="451"/>
      <c r="H28" s="452"/>
      <c r="I28" s="10"/>
      <c r="J28" s="426" t="str">
        <f>"Next OEB Scheduled Rebasing Year"</f>
        <v>Next OEB Scheduled Rebasing Year</v>
      </c>
      <c r="K28" s="426"/>
      <c r="L28" s="426"/>
      <c r="M28" s="101">
        <v>2027</v>
      </c>
    </row>
    <row r="29" spans="1:13" ht="15.75" thickBot="1" x14ac:dyDescent="0.3">
      <c r="E29" s="15"/>
      <c r="F29" s="10"/>
      <c r="G29" s="11"/>
      <c r="H29" s="10"/>
      <c r="I29" s="10"/>
      <c r="J29" s="10"/>
    </row>
    <row r="30" spans="1:13" ht="53.25" hidden="1" customHeight="1" thickTop="1" thickBot="1" x14ac:dyDescent="0.3">
      <c r="A30" s="426" t="str">
        <f>"For which Rate Year is " &amp;F14 &amp; " seeking approval for its CoS application?"</f>
        <v>For which Rate Year is Alectra Utilities Corporation-Brampton Rate Zone seeking approval for its CoS application?</v>
      </c>
      <c r="B30" s="426"/>
      <c r="C30" s="426"/>
      <c r="D30" s="426"/>
      <c r="E30" s="431"/>
      <c r="F30" s="453"/>
      <c r="G30" s="454"/>
      <c r="H30" s="455"/>
      <c r="I30" s="10"/>
      <c r="J30" s="10"/>
    </row>
    <row r="31" spans="1:13" ht="15.75" hidden="1" thickBot="1" x14ac:dyDescent="0.3">
      <c r="E31" s="15"/>
      <c r="F31" s="10"/>
      <c r="G31" s="11"/>
      <c r="H31" s="10"/>
      <c r="I31" s="10"/>
      <c r="J31" s="10"/>
    </row>
    <row r="32" spans="1:13" ht="29.25" customHeight="1" thickTop="1" thickBot="1" x14ac:dyDescent="0.3">
      <c r="A32" s="426" t="str">
        <f>F14 &amp; " is applying for:"</f>
        <v>Alectra Utilities Corporation-Brampton Rate Zone is applying for:</v>
      </c>
      <c r="B32" s="426"/>
      <c r="C32" s="426"/>
      <c r="D32" s="426"/>
      <c r="E32" s="431"/>
      <c r="F32" s="450" t="s">
        <v>857</v>
      </c>
      <c r="G32" s="451"/>
      <c r="H32" s="452"/>
      <c r="I32" s="10"/>
      <c r="J32" s="10"/>
    </row>
    <row r="33" spans="1:23" ht="15.75" thickBot="1" x14ac:dyDescent="0.3">
      <c r="E33" s="15"/>
      <c r="F33" s="10"/>
      <c r="G33" s="11"/>
      <c r="H33" s="10"/>
      <c r="I33" s="10"/>
      <c r="J33" s="10"/>
    </row>
    <row r="34" spans="1:23" ht="16.5" thickTop="1" thickBot="1" x14ac:dyDescent="0.3">
      <c r="A34" s="426" t="s">
        <v>10</v>
      </c>
      <c r="B34" s="426"/>
      <c r="C34" s="426"/>
      <c r="D34" s="426"/>
      <c r="E34" s="427"/>
      <c r="F34" s="428">
        <f>M26-F28</f>
        <v>2015</v>
      </c>
      <c r="G34" s="429"/>
      <c r="H34" s="430"/>
      <c r="I34" s="10"/>
      <c r="J34" s="10"/>
    </row>
    <row r="35" spans="1:23" ht="15.75" thickBot="1" x14ac:dyDescent="0.3">
      <c r="E35" s="15"/>
      <c r="F35" s="10"/>
      <c r="G35" s="11"/>
      <c r="H35" s="10"/>
      <c r="I35" s="10"/>
      <c r="J35" s="10"/>
    </row>
    <row r="36" spans="1:23" ht="16.5" hidden="1" thickTop="1" thickBot="1" x14ac:dyDescent="0.3">
      <c r="A36" s="426" t="s">
        <v>11</v>
      </c>
      <c r="B36" s="426"/>
      <c r="C36" s="426"/>
      <c r="D36" s="426"/>
      <c r="E36" s="431"/>
      <c r="F36" s="432"/>
      <c r="G36" s="433"/>
      <c r="H36" s="434"/>
      <c r="I36" s="10"/>
    </row>
    <row r="37" spans="1:23" ht="15.75" hidden="1" thickBot="1" x14ac:dyDescent="0.3">
      <c r="A37" s="17"/>
      <c r="B37" s="17"/>
      <c r="C37" s="17"/>
      <c r="D37" s="17"/>
      <c r="E37" s="17"/>
      <c r="F37" s="17"/>
      <c r="G37" s="17"/>
      <c r="H37" s="17"/>
      <c r="I37" s="17"/>
      <c r="J37" s="17"/>
      <c r="K37" s="17"/>
      <c r="L37" s="17"/>
      <c r="M37" s="17"/>
      <c r="N37" s="17"/>
      <c r="O37" s="17"/>
      <c r="P37" s="17"/>
      <c r="Q37" s="17"/>
      <c r="R37" s="17"/>
      <c r="S37" s="17"/>
      <c r="T37" s="17"/>
      <c r="U37" s="17"/>
      <c r="V37" s="17"/>
      <c r="W37" s="17"/>
    </row>
    <row r="38" spans="1:23" ht="35.25" customHeight="1" thickTop="1" thickBot="1" x14ac:dyDescent="0.3">
      <c r="A38" s="426" t="s">
        <v>12</v>
      </c>
      <c r="B38" s="426"/>
      <c r="C38" s="426"/>
      <c r="D38" s="426"/>
      <c r="E38" s="431"/>
      <c r="F38" s="428">
        <f>M26-2</f>
        <v>2019</v>
      </c>
      <c r="G38" s="429"/>
      <c r="H38" s="430"/>
      <c r="I38" s="10"/>
    </row>
    <row r="39" spans="1:23" ht="15.75" thickBot="1" x14ac:dyDescent="0.3">
      <c r="A39" s="17"/>
      <c r="B39" s="17"/>
      <c r="C39" s="17"/>
      <c r="D39" s="17"/>
      <c r="E39" s="17"/>
      <c r="F39" s="17"/>
      <c r="G39" s="17"/>
      <c r="H39" s="17"/>
      <c r="I39" s="17"/>
    </row>
    <row r="40" spans="1:23" ht="16.5" thickTop="1" thickBot="1" x14ac:dyDescent="0.3">
      <c r="E40" s="18" t="s">
        <v>13</v>
      </c>
      <c r="F40" s="436">
        <v>0.02</v>
      </c>
      <c r="G40" s="437"/>
      <c r="H40" s="438"/>
      <c r="I40" s="10"/>
    </row>
    <row r="41" spans="1:23" ht="15.75" thickBot="1" x14ac:dyDescent="0.3"/>
    <row r="42" spans="1:23" ht="16.5" thickTop="1" thickBot="1" x14ac:dyDescent="0.3">
      <c r="E42" s="18" t="s">
        <v>587</v>
      </c>
      <c r="F42" s="439" t="s">
        <v>14</v>
      </c>
      <c r="G42" s="440"/>
      <c r="H42" s="441"/>
      <c r="I42" s="10"/>
    </row>
    <row r="43" spans="1:23" ht="15.75" thickBot="1" x14ac:dyDescent="0.3"/>
    <row r="44" spans="1:23" ht="16.5" thickTop="1" thickBot="1" x14ac:dyDescent="0.3">
      <c r="E44" s="18" t="s">
        <v>15</v>
      </c>
      <c r="F44" s="439">
        <v>3.0000000000000001E-3</v>
      </c>
      <c r="G44" s="440"/>
      <c r="H44" s="441"/>
      <c r="I44" s="10"/>
    </row>
    <row r="45" spans="1:23" ht="15.75" thickBot="1" x14ac:dyDescent="0.3"/>
    <row r="46" spans="1:23" ht="16.5" thickTop="1" thickBot="1" x14ac:dyDescent="0.3">
      <c r="E46" s="18" t="s">
        <v>16</v>
      </c>
      <c r="F46" s="439">
        <f>F40-F44</f>
        <v>1.7000000000000001E-2</v>
      </c>
      <c r="G46" s="440"/>
      <c r="H46" s="441"/>
      <c r="I46" s="10"/>
    </row>
    <row r="47" spans="1:23" x14ac:dyDescent="0.25">
      <c r="I47" s="19"/>
      <c r="J47" s="19"/>
      <c r="K47" s="19"/>
      <c r="L47" s="19"/>
      <c r="M47" s="19"/>
    </row>
    <row r="48" spans="1:23" ht="22.5" customHeight="1" thickBot="1" x14ac:dyDescent="0.3">
      <c r="A48" s="442" t="s">
        <v>17</v>
      </c>
      <c r="B48" s="442"/>
      <c r="C48" s="442"/>
      <c r="D48" s="442"/>
      <c r="E48" s="442"/>
      <c r="F48" s="443" t="str">
        <f>CONCATENATE("Revenues Based on ",IF($F$26="COS",$M$26&amp;" Test Year Distribution Revenues",MAX(F34,F38) &amp; IF(F38&gt;F34," Actual Distribution Demand"," Board-Approved Distribution Demand")))</f>
        <v>Revenues Based on 2019 Actual Distribution Demand</v>
      </c>
      <c r="G48" s="443"/>
      <c r="H48" s="443"/>
      <c r="I48" s="20" t="str">
        <f>LEFT(RIGHT(F48,LEN(F48)-18),4)</f>
        <v>2019</v>
      </c>
      <c r="J48" s="20"/>
      <c r="K48" s="20"/>
      <c r="L48" s="20"/>
      <c r="M48" s="20"/>
      <c r="N48" s="21"/>
    </row>
    <row r="49" spans="1:14" ht="23.1" customHeight="1" x14ac:dyDescent="0.25">
      <c r="A49" s="442"/>
      <c r="B49" s="442"/>
      <c r="C49" s="442"/>
      <c r="D49" s="442"/>
      <c r="E49" s="442"/>
      <c r="F49" s="444" t="str">
        <f>CONCATENATE("Revenues Based on ",IF(F26="COS",F38&amp;" Actual Distribution Revenues", IF(F34&gt;F38,F38,IF(F34=F38,F34-1,F34)) &amp; IF(F38&gt;F34, " Board-Approved Distribution Demand", " Actual Distribution Demand")))</f>
        <v>Revenues Based on 2015 Board-Approved Distribution Demand</v>
      </c>
      <c r="G49" s="444"/>
      <c r="H49" s="444"/>
      <c r="I49" s="20" t="str">
        <f>LEFT(RIGHT(F49,LEN(F49)-18),4)</f>
        <v>2015</v>
      </c>
      <c r="J49" s="20"/>
      <c r="K49" s="20"/>
      <c r="L49" s="20"/>
      <c r="M49" s="20"/>
      <c r="N49" s="21"/>
    </row>
    <row r="50" spans="1:14" x14ac:dyDescent="0.25">
      <c r="A50" s="21"/>
      <c r="B50" s="21"/>
      <c r="C50" s="21"/>
      <c r="D50" s="21"/>
      <c r="E50" s="21"/>
      <c r="F50" s="21"/>
      <c r="G50" s="21"/>
      <c r="H50" s="21"/>
      <c r="I50" s="20"/>
      <c r="J50" s="20"/>
      <c r="K50" s="20"/>
      <c r="L50" s="20"/>
      <c r="M50" s="20"/>
      <c r="N50" s="21"/>
    </row>
    <row r="51" spans="1:14" x14ac:dyDescent="0.25">
      <c r="B51" s="22" t="s">
        <v>18</v>
      </c>
      <c r="I51" s="19"/>
      <c r="J51" s="20"/>
      <c r="K51" s="20"/>
      <c r="L51" s="20"/>
      <c r="M51" s="20"/>
    </row>
    <row r="52" spans="1:14" ht="15.75" thickBot="1" x14ac:dyDescent="0.3">
      <c r="I52" s="19"/>
      <c r="J52" s="20"/>
      <c r="K52" s="20"/>
      <c r="L52" s="20"/>
      <c r="M52" s="20"/>
    </row>
    <row r="53" spans="1:14" ht="15.75" thickBot="1" x14ac:dyDescent="0.3">
      <c r="B53" s="100"/>
      <c r="C53" s="445" t="s">
        <v>19</v>
      </c>
      <c r="D53" s="445"/>
      <c r="E53" s="445"/>
      <c r="F53" s="445"/>
      <c r="G53" s="445"/>
      <c r="H53" s="445"/>
      <c r="I53" s="445"/>
      <c r="J53" s="445"/>
      <c r="K53" s="445"/>
      <c r="L53" s="445"/>
    </row>
    <row r="54" spans="1:14" ht="15.75" thickBot="1" x14ac:dyDescent="0.3"/>
    <row r="55" spans="1:14" ht="15.75" thickBot="1" x14ac:dyDescent="0.3">
      <c r="B55" s="23"/>
      <c r="C55" s="446" t="s">
        <v>20</v>
      </c>
      <c r="D55" s="447"/>
      <c r="E55" s="447"/>
      <c r="F55" s="447"/>
      <c r="G55" s="447"/>
      <c r="H55" s="447"/>
      <c r="I55" s="447"/>
      <c r="J55" s="447"/>
      <c r="K55" s="447"/>
      <c r="L55" s="447"/>
      <c r="M55" s="447"/>
      <c r="N55" s="447"/>
    </row>
    <row r="56" spans="1:14" ht="15.75" thickBot="1" x14ac:dyDescent="0.3">
      <c r="B56" s="24"/>
    </row>
    <row r="57" spans="1:14" ht="15.75" thickBot="1" x14ac:dyDescent="0.3">
      <c r="B57" s="25"/>
      <c r="C57" s="448" t="s">
        <v>21</v>
      </c>
      <c r="D57" s="449"/>
      <c r="E57" s="449"/>
      <c r="F57" s="449"/>
      <c r="G57" s="449"/>
      <c r="H57" s="449"/>
      <c r="I57" s="449"/>
      <c r="J57" s="449"/>
      <c r="K57" s="449"/>
      <c r="L57" s="449"/>
      <c r="M57" s="449"/>
    </row>
    <row r="58" spans="1:14" ht="4.5" customHeight="1" x14ac:dyDescent="0.25"/>
    <row r="60" spans="1:14" ht="87.75" customHeight="1" x14ac:dyDescent="0.25">
      <c r="A60" s="435" t="s">
        <v>588</v>
      </c>
      <c r="B60" s="435"/>
      <c r="C60" s="435"/>
      <c r="D60" s="435"/>
      <c r="E60" s="435"/>
      <c r="F60" s="435"/>
      <c r="G60" s="435"/>
      <c r="H60" s="435"/>
      <c r="I60" s="435"/>
      <c r="J60" s="435"/>
      <c r="K60" s="435"/>
      <c r="L60" s="435"/>
    </row>
    <row r="61" spans="1:14" ht="51" customHeight="1" x14ac:dyDescent="0.25">
      <c r="A61" s="425" t="s">
        <v>22</v>
      </c>
      <c r="B61" s="425"/>
      <c r="C61" s="425"/>
      <c r="D61" s="425"/>
      <c r="E61" s="425"/>
      <c r="F61" s="425"/>
      <c r="G61" s="425"/>
      <c r="H61" s="425"/>
      <c r="I61" s="425"/>
      <c r="J61" s="425"/>
      <c r="K61" s="425"/>
      <c r="L61" s="425"/>
    </row>
  </sheetData>
  <sheetProtection password="F8BD" sheet="1" objects="1" scenarios="1"/>
  <mergeCells count="32">
    <mergeCell ref="F14:L14"/>
    <mergeCell ref="F18:J18"/>
    <mergeCell ref="F20:J20"/>
    <mergeCell ref="F22:J22"/>
    <mergeCell ref="F24:J24"/>
    <mergeCell ref="C55:N55"/>
    <mergeCell ref="C57:M57"/>
    <mergeCell ref="F32:H32"/>
    <mergeCell ref="A26:E26"/>
    <mergeCell ref="F26:H26"/>
    <mergeCell ref="J28:L28"/>
    <mergeCell ref="A28:E28"/>
    <mergeCell ref="F28:H28"/>
    <mergeCell ref="A30:E30"/>
    <mergeCell ref="F30:H30"/>
    <mergeCell ref="A32:E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s>
  <dataValidations count="10">
    <dataValidation type="whole" allowBlank="1" showInputMessage="1" showErrorMessage="1" sqref="M28" xr:uid="{00000000-0002-0000-0200-000000000000}">
      <formula1>2020</formula1>
      <formula2>2040</formula2>
    </dataValidation>
    <dataValidation type="whole" showErrorMessage="1" errorTitle="Incorrect Input" error="Please ensure that the year is in the following format: 20XX" prompt="Use the following format eg: January 1, 2013" sqref="F30:H30" xr:uid="{00000000-0002-0000-0200-000001000000}">
      <formula1>2000</formula1>
      <formula2>2100</formula2>
    </dataValidation>
    <dataValidation type="list" showErrorMessage="1" errorTitle="Incorrect Input" error="Please enter a number between 1 and 10." prompt="Use the following format eg: January 1, 2013" sqref="F28:H28" xr:uid="{00000000-0002-0000-0200-000002000000}">
      <formula1>"1, 2, 3,4,5,6,7,8,9,10"</formula1>
    </dataValidation>
    <dataValidation type="list" showErrorMessage="1" errorTitle="Selection Needed" error="Please select an option from the drop-down list." prompt="Use the following format eg: January 1, 2013" sqref="F26:H26" xr:uid="{00000000-0002-0000-0200-000003000000}">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xr:uid="{00000000-0002-0000-0200-000004000000}">
      <formula1>2000</formula1>
      <formula2>2100</formula2>
    </dataValidation>
    <dataValidation showErrorMessage="1" errorTitle="Selection Needed" error="Please select an option from the drop-down list." prompt="Use the following format eg: January 1, 2013" sqref="F44:H44 F36:H36 F40:H40 F46:H46 F42:H42" xr:uid="{00000000-0002-0000-0200-000005000000}"/>
    <dataValidation allowBlank="1" showInputMessage="1" showErrorMessage="1" prompt="First and last name, title" sqref="F20:J20" xr:uid="{00000000-0002-0000-0200-000006000000}"/>
    <dataValidation type="list" allowBlank="1" showInputMessage="1" showErrorMessage="1" sqref="F14:L14" xr:uid="{00000000-0002-0000-0200-000007000000}">
      <formula1>LDCNAMES</formula1>
    </dataValidation>
    <dataValidation type="whole" allowBlank="1" showInputMessage="1" showErrorMessage="1" sqref="M26" xr:uid="{00000000-0002-0000-0200-000008000000}">
      <formula1>2019</formula1>
      <formula2>2040</formula2>
    </dataValidation>
    <dataValidation type="list" showErrorMessage="1" sqref="F32:H32" xr:uid="{00000000-0002-0000-0200-000009000000}">
      <formula1>"ICM Approval, ACM and ICM Approval"</formula1>
    </dataValidation>
  </dataValidations>
  <pageMargins left="0.23622047244094491" right="0.23622047244094491"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7:Q38"/>
  <sheetViews>
    <sheetView showGridLines="0" zoomScaleNormal="100" workbookViewId="0"/>
  </sheetViews>
  <sheetFormatPr defaultColWidth="8.85546875" defaultRowHeight="15" x14ac:dyDescent="0.25"/>
  <cols>
    <col min="1" max="1" width="13.425781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65" t="s">
        <v>589</v>
      </c>
      <c r="B12" s="465"/>
      <c r="C12" s="465"/>
      <c r="D12" s="465"/>
      <c r="E12" s="465"/>
      <c r="F12" s="465"/>
      <c r="G12" s="465"/>
      <c r="H12" s="465"/>
      <c r="I12" s="465"/>
      <c r="J12" s="465"/>
      <c r="K12" s="465"/>
      <c r="L12" s="465"/>
      <c r="M12" s="465"/>
      <c r="N12" s="465"/>
    </row>
    <row r="13" spans="1:17" ht="15" customHeight="1" x14ac:dyDescent="0.25">
      <c r="A13" s="12"/>
      <c r="B13" s="12"/>
      <c r="C13" s="12"/>
      <c r="D13" s="12"/>
      <c r="E13" s="12"/>
      <c r="F13" s="12"/>
      <c r="G13" s="288"/>
      <c r="H13" s="12"/>
      <c r="I13" s="12"/>
      <c r="J13" s="12"/>
      <c r="K13" s="12"/>
      <c r="O13" s="469" t="s">
        <v>855</v>
      </c>
      <c r="P13" s="469"/>
      <c r="Q13" s="469"/>
    </row>
    <row r="14" spans="1:17" ht="15" customHeight="1" x14ac:dyDescent="0.25">
      <c r="A14" s="12" t="s">
        <v>590</v>
      </c>
      <c r="B14" s="12"/>
      <c r="C14" s="289"/>
      <c r="D14" s="289"/>
      <c r="E14" s="289"/>
      <c r="F14" s="289"/>
      <c r="G14" s="289"/>
      <c r="H14" s="289"/>
      <c r="I14" s="289"/>
      <c r="J14" s="103">
        <v>10</v>
      </c>
      <c r="K14" s="289"/>
      <c r="O14" s="469"/>
      <c r="P14" s="469"/>
      <c r="Q14" s="469"/>
    </row>
    <row r="15" spans="1:17" ht="6" customHeight="1" x14ac:dyDescent="0.25">
      <c r="A15" s="12"/>
      <c r="B15" s="12"/>
      <c r="C15" s="289"/>
      <c r="D15" s="289"/>
      <c r="E15" s="289"/>
      <c r="F15" s="289"/>
      <c r="G15" s="289"/>
      <c r="H15" s="289"/>
      <c r="I15" s="289"/>
      <c r="J15" s="289"/>
      <c r="K15" s="289"/>
      <c r="O15" s="469"/>
      <c r="P15" s="469"/>
      <c r="Q15" s="469"/>
    </row>
    <row r="16" spans="1:17" x14ac:dyDescent="0.25">
      <c r="A16" s="12" t="s">
        <v>591</v>
      </c>
      <c r="B16" s="12"/>
      <c r="C16" s="289"/>
      <c r="D16" s="289"/>
      <c r="E16" s="290"/>
      <c r="F16" s="291"/>
      <c r="G16" s="291"/>
      <c r="H16" s="291"/>
      <c r="I16" s="291"/>
      <c r="J16" s="291"/>
      <c r="K16" s="289"/>
      <c r="O16" s="469"/>
      <c r="P16" s="469"/>
      <c r="Q16" s="469"/>
    </row>
    <row r="17" spans="1:17" x14ac:dyDescent="0.25">
      <c r="A17" s="3"/>
      <c r="B17" s="292"/>
      <c r="C17" s="292"/>
      <c r="D17" s="292"/>
      <c r="E17" s="293"/>
      <c r="F17" s="294"/>
      <c r="G17" s="294"/>
      <c r="I17" s="294"/>
      <c r="J17" s="294"/>
      <c r="K17" s="292"/>
      <c r="O17" s="469"/>
      <c r="P17" s="469"/>
      <c r="Q17" s="469"/>
    </row>
    <row r="18" spans="1:17" x14ac:dyDescent="0.25">
      <c r="A18" s="3"/>
      <c r="B18" s="466" t="s">
        <v>592</v>
      </c>
      <c r="C18" s="467"/>
      <c r="D18" s="467"/>
      <c r="E18" s="467"/>
      <c r="F18" s="467"/>
      <c r="G18" s="467"/>
      <c r="H18" s="467"/>
      <c r="I18" s="467"/>
      <c r="J18" s="468"/>
      <c r="K18" s="292"/>
      <c r="O18" s="363"/>
      <c r="P18" s="363"/>
      <c r="Q18" s="363"/>
    </row>
    <row r="19" spans="1:17" ht="15" customHeight="1" x14ac:dyDescent="0.25">
      <c r="A19" s="295">
        <v>1</v>
      </c>
      <c r="B19" s="470" t="s">
        <v>77</v>
      </c>
      <c r="C19" s="471"/>
      <c r="D19" s="471"/>
      <c r="E19" s="471"/>
      <c r="F19" s="471"/>
      <c r="G19" s="471"/>
      <c r="H19" s="471"/>
      <c r="I19" s="471"/>
      <c r="J19" s="472"/>
      <c r="K19" s="292"/>
      <c r="L19" s="292"/>
    </row>
    <row r="20" spans="1:17" ht="15" customHeight="1" x14ac:dyDescent="0.25">
      <c r="A20" s="295">
        <v>2</v>
      </c>
      <c r="B20" s="470" t="s">
        <v>86</v>
      </c>
      <c r="C20" s="471"/>
      <c r="D20" s="471"/>
      <c r="E20" s="471"/>
      <c r="F20" s="471"/>
      <c r="G20" s="471"/>
      <c r="H20" s="471"/>
      <c r="I20" s="471"/>
      <c r="J20" s="472"/>
      <c r="K20" s="292"/>
      <c r="L20" s="292"/>
    </row>
    <row r="21" spans="1:17" ht="15" customHeight="1" x14ac:dyDescent="0.25">
      <c r="A21" s="295">
        <v>3</v>
      </c>
      <c r="B21" s="473" t="s">
        <v>219</v>
      </c>
      <c r="C21" s="474"/>
      <c r="D21" s="474"/>
      <c r="E21" s="474"/>
      <c r="F21" s="474"/>
      <c r="G21" s="474"/>
      <c r="H21" s="474"/>
      <c r="I21" s="474"/>
      <c r="J21" s="475"/>
      <c r="K21" s="292"/>
      <c r="L21" s="292"/>
    </row>
    <row r="22" spans="1:17" ht="15" customHeight="1" x14ac:dyDescent="0.25">
      <c r="A22" s="295">
        <v>4</v>
      </c>
      <c r="B22" s="470" t="s">
        <v>225</v>
      </c>
      <c r="C22" s="471"/>
      <c r="D22" s="471"/>
      <c r="E22" s="471"/>
      <c r="F22" s="471"/>
      <c r="G22" s="471"/>
      <c r="H22" s="471"/>
      <c r="I22" s="471"/>
      <c r="J22" s="472"/>
      <c r="K22" s="292"/>
      <c r="L22" s="292"/>
    </row>
    <row r="23" spans="1:17" ht="15" customHeight="1" x14ac:dyDescent="0.25">
      <c r="A23" s="295">
        <v>5</v>
      </c>
      <c r="B23" s="470" t="s">
        <v>116</v>
      </c>
      <c r="C23" s="471"/>
      <c r="D23" s="471"/>
      <c r="E23" s="471"/>
      <c r="F23" s="471"/>
      <c r="G23" s="471"/>
      <c r="H23" s="471"/>
      <c r="I23" s="471"/>
      <c r="J23" s="472"/>
      <c r="K23" s="292"/>
      <c r="L23" s="292"/>
    </row>
    <row r="24" spans="1:17" ht="15" customHeight="1" x14ac:dyDescent="0.25">
      <c r="A24" s="302">
        <v>6</v>
      </c>
      <c r="B24" s="473" t="s">
        <v>123</v>
      </c>
      <c r="C24" s="474"/>
      <c r="D24" s="474"/>
      <c r="E24" s="474"/>
      <c r="F24" s="474"/>
      <c r="G24" s="474"/>
      <c r="H24" s="474"/>
      <c r="I24" s="474"/>
      <c r="J24" s="475"/>
      <c r="K24" s="292"/>
      <c r="L24" s="292"/>
    </row>
    <row r="25" spans="1:17" ht="15" customHeight="1" x14ac:dyDescent="0.25">
      <c r="A25" s="302">
        <v>7</v>
      </c>
      <c r="B25" s="470" t="s">
        <v>68</v>
      </c>
      <c r="C25" s="471"/>
      <c r="D25" s="471"/>
      <c r="E25" s="471"/>
      <c r="F25" s="471"/>
      <c r="G25" s="471"/>
      <c r="H25" s="471"/>
      <c r="I25" s="471"/>
      <c r="J25" s="472"/>
      <c r="K25" s="292"/>
      <c r="L25" s="292"/>
    </row>
    <row r="26" spans="1:17" ht="15" customHeight="1" x14ac:dyDescent="0.25">
      <c r="A26" s="302">
        <v>8</v>
      </c>
      <c r="B26" s="470" t="s">
        <v>45</v>
      </c>
      <c r="C26" s="471"/>
      <c r="D26" s="471"/>
      <c r="E26" s="471"/>
      <c r="F26" s="471"/>
      <c r="G26" s="471"/>
      <c r="H26" s="471"/>
      <c r="I26" s="471"/>
      <c r="J26" s="472"/>
      <c r="K26" s="292"/>
      <c r="L26" s="292"/>
    </row>
    <row r="27" spans="1:17" ht="15" customHeight="1" x14ac:dyDescent="0.25">
      <c r="A27" s="302">
        <v>9</v>
      </c>
      <c r="B27" s="473" t="s">
        <v>33</v>
      </c>
      <c r="C27" s="474"/>
      <c r="D27" s="474"/>
      <c r="E27" s="474"/>
      <c r="F27" s="474"/>
      <c r="G27" s="474"/>
      <c r="H27" s="474"/>
      <c r="I27" s="474"/>
      <c r="J27" s="475"/>
    </row>
    <row r="28" spans="1:17" ht="15" customHeight="1" x14ac:dyDescent="0.25">
      <c r="A28" s="302">
        <v>10</v>
      </c>
      <c r="B28" s="470" t="s">
        <v>143</v>
      </c>
      <c r="C28" s="471"/>
      <c r="D28" s="471"/>
      <c r="E28" s="471"/>
      <c r="F28" s="471"/>
      <c r="G28" s="471"/>
      <c r="H28" s="471"/>
      <c r="I28" s="471"/>
      <c r="J28" s="472"/>
    </row>
    <row r="29" spans="1:17" ht="15" customHeight="1" x14ac:dyDescent="0.25">
      <c r="A29" s="302"/>
      <c r="B29" s="296"/>
      <c r="C29" s="297"/>
      <c r="D29" s="297"/>
      <c r="E29" s="297"/>
      <c r="F29" s="297"/>
      <c r="G29" s="297"/>
      <c r="H29" s="297"/>
      <c r="I29" s="297"/>
      <c r="J29" s="298"/>
    </row>
    <row r="30" spans="1:17" ht="15" customHeight="1" x14ac:dyDescent="0.25">
      <c r="A30" s="302"/>
      <c r="B30" s="303"/>
      <c r="C30" s="304"/>
      <c r="D30" s="304"/>
      <c r="E30" s="304"/>
      <c r="F30" s="304"/>
      <c r="G30" s="304"/>
      <c r="H30" s="304"/>
      <c r="I30" s="304"/>
      <c r="J30" s="305"/>
    </row>
    <row r="31" spans="1:17" ht="15" customHeight="1" x14ac:dyDescent="0.25">
      <c r="A31" s="302"/>
      <c r="B31" s="299"/>
      <c r="C31" s="300"/>
      <c r="D31" s="300"/>
      <c r="E31" s="300"/>
      <c r="F31" s="300"/>
      <c r="G31" s="300"/>
      <c r="H31" s="300"/>
      <c r="I31" s="300"/>
      <c r="J31" s="301"/>
    </row>
    <row r="32" spans="1:17" ht="15" customHeight="1" x14ac:dyDescent="0.25">
      <c r="A32" s="302"/>
      <c r="B32" s="299"/>
      <c r="C32" s="300"/>
      <c r="D32" s="300"/>
      <c r="E32" s="300"/>
      <c r="F32" s="300"/>
      <c r="G32" s="300"/>
      <c r="H32" s="300"/>
      <c r="I32" s="300"/>
      <c r="J32" s="301"/>
    </row>
    <row r="33" spans="2:10" x14ac:dyDescent="0.25">
      <c r="B33" s="306"/>
      <c r="C33" s="306"/>
      <c r="D33" s="306"/>
      <c r="E33" s="306"/>
      <c r="F33" s="306"/>
      <c r="G33" s="306"/>
      <c r="H33" s="306"/>
      <c r="I33" s="306"/>
      <c r="J33" s="306"/>
    </row>
    <row r="34" spans="2:10" x14ac:dyDescent="0.25">
      <c r="B34" s="307"/>
      <c r="C34" s="307"/>
      <c r="D34" s="307"/>
      <c r="E34" s="307"/>
      <c r="F34" s="308"/>
      <c r="G34" s="308"/>
      <c r="H34" s="308"/>
      <c r="I34" s="308"/>
      <c r="J34" s="308"/>
    </row>
    <row r="35" spans="2:10" x14ac:dyDescent="0.25">
      <c r="B35" s="292"/>
      <c r="C35" s="292"/>
      <c r="D35" s="292"/>
      <c r="E35" s="292"/>
    </row>
    <row r="36" spans="2:10" x14ac:dyDescent="0.25">
      <c r="B36" s="292"/>
      <c r="C36" s="292"/>
      <c r="D36" s="292"/>
      <c r="E36" s="292"/>
    </row>
    <row r="37" spans="2:10" x14ac:dyDescent="0.25">
      <c r="B37" s="292"/>
      <c r="C37" s="292"/>
      <c r="D37" s="292"/>
      <c r="E37" s="292"/>
    </row>
    <row r="38" spans="2:10" x14ac:dyDescent="0.25">
      <c r="B38" s="292"/>
      <c r="C38" s="292"/>
      <c r="D38" s="292"/>
      <c r="E38" s="292"/>
    </row>
  </sheetData>
  <sheetProtection password="F8BD" sheet="1" objects="1" scenarios="1"/>
  <mergeCells count="13">
    <mergeCell ref="B26:J26"/>
    <mergeCell ref="B27:J27"/>
    <mergeCell ref="B28:J28"/>
    <mergeCell ref="B21:J21"/>
    <mergeCell ref="B22:J22"/>
    <mergeCell ref="B23:J23"/>
    <mergeCell ref="B24:J24"/>
    <mergeCell ref="B25:J25"/>
    <mergeCell ref="A12:N12"/>
    <mergeCell ref="B18:J18"/>
    <mergeCell ref="O13:Q17"/>
    <mergeCell ref="B19:J19"/>
    <mergeCell ref="B20:J20"/>
  </mergeCells>
  <dataValidations count="3">
    <dataValidation type="list" allowBlank="1" showInputMessage="1" showErrorMessage="1" sqref="J14" xr:uid="{00000000-0002-0000-0300-000000000000}">
      <formula1>"1,2,3,4,5,6,7,8, 9, 10,11,12,13,14,15"</formula1>
    </dataValidation>
    <dataValidation allowBlank="1" showInputMessage="1" showErrorMessage="1" sqref="C29:J33 B29:B33" xr:uid="{00000000-0002-0000-0300-000001000000}"/>
    <dataValidation type="list" allowBlank="1" showInputMessage="1" showErrorMessage="1" sqref="B19:J19 B20:J20 B21:J21 B22:J22 B23:J23 B24:J24 B25:J25 B26:J26 B27:J27 B28:J28" xr:uid="{69B3590C-DE27-46AF-8D06-1D4FFABD024C}">
      <formula1>Rate_Class</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466725</xdr:colOff>
                    <xdr:row>16</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I27"/>
  <sheetViews>
    <sheetView showGridLines="0" topLeftCell="A7" zoomScaleNormal="100" workbookViewId="0">
      <selection activeCell="E21" sqref="E21"/>
    </sheetView>
  </sheetViews>
  <sheetFormatPr defaultColWidth="9.140625" defaultRowHeight="15" x14ac:dyDescent="0.25"/>
  <cols>
    <col min="1" max="1" width="65.85546875" style="1" customWidth="1"/>
    <col min="2" max="2" width="21.85546875" style="1" customWidth="1"/>
    <col min="3" max="5" width="25.140625" style="1" customWidth="1"/>
    <col min="6" max="6" width="3.42578125" style="1" customWidth="1"/>
    <col min="7" max="9" width="25.42578125" style="1" customWidth="1"/>
    <col min="10" max="11" width="28" style="1" customWidth="1"/>
    <col min="12" max="16384" width="9.140625" style="1"/>
  </cols>
  <sheetData>
    <row r="1" spans="1:9" x14ac:dyDescent="0.25">
      <c r="A1" s="104"/>
    </row>
    <row r="5" spans="1:9" ht="15.75" x14ac:dyDescent="0.25">
      <c r="H5" s="112"/>
    </row>
    <row r="11" spans="1:9" ht="15.75" x14ac:dyDescent="0.25">
      <c r="A11" s="105"/>
    </row>
    <row r="13" spans="1:9" ht="35.25" customHeight="1" x14ac:dyDescent="0.25">
      <c r="A13" s="476"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Alectra Utilities Corporation-Brampton Rate Zone's Revenues Based on 2019 Actual Distribution Demand. Input the current approved distribution rates.  Sheets 4 &amp; 5 calculate the NUMERATOR portion of the growth factor calculation.</v>
      </c>
      <c r="B13" s="476"/>
      <c r="C13" s="476"/>
      <c r="D13" s="476"/>
      <c r="E13" s="476"/>
    </row>
    <row r="14" spans="1:9" ht="15.75" x14ac:dyDescent="0.25">
      <c r="A14" s="105"/>
    </row>
    <row r="15" spans="1:9" ht="17.25" x14ac:dyDescent="0.25">
      <c r="A15" s="105"/>
      <c r="C15" s="477" t="str">
        <f>RIGHT('1. Information Sheet'!F48,LEN('1. Information Sheet'!F48)-18)</f>
        <v>2019 Actual Distribution Demand</v>
      </c>
      <c r="D15" s="477"/>
      <c r="E15" s="477"/>
      <c r="F15" s="106"/>
      <c r="G15" s="477" t="str">
        <f>IF('1. Information Sheet'!F26="COS","Proposed Distribution Rates","Current Approved Distribution Rates")</f>
        <v>Current Approved Distribution Rates</v>
      </c>
      <c r="H15" s="477"/>
      <c r="I15" s="477"/>
    </row>
    <row r="16" spans="1:9" ht="64.5" customHeight="1" x14ac:dyDescent="0.25">
      <c r="A16" s="107" t="s">
        <v>593</v>
      </c>
      <c r="B16" s="190" t="s">
        <v>26</v>
      </c>
      <c r="C16" s="191" t="s">
        <v>594</v>
      </c>
      <c r="D16" s="192" t="s">
        <v>595</v>
      </c>
      <c r="E16" s="192" t="s">
        <v>596</v>
      </c>
      <c r="F16" s="193"/>
      <c r="G16" s="194" t="s">
        <v>597</v>
      </c>
      <c r="H16" s="195" t="s">
        <v>598</v>
      </c>
      <c r="I16" s="196" t="s">
        <v>599</v>
      </c>
    </row>
    <row r="17" spans="1:9" ht="15.75" thickBot="1" x14ac:dyDescent="0.3">
      <c r="A17" s="1" t="s">
        <v>77</v>
      </c>
      <c r="B17" s="387" t="s">
        <v>41</v>
      </c>
      <c r="C17" s="384">
        <v>154770</v>
      </c>
      <c r="D17" s="372">
        <v>1338716137.0932236</v>
      </c>
      <c r="E17" s="372"/>
      <c r="F17" s="369"/>
      <c r="G17" s="375">
        <v>24.71</v>
      </c>
      <c r="H17" s="376"/>
      <c r="I17" s="377"/>
    </row>
    <row r="18" spans="1:9" ht="15.75" thickBot="1" x14ac:dyDescent="0.3">
      <c r="A18" s="1" t="s">
        <v>86</v>
      </c>
      <c r="B18" s="388" t="s">
        <v>41</v>
      </c>
      <c r="C18" s="385">
        <v>9733</v>
      </c>
      <c r="D18" s="373">
        <v>350101690.2006948</v>
      </c>
      <c r="E18" s="373"/>
      <c r="F18" s="370"/>
      <c r="G18" s="378">
        <v>26.09</v>
      </c>
      <c r="H18" s="379">
        <v>1.7399999999999999E-2</v>
      </c>
      <c r="I18" s="380"/>
    </row>
    <row r="19" spans="1:9" ht="15.75" thickBot="1" x14ac:dyDescent="0.3">
      <c r="A19" s="1" t="s">
        <v>219</v>
      </c>
      <c r="B19" s="388" t="s">
        <v>51</v>
      </c>
      <c r="C19" s="385">
        <v>1620</v>
      </c>
      <c r="D19" s="373">
        <v>1119807677.0631137</v>
      </c>
      <c r="E19" s="373">
        <v>3087734</v>
      </c>
      <c r="F19" s="370"/>
      <c r="G19" s="378">
        <v>130.16</v>
      </c>
      <c r="H19" s="379"/>
      <c r="I19" s="380">
        <v>2.9479000000000002</v>
      </c>
    </row>
    <row r="20" spans="1:9" ht="15.75" thickBot="1" x14ac:dyDescent="0.3">
      <c r="A20" s="1" t="s">
        <v>225</v>
      </c>
      <c r="B20" s="388" t="s">
        <v>51</v>
      </c>
      <c r="C20" s="385">
        <v>105</v>
      </c>
      <c r="D20" s="373">
        <v>834408608.75273895</v>
      </c>
      <c r="E20" s="373">
        <v>1951568</v>
      </c>
      <c r="F20" s="370"/>
      <c r="G20" s="378">
        <v>1174.3399999999999</v>
      </c>
      <c r="H20" s="379"/>
      <c r="I20" s="380">
        <v>3.4220999999999999</v>
      </c>
    </row>
    <row r="21" spans="1:9" ht="15.75" thickBot="1" x14ac:dyDescent="0.3">
      <c r="A21" s="1" t="s">
        <v>116</v>
      </c>
      <c r="B21" s="388" t="s">
        <v>51</v>
      </c>
      <c r="C21" s="385">
        <v>6</v>
      </c>
      <c r="D21" s="373">
        <v>347102418.30584443</v>
      </c>
      <c r="E21" s="373">
        <v>656588.31958770775</v>
      </c>
      <c r="F21" s="370"/>
      <c r="G21" s="378">
        <v>4886.67</v>
      </c>
      <c r="H21" s="379"/>
      <c r="I21" s="380">
        <v>2.5909</v>
      </c>
    </row>
    <row r="22" spans="1:9" ht="15.75" thickBot="1" x14ac:dyDescent="0.3">
      <c r="A22" s="1" t="s">
        <v>123</v>
      </c>
      <c r="B22" s="388" t="s">
        <v>41</v>
      </c>
      <c r="C22" s="385">
        <v>1556</v>
      </c>
      <c r="D22" s="373">
        <v>6563290.3233262245</v>
      </c>
      <c r="E22" s="373"/>
      <c r="F22" s="370"/>
      <c r="G22" s="378">
        <v>1.1299999999999999</v>
      </c>
      <c r="H22" s="379">
        <v>2.0500000000000001E-2</v>
      </c>
      <c r="I22" s="380"/>
    </row>
    <row r="23" spans="1:9" ht="15.75" thickBot="1" x14ac:dyDescent="0.3">
      <c r="A23" s="1" t="s">
        <v>68</v>
      </c>
      <c r="B23" s="388" t="s">
        <v>51</v>
      </c>
      <c r="C23" s="385">
        <v>20988</v>
      </c>
      <c r="D23" s="373">
        <v>30181776.056474227</v>
      </c>
      <c r="E23" s="373">
        <v>86164.394</v>
      </c>
      <c r="F23" s="370"/>
      <c r="G23" s="378">
        <v>2.39</v>
      </c>
      <c r="H23" s="379"/>
      <c r="I23" s="380">
        <v>11.9826</v>
      </c>
    </row>
    <row r="24" spans="1:9" ht="15.75" thickBot="1" x14ac:dyDescent="0.3">
      <c r="A24" s="1" t="s">
        <v>45</v>
      </c>
      <c r="B24" s="388" t="s">
        <v>41</v>
      </c>
      <c r="C24" s="385">
        <v>1</v>
      </c>
      <c r="D24" s="373">
        <f>15915.06977652</f>
        <v>15915.06977652</v>
      </c>
      <c r="E24" s="373">
        <v>0</v>
      </c>
      <c r="F24" s="370"/>
      <c r="G24" s="378">
        <v>4319.84</v>
      </c>
      <c r="H24" s="379"/>
      <c r="I24" s="380"/>
    </row>
    <row r="25" spans="1:9" ht="15.75" thickBot="1" x14ac:dyDescent="0.3">
      <c r="A25" s="1" t="s">
        <v>33</v>
      </c>
      <c r="B25" s="388" t="s">
        <v>41</v>
      </c>
      <c r="C25" s="385">
        <v>134</v>
      </c>
      <c r="D25" s="373">
        <v>293427.26428778644</v>
      </c>
      <c r="E25" s="373"/>
      <c r="F25" s="370"/>
      <c r="G25" s="378">
        <v>107.97</v>
      </c>
      <c r="H25" s="379"/>
      <c r="I25" s="380"/>
    </row>
    <row r="26" spans="1:9" ht="15.75" thickBot="1" x14ac:dyDescent="0.3">
      <c r="A26" s="1" t="s">
        <v>143</v>
      </c>
      <c r="B26" s="388" t="s">
        <v>51</v>
      </c>
      <c r="C26" s="386"/>
      <c r="D26" s="374"/>
      <c r="E26" s="374"/>
      <c r="F26" s="371"/>
      <c r="G26" s="381"/>
      <c r="H26" s="382"/>
      <c r="I26" s="383">
        <v>1.7424999999999999</v>
      </c>
    </row>
    <row r="27" spans="1:9" x14ac:dyDescent="0.25">
      <c r="G27" s="287"/>
      <c r="H27" s="287"/>
      <c r="I27" s="287"/>
    </row>
  </sheetData>
  <sheetProtection password="F8BD" sheet="1" objects="1" scenarios="1"/>
  <mergeCells count="3">
    <mergeCell ref="A13:E13"/>
    <mergeCell ref="C15:E15"/>
    <mergeCell ref="G15:I15"/>
  </mergeCells>
  <dataValidations count="1">
    <dataValidation type="list" allowBlank="1" showInputMessage="1" showErrorMessage="1" sqref="B17:B26" xr:uid="{6D7AA11F-5EE0-4611-96E7-0ACD6A0DCB5D}">
      <formula1>Units1</formula1>
    </dataValidation>
  </dataValidations>
  <pageMargins left="0.7" right="0.7" top="0.75" bottom="0.75" header="0.3" footer="0.3"/>
  <pageSetup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2:Z50"/>
  <sheetViews>
    <sheetView showGridLines="0" zoomScaleNormal="100" workbookViewId="0">
      <selection activeCell="A17" sqref="A17:S27"/>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8" t="str">
        <f>IF('1. Information Sheet'!F26="COS", "Calculation of " &amp; '1. Information Sheet'!M26 &amp; " Revenue Requirement.  No input required.", "Calculation of pro forma " &amp; '1. Information Sheet'!F34 &amp; " Revenues.  No input required.")</f>
        <v>Calculation of pro forma 2015 Revenues.  No input required.</v>
      </c>
    </row>
    <row r="14" spans="1:26" ht="21.75" thickBot="1" x14ac:dyDescent="0.3">
      <c r="C14" s="478" t="str">
        <f>'3. Growth Factor - NUM_CALC1'!C15</f>
        <v>2019 Actual Distribution Demand</v>
      </c>
      <c r="D14" s="478"/>
      <c r="E14" s="478"/>
      <c r="F14" s="109"/>
      <c r="G14" s="478" t="str">
        <f>'3. Growth Factor - NUM_CALC1'!G15:I15</f>
        <v>Current Approved Distribution Rates</v>
      </c>
      <c r="H14" s="478"/>
      <c r="I14" s="478"/>
    </row>
    <row r="15" spans="1:26" s="113" customFormat="1" ht="63" x14ac:dyDescent="0.25">
      <c r="A15" s="110" t="s">
        <v>593</v>
      </c>
      <c r="B15" s="111"/>
      <c r="C15" s="112" t="s">
        <v>594</v>
      </c>
      <c r="D15" s="112" t="s">
        <v>595</v>
      </c>
      <c r="E15" s="112" t="s">
        <v>596</v>
      </c>
      <c r="F15" s="112"/>
      <c r="G15" s="112" t="s">
        <v>597</v>
      </c>
      <c r="H15" s="112" t="s">
        <v>598</v>
      </c>
      <c r="I15" s="112" t="s">
        <v>599</v>
      </c>
      <c r="J15" s="112"/>
      <c r="K15" s="112" t="s">
        <v>601</v>
      </c>
      <c r="L15" s="112" t="s">
        <v>602</v>
      </c>
      <c r="M15" s="112" t="s">
        <v>603</v>
      </c>
      <c r="N15" s="112" t="s">
        <v>604</v>
      </c>
      <c r="O15" s="112"/>
      <c r="P15" s="112" t="s">
        <v>605</v>
      </c>
      <c r="Q15" s="112" t="s">
        <v>606</v>
      </c>
      <c r="R15" s="112" t="s">
        <v>607</v>
      </c>
      <c r="S15" s="112" t="s">
        <v>608</v>
      </c>
    </row>
    <row r="16" spans="1:26" s="119" customFormat="1" ht="15.75" x14ac:dyDescent="0.25">
      <c r="A16" s="114"/>
      <c r="B16" s="115"/>
      <c r="C16" s="115" t="s">
        <v>618</v>
      </c>
      <c r="D16" s="115" t="s">
        <v>620</v>
      </c>
      <c r="E16" s="115" t="s">
        <v>622</v>
      </c>
      <c r="F16" s="115"/>
      <c r="G16" s="115" t="s">
        <v>609</v>
      </c>
      <c r="H16" s="115" t="s">
        <v>610</v>
      </c>
      <c r="I16" s="115" t="s">
        <v>611</v>
      </c>
      <c r="J16" s="115"/>
      <c r="K16" s="116" t="s">
        <v>627</v>
      </c>
      <c r="L16" s="116" t="s">
        <v>745</v>
      </c>
      <c r="M16" s="116" t="s">
        <v>631</v>
      </c>
      <c r="N16" s="116" t="s">
        <v>633</v>
      </c>
      <c r="O16" s="115"/>
      <c r="P16" s="117" t="s">
        <v>612</v>
      </c>
      <c r="Q16" s="117" t="s">
        <v>613</v>
      </c>
      <c r="R16" s="117" t="s">
        <v>614</v>
      </c>
      <c r="S16" s="117" t="s">
        <v>746</v>
      </c>
      <c r="T16" s="118"/>
      <c r="U16" s="118"/>
      <c r="V16" s="118"/>
      <c r="W16" s="118"/>
      <c r="X16" s="118"/>
      <c r="Y16" s="118"/>
      <c r="Z16" s="118"/>
    </row>
    <row r="17" spans="1:26" x14ac:dyDescent="0.25">
      <c r="A17" s="389" t="s">
        <v>77</v>
      </c>
      <c r="B17" s="389"/>
      <c r="C17" s="390">
        <f>'3. Growth Factor - NUM_CALC1'!C17</f>
        <v>154770</v>
      </c>
      <c r="D17" s="390">
        <f>'3. Growth Factor - NUM_CALC1'!D17</f>
        <v>1338716137.0932236</v>
      </c>
      <c r="E17" s="390">
        <f>'3. Growth Factor - NUM_CALC1'!E17</f>
        <v>0</v>
      </c>
      <c r="F17" s="391"/>
      <c r="G17" s="392">
        <f>'3. Growth Factor - NUM_CALC1'!G17</f>
        <v>24.71</v>
      </c>
      <c r="H17" s="393">
        <f>'3. Growth Factor - NUM_CALC1'!H17</f>
        <v>0</v>
      </c>
      <c r="I17" s="393">
        <f>'3. Growth Factor - NUM_CALC1'!I17</f>
        <v>0</v>
      </c>
      <c r="J17" s="389"/>
      <c r="K17" s="394">
        <f t="shared" ref="K17:K26" si="0">G17*C17*12</f>
        <v>45892400.400000006</v>
      </c>
      <c r="L17" s="394">
        <f t="shared" ref="L17:L26" si="1">H17*D17</f>
        <v>0</v>
      </c>
      <c r="M17" s="394">
        <f t="shared" ref="M17:M26" si="2">I17*E17</f>
        <v>0</v>
      </c>
      <c r="N17" s="394">
        <f t="shared" ref="N17:N26" si="3">SUM(K17,L17,M17)</f>
        <v>45892400.400000006</v>
      </c>
      <c r="O17" s="389"/>
      <c r="P17" s="395">
        <f t="shared" ref="P17:P26" si="4">IF(ISERROR(K17/N17),0,ROUND(K17/N17,3))</f>
        <v>1</v>
      </c>
      <c r="Q17" s="395">
        <f t="shared" ref="Q17:Q26" si="5">IF(ISERROR(L17/N17),0,ROUND(L17/N17,3))</f>
        <v>0</v>
      </c>
      <c r="R17" s="395">
        <f t="shared" ref="R17:R26" si="6">IF(ISERROR(M17/N17),0,ROUND(M17/N17,3))</f>
        <v>0</v>
      </c>
      <c r="S17" s="395">
        <f>N17/N27</f>
        <v>0.58172164423979122</v>
      </c>
    </row>
    <row r="18" spans="1:26" x14ac:dyDescent="0.25">
      <c r="A18" s="158" t="s">
        <v>86</v>
      </c>
      <c r="B18" s="158"/>
      <c r="C18" s="396">
        <f>'3. Growth Factor - NUM_CALC1'!C18</f>
        <v>9733</v>
      </c>
      <c r="D18" s="396">
        <f>'3. Growth Factor - NUM_CALC1'!D18</f>
        <v>350101690.2006948</v>
      </c>
      <c r="E18" s="396">
        <f>'3. Growth Factor - NUM_CALC1'!E18</f>
        <v>0</v>
      </c>
      <c r="F18" s="159"/>
      <c r="G18" s="397">
        <f>'3. Growth Factor - NUM_CALC1'!G18</f>
        <v>26.09</v>
      </c>
      <c r="H18" s="398">
        <f>'3. Growth Factor - NUM_CALC1'!H18</f>
        <v>1.7399999999999999E-2</v>
      </c>
      <c r="I18" s="398">
        <f>'3. Growth Factor - NUM_CALC1'!I18</f>
        <v>0</v>
      </c>
      <c r="J18" s="158"/>
      <c r="K18" s="399">
        <f t="shared" si="0"/>
        <v>3047207.64</v>
      </c>
      <c r="L18" s="399">
        <f t="shared" si="1"/>
        <v>6091769.4094920894</v>
      </c>
      <c r="M18" s="399">
        <f t="shared" si="2"/>
        <v>0</v>
      </c>
      <c r="N18" s="399">
        <f t="shared" si="3"/>
        <v>9138977.0494920891</v>
      </c>
      <c r="O18" s="158"/>
      <c r="P18" s="161">
        <f t="shared" si="4"/>
        <v>0.33300000000000002</v>
      </c>
      <c r="Q18" s="161">
        <f t="shared" si="5"/>
        <v>0.66700000000000004</v>
      </c>
      <c r="R18" s="161">
        <f t="shared" si="6"/>
        <v>0</v>
      </c>
      <c r="S18" s="161">
        <f>N18/N27</f>
        <v>0.11584359740529618</v>
      </c>
    </row>
    <row r="19" spans="1:26" x14ac:dyDescent="0.25">
      <c r="A19" s="158" t="s">
        <v>219</v>
      </c>
      <c r="B19" s="158"/>
      <c r="C19" s="396">
        <f>'3. Growth Factor - NUM_CALC1'!C19</f>
        <v>1620</v>
      </c>
      <c r="D19" s="396">
        <f>'3. Growth Factor - NUM_CALC1'!D19</f>
        <v>1119807677.0631137</v>
      </c>
      <c r="E19" s="396">
        <f>'3. Growth Factor - NUM_CALC1'!E19</f>
        <v>3087734</v>
      </c>
      <c r="F19" s="159"/>
      <c r="G19" s="397">
        <f>'3. Growth Factor - NUM_CALC1'!G19</f>
        <v>130.16</v>
      </c>
      <c r="H19" s="398">
        <f>'3. Growth Factor - NUM_CALC1'!H19</f>
        <v>0</v>
      </c>
      <c r="I19" s="398">
        <f>'3. Growth Factor - NUM_CALC1'!I19</f>
        <v>2.9479000000000002</v>
      </c>
      <c r="J19" s="158"/>
      <c r="K19" s="399">
        <f t="shared" si="0"/>
        <v>2530310.4</v>
      </c>
      <c r="L19" s="399">
        <f t="shared" si="1"/>
        <v>0</v>
      </c>
      <c r="M19" s="399">
        <f t="shared" si="2"/>
        <v>9102331.058600001</v>
      </c>
      <c r="N19" s="399">
        <f t="shared" si="3"/>
        <v>11632641.458600001</v>
      </c>
      <c r="O19" s="158"/>
      <c r="P19" s="161">
        <f t="shared" si="4"/>
        <v>0.218</v>
      </c>
      <c r="Q19" s="161">
        <f t="shared" si="5"/>
        <v>0</v>
      </c>
      <c r="R19" s="161">
        <f t="shared" si="6"/>
        <v>0.78200000000000003</v>
      </c>
      <c r="S19" s="161">
        <f>N19/N27</f>
        <v>0.14745272108601135</v>
      </c>
    </row>
    <row r="20" spans="1:26" x14ac:dyDescent="0.25">
      <c r="A20" s="158" t="s">
        <v>225</v>
      </c>
      <c r="B20" s="158"/>
      <c r="C20" s="396">
        <f>'3. Growth Factor - NUM_CALC1'!C20</f>
        <v>105</v>
      </c>
      <c r="D20" s="396">
        <f>'3. Growth Factor - NUM_CALC1'!D20</f>
        <v>834408608.75273895</v>
      </c>
      <c r="E20" s="396">
        <f>'3. Growth Factor - NUM_CALC1'!E20</f>
        <v>1951568</v>
      </c>
      <c r="F20" s="159"/>
      <c r="G20" s="397">
        <f>'3. Growth Factor - NUM_CALC1'!G20</f>
        <v>1174.3399999999999</v>
      </c>
      <c r="H20" s="398">
        <f>'3. Growth Factor - NUM_CALC1'!H20</f>
        <v>0</v>
      </c>
      <c r="I20" s="398">
        <f>'3. Growth Factor - NUM_CALC1'!I20</f>
        <v>3.4220999999999999</v>
      </c>
      <c r="J20" s="158"/>
      <c r="K20" s="399">
        <f t="shared" si="0"/>
        <v>1479668.4</v>
      </c>
      <c r="L20" s="399">
        <f t="shared" si="1"/>
        <v>0</v>
      </c>
      <c r="M20" s="399">
        <f t="shared" si="2"/>
        <v>6678460.8527999995</v>
      </c>
      <c r="N20" s="399">
        <f t="shared" si="3"/>
        <v>8158129.252799999</v>
      </c>
      <c r="O20" s="158"/>
      <c r="P20" s="161">
        <f t="shared" si="4"/>
        <v>0.18099999999999999</v>
      </c>
      <c r="Q20" s="161">
        <f t="shared" si="5"/>
        <v>0</v>
      </c>
      <c r="R20" s="161">
        <f t="shared" si="6"/>
        <v>0.81899999999999995</v>
      </c>
      <c r="S20" s="161">
        <f>N20/N27</f>
        <v>0.10341059350775546</v>
      </c>
    </row>
    <row r="21" spans="1:26" x14ac:dyDescent="0.25">
      <c r="A21" s="158" t="s">
        <v>116</v>
      </c>
      <c r="B21" s="158"/>
      <c r="C21" s="396">
        <f>'3. Growth Factor - NUM_CALC1'!C21</f>
        <v>6</v>
      </c>
      <c r="D21" s="396">
        <f>'3. Growth Factor - NUM_CALC1'!D21</f>
        <v>347102418.30584443</v>
      </c>
      <c r="E21" s="396">
        <f>'3. Growth Factor - NUM_CALC1'!E21</f>
        <v>656588.31958770775</v>
      </c>
      <c r="F21" s="159"/>
      <c r="G21" s="397">
        <f>'3. Growth Factor - NUM_CALC1'!G21</f>
        <v>4886.67</v>
      </c>
      <c r="H21" s="398">
        <f>'3. Growth Factor - NUM_CALC1'!H21</f>
        <v>0</v>
      </c>
      <c r="I21" s="398">
        <f>'3. Growth Factor - NUM_CALC1'!I21</f>
        <v>2.5909</v>
      </c>
      <c r="J21" s="158"/>
      <c r="K21" s="399">
        <f t="shared" si="0"/>
        <v>351840.24</v>
      </c>
      <c r="L21" s="399">
        <f t="shared" si="1"/>
        <v>0</v>
      </c>
      <c r="M21" s="399">
        <f t="shared" si="2"/>
        <v>1701154.677219792</v>
      </c>
      <c r="N21" s="399">
        <f t="shared" si="3"/>
        <v>2052994.917219792</v>
      </c>
      <c r="O21" s="158"/>
      <c r="P21" s="161">
        <f t="shared" si="4"/>
        <v>0.17100000000000001</v>
      </c>
      <c r="Q21" s="161">
        <f t="shared" si="5"/>
        <v>0</v>
      </c>
      <c r="R21" s="161">
        <f t="shared" si="6"/>
        <v>0.82899999999999996</v>
      </c>
      <c r="S21" s="161">
        <f>N21/N27</f>
        <v>2.6023297287823526E-2</v>
      </c>
    </row>
    <row r="22" spans="1:26" x14ac:dyDescent="0.25">
      <c r="A22" s="158" t="s">
        <v>123</v>
      </c>
      <c r="B22" s="158"/>
      <c r="C22" s="396">
        <f>'3. Growth Factor - NUM_CALC1'!C22</f>
        <v>1556</v>
      </c>
      <c r="D22" s="396">
        <f>'3. Growth Factor - NUM_CALC1'!D22</f>
        <v>6563290.3233262245</v>
      </c>
      <c r="E22" s="396">
        <f>'3. Growth Factor - NUM_CALC1'!E22</f>
        <v>0</v>
      </c>
      <c r="F22" s="159"/>
      <c r="G22" s="397">
        <f>'3. Growth Factor - NUM_CALC1'!G22</f>
        <v>1.1299999999999999</v>
      </c>
      <c r="H22" s="398">
        <f>'3. Growth Factor - NUM_CALC1'!H22</f>
        <v>2.0500000000000001E-2</v>
      </c>
      <c r="I22" s="398">
        <f>'3. Growth Factor - NUM_CALC1'!I22</f>
        <v>0</v>
      </c>
      <c r="J22" s="158"/>
      <c r="K22" s="399">
        <f t="shared" si="0"/>
        <v>21099.359999999997</v>
      </c>
      <c r="L22" s="399">
        <f t="shared" si="1"/>
        <v>134547.45162818761</v>
      </c>
      <c r="M22" s="399">
        <f t="shared" si="2"/>
        <v>0</v>
      </c>
      <c r="N22" s="399">
        <f t="shared" si="3"/>
        <v>155646.8116281876</v>
      </c>
      <c r="O22" s="158"/>
      <c r="P22" s="161">
        <f t="shared" si="4"/>
        <v>0.13600000000000001</v>
      </c>
      <c r="Q22" s="161">
        <f t="shared" si="5"/>
        <v>0.86399999999999999</v>
      </c>
      <c r="R22" s="161">
        <f t="shared" si="6"/>
        <v>0</v>
      </c>
      <c r="S22" s="161">
        <f>N22/N27</f>
        <v>1.9729436331909615E-3</v>
      </c>
    </row>
    <row r="23" spans="1:26" x14ac:dyDescent="0.25">
      <c r="A23" s="158" t="s">
        <v>68</v>
      </c>
      <c r="B23" s="158"/>
      <c r="C23" s="396">
        <f>'3. Growth Factor - NUM_CALC1'!C23</f>
        <v>20988</v>
      </c>
      <c r="D23" s="396">
        <f>'3. Growth Factor - NUM_CALC1'!D23</f>
        <v>30181776.056474227</v>
      </c>
      <c r="E23" s="396">
        <f>'3. Growth Factor - NUM_CALC1'!E23</f>
        <v>86164.394</v>
      </c>
      <c r="F23" s="159"/>
      <c r="G23" s="397">
        <f>'3. Growth Factor - NUM_CALC1'!G23</f>
        <v>2.39</v>
      </c>
      <c r="H23" s="398">
        <f>'3. Growth Factor - NUM_CALC1'!H23</f>
        <v>0</v>
      </c>
      <c r="I23" s="398">
        <f>'3. Growth Factor - NUM_CALC1'!I23</f>
        <v>11.9826</v>
      </c>
      <c r="J23" s="158"/>
      <c r="K23" s="399">
        <f t="shared" si="0"/>
        <v>601935.84</v>
      </c>
      <c r="L23" s="399">
        <f t="shared" si="1"/>
        <v>0</v>
      </c>
      <c r="M23" s="399">
        <f t="shared" si="2"/>
        <v>1032473.4675444</v>
      </c>
      <c r="N23" s="399">
        <f t="shared" si="3"/>
        <v>1634409.3075444</v>
      </c>
      <c r="O23" s="158"/>
      <c r="P23" s="161">
        <f t="shared" si="4"/>
        <v>0.36799999999999999</v>
      </c>
      <c r="Q23" s="161">
        <f t="shared" si="5"/>
        <v>0</v>
      </c>
      <c r="R23" s="161">
        <f t="shared" si="6"/>
        <v>0.63200000000000001</v>
      </c>
      <c r="S23" s="161">
        <f>N23/N27</f>
        <v>2.0717401170097585E-2</v>
      </c>
    </row>
    <row r="24" spans="1:26" x14ac:dyDescent="0.25">
      <c r="A24" s="158" t="s">
        <v>45</v>
      </c>
      <c r="B24" s="158"/>
      <c r="C24" s="396">
        <f>'3. Growth Factor - NUM_CALC1'!C24</f>
        <v>1</v>
      </c>
      <c r="D24" s="396">
        <f>'3. Growth Factor - NUM_CALC1'!D24</f>
        <v>15915.06977652</v>
      </c>
      <c r="E24" s="396">
        <f>'3. Growth Factor - NUM_CALC1'!E24</f>
        <v>0</v>
      </c>
      <c r="F24" s="159"/>
      <c r="G24" s="397">
        <f>'3. Growth Factor - NUM_CALC1'!G24</f>
        <v>4319.84</v>
      </c>
      <c r="H24" s="398">
        <f>'3. Growth Factor - NUM_CALC1'!H24</f>
        <v>0</v>
      </c>
      <c r="I24" s="398">
        <f>'3. Growth Factor - NUM_CALC1'!I24</f>
        <v>0</v>
      </c>
      <c r="J24" s="158"/>
      <c r="K24" s="399">
        <f t="shared" si="0"/>
        <v>51838.080000000002</v>
      </c>
      <c r="L24" s="399">
        <f t="shared" si="1"/>
        <v>0</v>
      </c>
      <c r="M24" s="399">
        <f t="shared" si="2"/>
        <v>0</v>
      </c>
      <c r="N24" s="399">
        <f t="shared" si="3"/>
        <v>51838.080000000002</v>
      </c>
      <c r="O24" s="158"/>
      <c r="P24" s="161">
        <f t="shared" si="4"/>
        <v>1</v>
      </c>
      <c r="Q24" s="161">
        <f t="shared" si="5"/>
        <v>0</v>
      </c>
      <c r="R24" s="161">
        <f t="shared" si="6"/>
        <v>0</v>
      </c>
      <c r="S24" s="161">
        <f>N24/N27</f>
        <v>6.5708772844738433E-4</v>
      </c>
    </row>
    <row r="25" spans="1:26" x14ac:dyDescent="0.25">
      <c r="A25" s="158" t="s">
        <v>33</v>
      </c>
      <c r="B25" s="158"/>
      <c r="C25" s="396">
        <f>'3. Growth Factor - NUM_CALC1'!C25</f>
        <v>134</v>
      </c>
      <c r="D25" s="396">
        <f>'3. Growth Factor - NUM_CALC1'!D25</f>
        <v>293427.26428778644</v>
      </c>
      <c r="E25" s="396">
        <f>'3. Growth Factor - NUM_CALC1'!E25</f>
        <v>0</v>
      </c>
      <c r="F25" s="159"/>
      <c r="G25" s="397">
        <f>'3. Growth Factor - NUM_CALC1'!G25</f>
        <v>107.97</v>
      </c>
      <c r="H25" s="398">
        <f>'3. Growth Factor - NUM_CALC1'!H25</f>
        <v>0</v>
      </c>
      <c r="I25" s="398">
        <f>'3. Growth Factor - NUM_CALC1'!I25</f>
        <v>0</v>
      </c>
      <c r="J25" s="158"/>
      <c r="K25" s="399">
        <f t="shared" si="0"/>
        <v>173615.76</v>
      </c>
      <c r="L25" s="399">
        <f t="shared" si="1"/>
        <v>0</v>
      </c>
      <c r="M25" s="399">
        <f t="shared" si="2"/>
        <v>0</v>
      </c>
      <c r="N25" s="399">
        <f t="shared" si="3"/>
        <v>173615.76</v>
      </c>
      <c r="O25" s="158"/>
      <c r="P25" s="161">
        <f t="shared" si="4"/>
        <v>1</v>
      </c>
      <c r="Q25" s="161">
        <f t="shared" si="5"/>
        <v>0</v>
      </c>
      <c r="R25" s="161">
        <f t="shared" si="6"/>
        <v>0</v>
      </c>
      <c r="S25" s="161">
        <f>N25/N27</f>
        <v>2.2007139415863059E-3</v>
      </c>
    </row>
    <row r="26" spans="1:26" x14ac:dyDescent="0.25">
      <c r="A26" s="158" t="s">
        <v>143</v>
      </c>
      <c r="B26" s="158"/>
      <c r="C26" s="396">
        <f>'3. Growth Factor - NUM_CALC1'!C26</f>
        <v>0</v>
      </c>
      <c r="D26" s="396">
        <f>'3. Growth Factor - NUM_CALC1'!D26</f>
        <v>0</v>
      </c>
      <c r="E26" s="396">
        <f>'3. Growth Factor - NUM_CALC1'!E26</f>
        <v>0</v>
      </c>
      <c r="F26" s="159"/>
      <c r="G26" s="397">
        <f>'3. Growth Factor - NUM_CALC1'!G26</f>
        <v>0</v>
      </c>
      <c r="H26" s="398">
        <f>'3. Growth Factor - NUM_CALC1'!H26</f>
        <v>0</v>
      </c>
      <c r="I26" s="398">
        <f>'3. Growth Factor - NUM_CALC1'!I26</f>
        <v>1.7424999999999999</v>
      </c>
      <c r="J26" s="158"/>
      <c r="K26" s="399">
        <f t="shared" si="0"/>
        <v>0</v>
      </c>
      <c r="L26" s="399">
        <f t="shared" si="1"/>
        <v>0</v>
      </c>
      <c r="M26" s="399">
        <f t="shared" si="2"/>
        <v>0</v>
      </c>
      <c r="N26" s="399">
        <f t="shared" si="3"/>
        <v>0</v>
      </c>
      <c r="O26" s="158"/>
      <c r="P26" s="161">
        <f t="shared" si="4"/>
        <v>0</v>
      </c>
      <c r="Q26" s="161">
        <f t="shared" si="5"/>
        <v>0</v>
      </c>
      <c r="R26" s="161">
        <f t="shared" si="6"/>
        <v>0</v>
      </c>
      <c r="S26" s="161">
        <f>N26/N27</f>
        <v>0</v>
      </c>
    </row>
    <row r="27" spans="1:26" x14ac:dyDescent="0.25">
      <c r="A27" s="120" t="s">
        <v>767</v>
      </c>
      <c r="B27" s="120"/>
      <c r="C27" s="400">
        <f>SUM(C17:C26)</f>
        <v>188913</v>
      </c>
      <c r="D27" s="400">
        <f>SUM(D17:D26)</f>
        <v>4027190940.1294799</v>
      </c>
      <c r="E27" s="400">
        <f>SUM(E17:E26)</f>
        <v>5782054.7135877078</v>
      </c>
      <c r="F27" s="121"/>
      <c r="G27" s="121"/>
      <c r="H27" s="121"/>
      <c r="I27" s="121"/>
      <c r="J27" s="120"/>
      <c r="K27" s="122">
        <f>SUM(K17:K26)</f>
        <v>54149916.120000005</v>
      </c>
      <c r="L27" s="122">
        <f>SUM(L17:L26)</f>
        <v>6226316.8611202771</v>
      </c>
      <c r="M27" s="122">
        <f>SUM(M17:M26)</f>
        <v>18514420.056164194</v>
      </c>
      <c r="N27" s="122">
        <f>SUM(N17:N26)</f>
        <v>78890653.037284479</v>
      </c>
      <c r="O27" s="120"/>
      <c r="P27" s="123"/>
      <c r="Q27" s="123"/>
      <c r="R27" s="123"/>
      <c r="S27" s="123">
        <f>SUM(S17:S26)</f>
        <v>1</v>
      </c>
      <c r="T27" s="118"/>
      <c r="U27" s="118"/>
      <c r="V27" s="118"/>
      <c r="W27" s="118"/>
      <c r="X27" s="118"/>
      <c r="Y27" s="118"/>
      <c r="Z27" s="118"/>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F8BD"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101"/>
  <sheetViews>
    <sheetView showGridLines="0" topLeftCell="A7" zoomScaleNormal="100" workbookViewId="0">
      <selection activeCell="E62" sqref="E62"/>
    </sheetView>
  </sheetViews>
  <sheetFormatPr defaultColWidth="9.140625" defaultRowHeight="15" customHeight="1" zeroHeight="1" x14ac:dyDescent="0.2"/>
  <cols>
    <col min="1" max="1" width="70.140625" style="127" bestFit="1" customWidth="1"/>
    <col min="2" max="2" width="9.140625" style="127" customWidth="1"/>
    <col min="3" max="3" width="22.42578125" style="127" customWidth="1"/>
    <col min="4" max="4" width="3.5703125" style="127" customWidth="1"/>
    <col min="5" max="5" width="26.5703125" style="127" customWidth="1"/>
    <col min="6" max="6" width="23.5703125" style="157" bestFit="1" customWidth="1"/>
    <col min="7" max="7" width="26.5703125" style="127" customWidth="1"/>
    <col min="8" max="8" width="23.5703125" style="157" bestFit="1" customWidth="1"/>
    <col min="9" max="9" width="11.85546875" style="157" customWidth="1"/>
    <col min="10" max="11" width="11.42578125" style="127" customWidth="1"/>
    <col min="12" max="16384" width="9.140625" style="127"/>
  </cols>
  <sheetData>
    <row r="1" spans="1:11" ht="33.75" customHeight="1" x14ac:dyDescent="0.2">
      <c r="A1" s="125"/>
      <c r="B1" s="125"/>
      <c r="C1" s="125"/>
      <c r="D1" s="125"/>
      <c r="E1" s="125"/>
      <c r="F1" s="125"/>
      <c r="G1" s="125"/>
      <c r="H1" s="125"/>
      <c r="I1" s="126"/>
      <c r="J1" s="125"/>
      <c r="K1" s="125"/>
    </row>
    <row r="2" spans="1:11" s="125" customFormat="1" ht="33.75" customHeight="1" x14ac:dyDescent="0.25">
      <c r="C2" s="128"/>
      <c r="F2" s="126"/>
      <c r="H2" s="126"/>
      <c r="I2" s="126"/>
    </row>
    <row r="3" spans="1:11" s="125" customFormat="1" ht="33.75" customHeight="1" x14ac:dyDescent="0.25">
      <c r="C3" s="128"/>
      <c r="F3" s="126"/>
      <c r="H3" s="126"/>
      <c r="I3" s="126"/>
    </row>
    <row r="4" spans="1:11" s="125" customFormat="1" ht="33.75" customHeight="1" x14ac:dyDescent="0.25">
      <c r="C4" s="128"/>
      <c r="F4" s="126"/>
      <c r="H4" s="126"/>
      <c r="I4" s="126"/>
    </row>
    <row r="5" spans="1:11" s="125" customFormat="1" ht="18" x14ac:dyDescent="0.25">
      <c r="C5" s="128"/>
      <c r="F5" s="126"/>
      <c r="H5" s="126"/>
      <c r="I5" s="126"/>
    </row>
    <row r="6" spans="1:11" s="125" customFormat="1" ht="15.75" x14ac:dyDescent="0.25">
      <c r="A6" s="129"/>
      <c r="F6" s="126"/>
      <c r="H6" s="126"/>
      <c r="I6" s="126"/>
    </row>
    <row r="7" spans="1:11" s="125" customFormat="1" x14ac:dyDescent="0.2">
      <c r="F7" s="126"/>
      <c r="H7" s="126"/>
      <c r="I7" s="126"/>
    </row>
    <row r="8" spans="1:11" s="125" customFormat="1" ht="21" thickBot="1" x14ac:dyDescent="0.35">
      <c r="A8" s="130" t="s">
        <v>615</v>
      </c>
      <c r="B8" s="131"/>
      <c r="C8" s="479" t="str">
        <f>IF('1. Information Sheet'!F26="COS",CONCATENATE('1. Information Sheet'!M26," Test Year COS Rebasing"),CONCATENATE("Last COS Rebasing: ",'1. Information Sheet'!F34))</f>
        <v>Last COS Rebasing: 2015</v>
      </c>
      <c r="D8" s="479"/>
      <c r="E8" s="479"/>
      <c r="F8" s="479"/>
      <c r="G8" s="126"/>
    </row>
    <row r="9" spans="1:11" s="125" customFormat="1" ht="18" x14ac:dyDescent="0.25">
      <c r="A9" s="132" t="s">
        <v>616</v>
      </c>
      <c r="B9" s="131"/>
      <c r="C9" s="133"/>
      <c r="D9" s="133"/>
      <c r="E9" s="133"/>
      <c r="F9" s="133"/>
      <c r="G9" s="126"/>
    </row>
    <row r="10" spans="1:11" s="125" customFormat="1" x14ac:dyDescent="0.2">
      <c r="A10" s="134" t="s">
        <v>617</v>
      </c>
      <c r="B10" s="131"/>
      <c r="C10" s="185">
        <v>627821483.36671233</v>
      </c>
      <c r="D10" s="135" t="s">
        <v>618</v>
      </c>
      <c r="E10" s="136"/>
      <c r="F10" s="137"/>
      <c r="G10" s="126"/>
    </row>
    <row r="11" spans="1:11" s="125" customFormat="1" x14ac:dyDescent="0.2">
      <c r="A11" s="134" t="s">
        <v>619</v>
      </c>
      <c r="B11" s="131"/>
      <c r="C11" s="185"/>
      <c r="D11" s="135" t="s">
        <v>620</v>
      </c>
      <c r="E11" s="136"/>
      <c r="F11" s="137"/>
      <c r="G11" s="126"/>
    </row>
    <row r="12" spans="1:11" s="125" customFormat="1" x14ac:dyDescent="0.2">
      <c r="A12" s="134" t="s">
        <v>621</v>
      </c>
      <c r="B12" s="131"/>
      <c r="C12" s="185">
        <v>32518046.632332224</v>
      </c>
      <c r="D12" s="135" t="s">
        <v>622</v>
      </c>
      <c r="E12" s="136"/>
      <c r="F12" s="137"/>
      <c r="G12" s="126"/>
    </row>
    <row r="13" spans="1:11" s="125" customFormat="1" x14ac:dyDescent="0.2">
      <c r="A13" s="134" t="s">
        <v>623</v>
      </c>
      <c r="B13" s="131"/>
      <c r="C13" s="185">
        <v>-2963781</v>
      </c>
      <c r="D13" s="135" t="s">
        <v>609</v>
      </c>
      <c r="E13" s="136"/>
      <c r="F13" s="137"/>
      <c r="G13" s="126"/>
    </row>
    <row r="14" spans="1:11" s="125" customFormat="1" x14ac:dyDescent="0.2">
      <c r="A14" s="134" t="s">
        <v>624</v>
      </c>
      <c r="B14" s="131"/>
      <c r="C14" s="185"/>
      <c r="D14" s="138" t="s">
        <v>610</v>
      </c>
      <c r="E14" s="136"/>
      <c r="F14" s="137"/>
      <c r="G14" s="126"/>
    </row>
    <row r="15" spans="1:11" s="125" customFormat="1" x14ac:dyDescent="0.2">
      <c r="A15" s="134" t="s">
        <v>625</v>
      </c>
      <c r="B15" s="131"/>
      <c r="C15" s="185"/>
      <c r="D15" s="135" t="s">
        <v>611</v>
      </c>
      <c r="E15" s="136"/>
      <c r="F15" s="137"/>
      <c r="G15" s="126"/>
    </row>
    <row r="16" spans="1:11" s="125" customFormat="1" x14ac:dyDescent="0.2">
      <c r="A16" s="134" t="s">
        <v>626</v>
      </c>
      <c r="B16" s="131"/>
      <c r="C16" s="139">
        <f>SUM(C10:C15)</f>
        <v>657375748.99904454</v>
      </c>
      <c r="D16" s="140" t="s">
        <v>627</v>
      </c>
      <c r="E16" s="136"/>
      <c r="F16" s="135"/>
      <c r="G16" s="126"/>
    </row>
    <row r="17" spans="1:9" s="125" customFormat="1" x14ac:dyDescent="0.2">
      <c r="A17" s="134" t="s">
        <v>628</v>
      </c>
      <c r="B17" s="131"/>
      <c r="C17" s="141"/>
      <c r="D17" s="137"/>
      <c r="E17" s="139">
        <f>(C10+C16)/2</f>
        <v>642598616.18287849</v>
      </c>
      <c r="F17" s="142" t="s">
        <v>629</v>
      </c>
      <c r="G17" s="126"/>
    </row>
    <row r="18" spans="1:9" s="125" customFormat="1" x14ac:dyDescent="0.2">
      <c r="B18" s="131"/>
      <c r="C18" s="141"/>
      <c r="D18" s="137"/>
      <c r="E18" s="141"/>
      <c r="F18" s="135"/>
      <c r="G18" s="126"/>
    </row>
    <row r="19" spans="1:9" s="125" customFormat="1" x14ac:dyDescent="0.2">
      <c r="A19" s="134" t="s">
        <v>630</v>
      </c>
      <c r="B19" s="131"/>
      <c r="C19" s="185">
        <v>295604515.73879898</v>
      </c>
      <c r="D19" s="142" t="s">
        <v>631</v>
      </c>
      <c r="E19" s="141"/>
      <c r="F19" s="135"/>
      <c r="G19" s="126"/>
    </row>
    <row r="20" spans="1:9" s="125" customFormat="1" x14ac:dyDescent="0.2">
      <c r="A20" s="134" t="s">
        <v>632</v>
      </c>
      <c r="B20" s="131"/>
      <c r="C20" s="185">
        <v>15227318.503412399</v>
      </c>
      <c r="D20" s="142" t="s">
        <v>633</v>
      </c>
      <c r="E20" s="141"/>
      <c r="F20" s="135"/>
      <c r="G20" s="126"/>
      <c r="I20" s="143"/>
    </row>
    <row r="21" spans="1:9" s="125" customFormat="1" x14ac:dyDescent="0.2">
      <c r="A21" s="134" t="s">
        <v>634</v>
      </c>
      <c r="B21" s="131"/>
      <c r="C21" s="185">
        <v>-2191181</v>
      </c>
      <c r="D21" s="144" t="s">
        <v>635</v>
      </c>
      <c r="E21" s="141"/>
      <c r="F21" s="135"/>
      <c r="G21" s="126"/>
    </row>
    <row r="22" spans="1:9" s="125" customFormat="1" x14ac:dyDescent="0.2">
      <c r="A22" s="134" t="s">
        <v>636</v>
      </c>
      <c r="B22" s="131"/>
      <c r="C22" s="185"/>
      <c r="D22" s="135" t="s">
        <v>637</v>
      </c>
      <c r="E22" s="141"/>
      <c r="F22" s="135"/>
      <c r="G22" s="126"/>
    </row>
    <row r="23" spans="1:9" s="125" customFormat="1" x14ac:dyDescent="0.2">
      <c r="A23" s="134" t="s">
        <v>638</v>
      </c>
      <c r="B23" s="131"/>
      <c r="C23" s="139">
        <f>SUM(C19:C22)</f>
        <v>308640653.2422114</v>
      </c>
      <c r="D23" s="135" t="s">
        <v>639</v>
      </c>
      <c r="E23" s="141"/>
      <c r="F23" s="135"/>
      <c r="G23" s="126"/>
    </row>
    <row r="24" spans="1:9" s="125" customFormat="1" x14ac:dyDescent="0.2">
      <c r="A24" s="134" t="s">
        <v>640</v>
      </c>
      <c r="B24" s="131"/>
      <c r="C24" s="141"/>
      <c r="D24" s="137"/>
      <c r="E24" s="139">
        <f>SUM(C19,C23)/2</f>
        <v>302122584.49050522</v>
      </c>
      <c r="F24" s="135" t="s">
        <v>641</v>
      </c>
      <c r="G24" s="126"/>
    </row>
    <row r="25" spans="1:9" s="125" customFormat="1" x14ac:dyDescent="0.2">
      <c r="B25" s="131"/>
      <c r="C25" s="141"/>
      <c r="D25" s="137"/>
      <c r="E25" s="141"/>
      <c r="F25" s="137"/>
      <c r="G25" s="126"/>
    </row>
    <row r="26" spans="1:9" s="125" customFormat="1" ht="15.75" x14ac:dyDescent="0.25">
      <c r="A26" s="129" t="s">
        <v>642</v>
      </c>
      <c r="B26" s="131"/>
      <c r="C26" s="141"/>
      <c r="D26" s="137"/>
      <c r="E26" s="145">
        <f>E17-E24</f>
        <v>340476031.69237328</v>
      </c>
      <c r="F26" s="144" t="s">
        <v>643</v>
      </c>
      <c r="G26" s="126"/>
    </row>
    <row r="27" spans="1:9" s="125" customFormat="1" x14ac:dyDescent="0.2">
      <c r="B27" s="131"/>
      <c r="C27" s="141"/>
      <c r="D27" s="137"/>
      <c r="E27" s="141"/>
      <c r="F27" s="137"/>
      <c r="G27" s="126"/>
    </row>
    <row r="28" spans="1:9" s="125" customFormat="1" ht="15.75" x14ac:dyDescent="0.25">
      <c r="A28" s="129" t="s">
        <v>644</v>
      </c>
      <c r="B28" s="131"/>
      <c r="C28" s="141"/>
      <c r="D28" s="137"/>
      <c r="E28" s="136"/>
      <c r="F28" s="135"/>
      <c r="G28" s="126"/>
    </row>
    <row r="29" spans="1:9" s="125" customFormat="1" x14ac:dyDescent="0.2">
      <c r="A29" s="134" t="s">
        <v>645</v>
      </c>
      <c r="B29" s="131"/>
      <c r="C29" s="185">
        <v>493403770</v>
      </c>
      <c r="D29" s="146" t="s">
        <v>646</v>
      </c>
      <c r="E29" s="141"/>
      <c r="F29" s="137"/>
      <c r="G29" s="126"/>
    </row>
    <row r="30" spans="1:9" s="125" customFormat="1" x14ac:dyDescent="0.2">
      <c r="A30" s="134" t="s">
        <v>647</v>
      </c>
      <c r="B30" s="131"/>
      <c r="C30" s="186">
        <v>0.13</v>
      </c>
      <c r="D30" s="144" t="s">
        <v>648</v>
      </c>
      <c r="E30" s="141"/>
      <c r="F30" s="137"/>
      <c r="G30" s="126"/>
    </row>
    <row r="31" spans="1:9" s="125" customFormat="1" ht="15.75" x14ac:dyDescent="0.25">
      <c r="A31" s="129" t="s">
        <v>644</v>
      </c>
      <c r="B31" s="131"/>
      <c r="C31" s="141"/>
      <c r="D31" s="144"/>
      <c r="E31" s="145">
        <f>C29*C30</f>
        <v>64142490.100000001</v>
      </c>
      <c r="F31" s="135" t="s">
        <v>649</v>
      </c>
      <c r="G31" s="126"/>
    </row>
    <row r="32" spans="1:9" s="125" customFormat="1" x14ac:dyDescent="0.2">
      <c r="B32" s="131"/>
      <c r="C32" s="141"/>
      <c r="D32" s="137"/>
      <c r="E32" s="141"/>
      <c r="F32" s="137"/>
      <c r="G32" s="126"/>
    </row>
    <row r="33" spans="1:7" s="125" customFormat="1" ht="15.75" x14ac:dyDescent="0.25">
      <c r="A33" s="129" t="s">
        <v>650</v>
      </c>
      <c r="B33" s="131"/>
      <c r="C33" s="141"/>
      <c r="D33" s="137"/>
      <c r="E33" s="147">
        <f>SUM(E26,E31)</f>
        <v>404618521.7923733</v>
      </c>
      <c r="F33" s="135" t="s">
        <v>651</v>
      </c>
      <c r="G33" s="126"/>
    </row>
    <row r="34" spans="1:7" s="125" customFormat="1" ht="15.75" x14ac:dyDescent="0.25">
      <c r="A34" s="129"/>
      <c r="B34" s="131"/>
      <c r="C34" s="141"/>
      <c r="D34" s="137"/>
      <c r="E34" s="148"/>
      <c r="F34" s="137"/>
      <c r="G34" s="126"/>
    </row>
    <row r="35" spans="1:7" s="125" customFormat="1" ht="18" x14ac:dyDescent="0.25">
      <c r="A35" s="132" t="s">
        <v>652</v>
      </c>
      <c r="B35" s="131"/>
      <c r="C35" s="141"/>
      <c r="D35" s="137"/>
      <c r="E35" s="141"/>
      <c r="F35" s="137"/>
      <c r="G35" s="126"/>
    </row>
    <row r="36" spans="1:7" s="125" customFormat="1" ht="14.25" customHeight="1" x14ac:dyDescent="0.2">
      <c r="A36" s="125" t="s">
        <v>653</v>
      </c>
      <c r="B36" s="131"/>
      <c r="C36" s="149">
        <v>0.04</v>
      </c>
      <c r="D36" s="137" t="s">
        <v>654</v>
      </c>
      <c r="E36" s="139">
        <f>E33*C36</f>
        <v>16184740.871694932</v>
      </c>
      <c r="F36" s="135" t="s">
        <v>655</v>
      </c>
      <c r="G36" s="126"/>
    </row>
    <row r="37" spans="1:7" s="125" customFormat="1" x14ac:dyDescent="0.2">
      <c r="A37" s="125" t="s">
        <v>656</v>
      </c>
      <c r="B37" s="131"/>
      <c r="C37" s="187">
        <v>0.56000000000000005</v>
      </c>
      <c r="D37" s="135" t="s">
        <v>657</v>
      </c>
      <c r="E37" s="139">
        <f>E33*C37</f>
        <v>226586372.20372906</v>
      </c>
      <c r="F37" s="137" t="s">
        <v>658</v>
      </c>
      <c r="G37" s="126"/>
    </row>
    <row r="38" spans="1:7" s="125" customFormat="1" x14ac:dyDescent="0.2">
      <c r="A38" s="125" t="s">
        <v>659</v>
      </c>
      <c r="B38" s="131"/>
      <c r="C38" s="149">
        <f>1-C36-C37</f>
        <v>0.39999999999999991</v>
      </c>
      <c r="D38" s="150" t="s">
        <v>660</v>
      </c>
      <c r="E38" s="139">
        <f>E33*C38</f>
        <v>161847408.71694928</v>
      </c>
      <c r="F38" s="135" t="s">
        <v>661</v>
      </c>
      <c r="G38" s="126"/>
    </row>
    <row r="39" spans="1:7" s="125" customFormat="1" x14ac:dyDescent="0.2">
      <c r="B39" s="131"/>
      <c r="C39" s="137"/>
      <c r="D39" s="137"/>
      <c r="E39" s="141"/>
      <c r="F39" s="137"/>
      <c r="G39" s="126"/>
    </row>
    <row r="40" spans="1:7" s="125" customFormat="1" x14ac:dyDescent="0.2">
      <c r="A40" s="125" t="s">
        <v>662</v>
      </c>
      <c r="B40" s="131"/>
      <c r="C40" s="187">
        <v>2.1600000000000001E-2</v>
      </c>
      <c r="D40" s="140" t="s">
        <v>663</v>
      </c>
      <c r="E40" s="139">
        <f>E36*C40</f>
        <v>349590.40282861056</v>
      </c>
      <c r="F40" s="137" t="s">
        <v>664</v>
      </c>
      <c r="G40" s="126"/>
    </row>
    <row r="41" spans="1:7" s="125" customFormat="1" x14ac:dyDescent="0.2">
      <c r="A41" s="125" t="s">
        <v>665</v>
      </c>
      <c r="B41" s="131"/>
      <c r="C41" s="187">
        <v>6.0728710462287103E-2</v>
      </c>
      <c r="D41" s="137" t="s">
        <v>666</v>
      </c>
      <c r="E41" s="139">
        <f>E37*C41</f>
        <v>13760298.19226028</v>
      </c>
      <c r="F41" s="137" t="s">
        <v>667</v>
      </c>
      <c r="G41" s="126"/>
    </row>
    <row r="42" spans="1:7" s="125" customFormat="1" x14ac:dyDescent="0.2">
      <c r="A42" s="125" t="s">
        <v>668</v>
      </c>
      <c r="B42" s="131"/>
      <c r="C42" s="187">
        <v>9.2999999999999999E-2</v>
      </c>
      <c r="D42" s="137" t="s">
        <v>669</v>
      </c>
      <c r="E42" s="151">
        <f>E38*C42</f>
        <v>15051809.010676283</v>
      </c>
      <c r="F42" s="137" t="s">
        <v>670</v>
      </c>
      <c r="G42" s="126"/>
    </row>
    <row r="43" spans="1:7" s="125" customFormat="1" ht="16.5" thickBot="1" x14ac:dyDescent="0.3">
      <c r="A43" s="129" t="s">
        <v>652</v>
      </c>
      <c r="B43" s="131"/>
      <c r="C43" s="141"/>
      <c r="D43" s="137"/>
      <c r="E43" s="152">
        <f>SUM(E40:E42)</f>
        <v>29161697.605765175</v>
      </c>
      <c r="F43" s="137" t="s">
        <v>671</v>
      </c>
      <c r="G43" s="126"/>
    </row>
    <row r="44" spans="1:7" s="125" customFormat="1" x14ac:dyDescent="0.2">
      <c r="B44" s="131"/>
      <c r="C44" s="141"/>
      <c r="D44" s="137"/>
      <c r="E44" s="136"/>
      <c r="F44" s="135"/>
      <c r="G44" s="126"/>
    </row>
    <row r="45" spans="1:7" s="125" customFormat="1" ht="18" x14ac:dyDescent="0.25">
      <c r="A45" s="132" t="s">
        <v>672</v>
      </c>
      <c r="B45" s="131"/>
      <c r="C45" s="141"/>
      <c r="D45" s="137"/>
      <c r="E45" s="136"/>
      <c r="F45" s="135"/>
      <c r="G45" s="126"/>
    </row>
    <row r="46" spans="1:7" s="125" customFormat="1" x14ac:dyDescent="0.2">
      <c r="A46" s="134" t="s">
        <v>673</v>
      </c>
      <c r="B46" s="131"/>
      <c r="C46" s="185">
        <v>25298362.227664664</v>
      </c>
      <c r="D46" s="137" t="s">
        <v>674</v>
      </c>
      <c r="E46" s="141"/>
      <c r="F46" s="137"/>
      <c r="G46" s="126"/>
    </row>
    <row r="47" spans="1:7" s="125" customFormat="1" x14ac:dyDescent="0.2">
      <c r="A47" s="134" t="s">
        <v>675</v>
      </c>
      <c r="B47" s="131"/>
      <c r="C47" s="185">
        <v>15794025.084896935</v>
      </c>
      <c r="D47" s="137" t="s">
        <v>676</v>
      </c>
      <c r="E47" s="141"/>
      <c r="F47" s="137"/>
      <c r="G47" s="126"/>
    </row>
    <row r="48" spans="1:7" s="125" customFormat="1" x14ac:dyDescent="0.2">
      <c r="A48" s="134" t="s">
        <v>677</v>
      </c>
      <c r="B48" s="131"/>
      <c r="C48" s="185">
        <v>0</v>
      </c>
      <c r="D48" s="137" t="s">
        <v>678</v>
      </c>
      <c r="E48" s="141"/>
      <c r="F48" s="137"/>
      <c r="G48" s="126"/>
    </row>
    <row r="49" spans="1:7" s="125" customFormat="1" x14ac:dyDescent="0.2">
      <c r="A49" s="134" t="s">
        <v>679</v>
      </c>
      <c r="B49" s="131"/>
      <c r="C49" s="185">
        <v>1890490.576257647</v>
      </c>
      <c r="D49" s="137" t="s">
        <v>680</v>
      </c>
      <c r="E49" s="141"/>
      <c r="F49" s="137"/>
      <c r="G49" s="126"/>
    </row>
    <row r="50" spans="1:7" s="125" customFormat="1" x14ac:dyDescent="0.2">
      <c r="A50" s="134" t="s">
        <v>681</v>
      </c>
      <c r="B50" s="131"/>
      <c r="C50" s="185"/>
      <c r="D50" s="137" t="s">
        <v>682</v>
      </c>
      <c r="E50" s="141"/>
      <c r="F50" s="137"/>
      <c r="G50" s="126"/>
    </row>
    <row r="51" spans="1:7" s="125" customFormat="1" x14ac:dyDescent="0.2">
      <c r="A51" s="134" t="s">
        <v>683</v>
      </c>
      <c r="B51" s="131"/>
      <c r="C51" s="185"/>
      <c r="D51" s="137" t="s">
        <v>684</v>
      </c>
      <c r="E51" s="141"/>
      <c r="F51" s="137"/>
      <c r="G51" s="126"/>
    </row>
    <row r="52" spans="1:7" s="125" customFormat="1" x14ac:dyDescent="0.2">
      <c r="A52" s="188"/>
      <c r="B52" s="131"/>
      <c r="C52" s="185"/>
      <c r="D52" s="137" t="s">
        <v>685</v>
      </c>
      <c r="E52" s="141"/>
      <c r="F52" s="137"/>
      <c r="G52" s="126"/>
    </row>
    <row r="53" spans="1:7" s="125" customFormat="1" x14ac:dyDescent="0.2">
      <c r="A53" s="189"/>
      <c r="B53" s="131"/>
      <c r="C53" s="185"/>
      <c r="D53" s="137" t="s">
        <v>686</v>
      </c>
      <c r="E53" s="141"/>
      <c r="F53" s="137"/>
      <c r="G53" s="126"/>
    </row>
    <row r="54" spans="1:7" s="125" customFormat="1" x14ac:dyDescent="0.2">
      <c r="A54" s="189"/>
      <c r="B54" s="131"/>
      <c r="C54" s="185"/>
      <c r="D54" s="137" t="s">
        <v>687</v>
      </c>
      <c r="E54" s="141"/>
      <c r="F54" s="137"/>
      <c r="G54" s="126"/>
    </row>
    <row r="55" spans="1:7" s="125" customFormat="1" ht="15.75" x14ac:dyDescent="0.25">
      <c r="C55" s="141"/>
      <c r="D55" s="137"/>
      <c r="E55" s="153">
        <f>SUM(C46:C54)</f>
        <v>42982877.888819247</v>
      </c>
      <c r="F55" s="137" t="s">
        <v>688</v>
      </c>
      <c r="G55" s="126"/>
    </row>
    <row r="56" spans="1:7" s="125" customFormat="1" ht="18" x14ac:dyDescent="0.25">
      <c r="A56" s="132" t="s">
        <v>689</v>
      </c>
      <c r="B56" s="131"/>
      <c r="C56" s="141"/>
      <c r="D56" s="137"/>
      <c r="E56" s="141"/>
      <c r="F56" s="137"/>
      <c r="G56" s="126"/>
    </row>
    <row r="57" spans="1:7" s="125" customFormat="1" x14ac:dyDescent="0.2">
      <c r="A57" s="125" t="s">
        <v>690</v>
      </c>
      <c r="B57" s="131"/>
      <c r="C57" s="185">
        <v>-1375119.38008</v>
      </c>
      <c r="D57" s="137" t="s">
        <v>691</v>
      </c>
      <c r="E57" s="141"/>
      <c r="F57" s="137"/>
      <c r="G57" s="126"/>
    </row>
    <row r="58" spans="1:7" s="125" customFormat="1" x14ac:dyDescent="0.2">
      <c r="A58" s="125" t="s">
        <v>692</v>
      </c>
      <c r="B58" s="131"/>
      <c r="C58" s="185">
        <v>-1354682.13</v>
      </c>
      <c r="D58" s="137" t="s">
        <v>693</v>
      </c>
      <c r="E58" s="141"/>
      <c r="F58" s="137"/>
      <c r="G58" s="126"/>
    </row>
    <row r="59" spans="1:7" s="125" customFormat="1" x14ac:dyDescent="0.2">
      <c r="A59" s="125" t="s">
        <v>694</v>
      </c>
      <c r="B59" s="131"/>
      <c r="C59" s="185">
        <v>-1238962.91004</v>
      </c>
      <c r="D59" s="137" t="s">
        <v>695</v>
      </c>
      <c r="E59" s="141"/>
      <c r="F59" s="137"/>
      <c r="G59" s="126"/>
    </row>
    <row r="60" spans="1:7" s="125" customFormat="1" ht="15.75" x14ac:dyDescent="0.25">
      <c r="A60" s="125" t="s">
        <v>696</v>
      </c>
      <c r="B60" s="131"/>
      <c r="C60" s="185">
        <v>-157824.57996</v>
      </c>
      <c r="D60" s="137" t="s">
        <v>697</v>
      </c>
      <c r="E60" s="145">
        <f>SUM(C57:C60)</f>
        <v>-4126589.0000799997</v>
      </c>
      <c r="F60" s="137" t="s">
        <v>698</v>
      </c>
      <c r="G60" s="126"/>
    </row>
    <row r="61" spans="1:7" s="125" customFormat="1" x14ac:dyDescent="0.2">
      <c r="B61" s="131"/>
      <c r="C61" s="141"/>
      <c r="D61" s="137"/>
      <c r="E61" s="136"/>
      <c r="F61" s="135"/>
      <c r="G61" s="126"/>
    </row>
    <row r="62" spans="1:7" s="125" customFormat="1" ht="18.75" thickBot="1" x14ac:dyDescent="0.3">
      <c r="A62" s="128" t="s">
        <v>699</v>
      </c>
      <c r="B62" s="131"/>
      <c r="C62" s="141"/>
      <c r="D62" s="137"/>
      <c r="E62" s="154">
        <f>SUM(E60,E55,E43)</f>
        <v>68017986.494504422</v>
      </c>
      <c r="F62" s="137" t="s">
        <v>700</v>
      </c>
      <c r="G62" s="126"/>
    </row>
    <row r="63" spans="1:7" s="125" customFormat="1" ht="15.75" x14ac:dyDescent="0.25">
      <c r="A63" s="129"/>
      <c r="B63" s="131"/>
      <c r="C63" s="141"/>
      <c r="D63" s="137"/>
      <c r="E63" s="148"/>
      <c r="F63" s="137"/>
      <c r="G63" s="126"/>
    </row>
    <row r="64" spans="1:7" s="125" customFormat="1" ht="18" x14ac:dyDescent="0.25">
      <c r="A64" s="132" t="s">
        <v>701</v>
      </c>
      <c r="B64" s="131"/>
      <c r="C64" s="141"/>
      <c r="D64" s="137"/>
      <c r="E64" s="141"/>
      <c r="F64" s="137"/>
      <c r="G64" s="126"/>
    </row>
    <row r="65" spans="1:9" s="125" customFormat="1" ht="15.75" x14ac:dyDescent="0.25">
      <c r="A65" s="129" t="s">
        <v>881</v>
      </c>
      <c r="C65" s="141"/>
      <c r="D65" s="141"/>
      <c r="E65" s="139">
        <f>'4. Growth Factor - NUM_CALC2'!N27</f>
        <v>78890653.037284479</v>
      </c>
      <c r="F65" s="137" t="s">
        <v>702</v>
      </c>
      <c r="G65" s="126"/>
    </row>
    <row r="66" spans="1:9" s="125" customFormat="1" x14ac:dyDescent="0.2">
      <c r="C66" s="141"/>
      <c r="D66" s="137"/>
      <c r="E66" s="141"/>
      <c r="F66" s="137"/>
      <c r="G66" s="126"/>
    </row>
    <row r="67" spans="1:9" s="125" customFormat="1" x14ac:dyDescent="0.2">
      <c r="C67" s="141"/>
      <c r="D67" s="137"/>
      <c r="E67" s="139"/>
      <c r="F67" s="137"/>
      <c r="G67" s="126"/>
    </row>
    <row r="68" spans="1:9" s="125" customFormat="1" x14ac:dyDescent="0.2">
      <c r="C68" s="141"/>
      <c r="D68" s="137"/>
      <c r="E68" s="155"/>
      <c r="F68" s="146"/>
      <c r="G68" s="126"/>
    </row>
    <row r="69" spans="1:9" s="125" customFormat="1" x14ac:dyDescent="0.2">
      <c r="C69" s="141"/>
      <c r="D69" s="137"/>
      <c r="E69" s="156"/>
      <c r="F69" s="137"/>
      <c r="G69" s="126"/>
    </row>
    <row r="70" spans="1:9" s="125" customFormat="1" x14ac:dyDescent="0.2">
      <c r="F70" s="126"/>
      <c r="H70" s="126"/>
      <c r="I70" s="126"/>
    </row>
    <row r="71" spans="1:9" s="125" customFormat="1" x14ac:dyDescent="0.2">
      <c r="F71" s="126"/>
      <c r="H71" s="126"/>
      <c r="I71" s="126"/>
    </row>
    <row r="72" spans="1:9" s="125" customFormat="1" x14ac:dyDescent="0.2">
      <c r="F72" s="126"/>
      <c r="H72" s="126"/>
      <c r="I72" s="126"/>
    </row>
    <row r="73" spans="1:9" s="125" customFormat="1" x14ac:dyDescent="0.2">
      <c r="F73" s="126"/>
      <c r="H73" s="126"/>
      <c r="I73" s="126"/>
    </row>
    <row r="74" spans="1:9" s="125" customFormat="1" x14ac:dyDescent="0.2">
      <c r="F74" s="126"/>
      <c r="H74" s="126"/>
      <c r="I74" s="126"/>
    </row>
    <row r="75" spans="1:9" s="125" customFormat="1" x14ac:dyDescent="0.2">
      <c r="F75" s="126"/>
      <c r="H75" s="126"/>
      <c r="I75" s="126"/>
    </row>
    <row r="76" spans="1:9" s="125" customFormat="1" x14ac:dyDescent="0.2">
      <c r="F76" s="126"/>
      <c r="H76" s="126"/>
      <c r="I76" s="126"/>
    </row>
    <row r="77" spans="1:9" s="125" customFormat="1" x14ac:dyDescent="0.2">
      <c r="F77" s="126"/>
      <c r="H77" s="126"/>
      <c r="I77" s="126"/>
    </row>
    <row r="78" spans="1:9" s="125" customFormat="1" x14ac:dyDescent="0.2">
      <c r="F78" s="126"/>
      <c r="H78" s="126"/>
      <c r="I78" s="126"/>
    </row>
    <row r="79" spans="1:9" s="125" customFormat="1" x14ac:dyDescent="0.2">
      <c r="F79" s="126"/>
      <c r="H79" s="126"/>
      <c r="I79" s="126"/>
    </row>
    <row r="80" spans="1:9" s="125" customFormat="1" x14ac:dyDescent="0.2">
      <c r="F80" s="126"/>
      <c r="H80" s="126"/>
      <c r="I80" s="126"/>
    </row>
    <row r="81" spans="6:9" s="125" customFormat="1" x14ac:dyDescent="0.2">
      <c r="F81" s="126"/>
      <c r="H81" s="126"/>
      <c r="I81" s="126"/>
    </row>
    <row r="82" spans="6:9" s="125" customFormat="1" x14ac:dyDescent="0.2">
      <c r="F82" s="126"/>
      <c r="H82" s="126"/>
      <c r="I82" s="126"/>
    </row>
    <row r="83" spans="6:9" s="125" customFormat="1" x14ac:dyDescent="0.2">
      <c r="F83" s="126"/>
      <c r="H83" s="126"/>
      <c r="I83" s="126"/>
    </row>
    <row r="84" spans="6:9" s="125" customFormat="1" x14ac:dyDescent="0.2">
      <c r="F84" s="126"/>
      <c r="H84" s="126"/>
      <c r="I84" s="126"/>
    </row>
    <row r="85" spans="6:9" s="125" customFormat="1" x14ac:dyDescent="0.2">
      <c r="F85" s="126"/>
      <c r="H85" s="126"/>
      <c r="I85" s="126"/>
    </row>
    <row r="86" spans="6:9" s="125" customFormat="1" x14ac:dyDescent="0.2">
      <c r="F86" s="126"/>
      <c r="H86" s="126"/>
      <c r="I86" s="126"/>
    </row>
    <row r="87" spans="6:9" s="125" customFormat="1" x14ac:dyDescent="0.2">
      <c r="F87" s="126"/>
      <c r="H87" s="126"/>
      <c r="I87" s="126"/>
    </row>
    <row r="88" spans="6:9" s="125" customFormat="1" x14ac:dyDescent="0.2">
      <c r="F88" s="126"/>
      <c r="H88" s="126"/>
      <c r="I88" s="126"/>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password="F8BD" sheet="1" objects="1" scenarios="1"/>
  <mergeCells count="1">
    <mergeCell ref="C8:F8"/>
  </mergeCells>
  <conditionalFormatting sqref="C60">
    <cfRule type="cellIs" dxfId="25" priority="2" stopIfTrue="1" operator="greaterThan">
      <formula>0</formula>
    </cfRule>
  </conditionalFormatting>
  <conditionalFormatting sqref="C57:C59">
    <cfRule type="cellIs" dxfId="24" priority="1" stopIfTrue="1" operator="greaterThan">
      <formula>0</formula>
    </cfRule>
  </conditionalFormatting>
  <pageMargins left="0.25" right="0.26" top="0.17" bottom="0.34" header="0.23" footer="0.16"/>
  <pageSetup scale="49"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2:Z50"/>
  <sheetViews>
    <sheetView showGridLines="0" zoomScaleNormal="100" workbookViewId="0">
      <selection activeCell="A24" sqref="A24:XFD24"/>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8" t="str">
        <f>"Input the billing determinants associated with "&amp;'1. Information Sheet'!F14&amp;"'s "&amp;'1. Information Sheet'!F49&amp;".  This sheet calculates the DENOMINATOR portion of the growth factor calculation."</f>
        <v>Input the billing determinants associated with Alectra Utilities Corporation-Brampton Rate Zone's Revenues Based on 2015 Board-Approved Distribution Demand.  This sheet calculates the DENOMINATOR portion of the growth factor calculation.</v>
      </c>
    </row>
    <row r="13" spans="1:26" ht="15.75" x14ac:dyDescent="0.25">
      <c r="A13" s="108" t="s">
        <v>703</v>
      </c>
    </row>
    <row r="14" spans="1:26" ht="30.75" customHeight="1" thickBot="1" x14ac:dyDescent="0.3">
      <c r="C14" s="480" t="str">
        <f>RIGHT('1. Information Sheet'!F49,LEN('1. Information Sheet'!F49)-18)</f>
        <v>2015 Board-Approved Distribution Demand</v>
      </c>
      <c r="D14" s="480"/>
      <c r="E14" s="480"/>
      <c r="G14" s="481" t="str">
        <f>'3. Growth Factor - NUM_CALC1'!G15</f>
        <v>Current Approved Distribution Rates</v>
      </c>
      <c r="H14" s="478"/>
      <c r="I14" s="478"/>
    </row>
    <row r="15" spans="1:26" s="113" customFormat="1" ht="63" x14ac:dyDescent="0.25">
      <c r="A15" s="110" t="s">
        <v>593</v>
      </c>
      <c r="B15" s="111"/>
      <c r="C15" s="112" t="s">
        <v>594</v>
      </c>
      <c r="D15" s="112" t="s">
        <v>595</v>
      </c>
      <c r="E15" s="112" t="s">
        <v>704</v>
      </c>
      <c r="F15" s="112"/>
      <c r="G15" s="112" t="s">
        <v>597</v>
      </c>
      <c r="H15" s="112" t="s">
        <v>598</v>
      </c>
      <c r="I15" s="112" t="s">
        <v>599</v>
      </c>
      <c r="J15" s="112"/>
      <c r="K15" s="112" t="s">
        <v>601</v>
      </c>
      <c r="L15" s="112" t="s">
        <v>602</v>
      </c>
      <c r="M15" s="112" t="s">
        <v>603</v>
      </c>
      <c r="N15" s="112" t="s">
        <v>705</v>
      </c>
      <c r="O15" s="112"/>
      <c r="P15" s="112" t="s">
        <v>605</v>
      </c>
      <c r="Q15" s="112" t="s">
        <v>606</v>
      </c>
      <c r="R15" s="112" t="s">
        <v>607</v>
      </c>
      <c r="S15" s="112" t="s">
        <v>608</v>
      </c>
    </row>
    <row r="16" spans="1:26" s="119" customFormat="1" ht="18.75" x14ac:dyDescent="0.25">
      <c r="A16" s="114"/>
      <c r="B16" s="115"/>
      <c r="C16" s="115" t="s">
        <v>618</v>
      </c>
      <c r="D16" s="115" t="s">
        <v>620</v>
      </c>
      <c r="E16" s="115" t="s">
        <v>622</v>
      </c>
      <c r="F16" s="115"/>
      <c r="G16" s="115" t="s">
        <v>609</v>
      </c>
      <c r="H16" s="115" t="s">
        <v>610</v>
      </c>
      <c r="I16" s="115" t="s">
        <v>611</v>
      </c>
      <c r="J16" s="115"/>
      <c r="K16" s="401" t="s">
        <v>627</v>
      </c>
      <c r="L16" s="401" t="s">
        <v>745</v>
      </c>
      <c r="M16" s="401" t="s">
        <v>631</v>
      </c>
      <c r="N16" s="401" t="s">
        <v>633</v>
      </c>
      <c r="O16" s="115"/>
      <c r="P16" s="117" t="s">
        <v>706</v>
      </c>
      <c r="Q16" s="117" t="s">
        <v>707</v>
      </c>
      <c r="R16" s="117" t="s">
        <v>708</v>
      </c>
      <c r="S16" s="117" t="s">
        <v>746</v>
      </c>
      <c r="T16" s="118"/>
      <c r="U16" s="118"/>
      <c r="V16" s="118"/>
      <c r="W16" s="118"/>
      <c r="X16" s="118"/>
      <c r="Y16" s="118"/>
      <c r="Z16" s="118"/>
    </row>
    <row r="17" spans="1:26" x14ac:dyDescent="0.25">
      <c r="A17" s="158" t="s">
        <v>77</v>
      </c>
      <c r="B17" s="158"/>
      <c r="C17" s="402">
        <v>140979</v>
      </c>
      <c r="D17" s="402">
        <v>1308264983</v>
      </c>
      <c r="E17" s="402">
        <v>0</v>
      </c>
      <c r="F17" s="159"/>
      <c r="G17" s="397">
        <f>'3. Growth Factor - NUM_CALC1'!G17</f>
        <v>24.71</v>
      </c>
      <c r="H17" s="398">
        <f>'3. Growth Factor - NUM_CALC1'!H17</f>
        <v>0</v>
      </c>
      <c r="I17" s="398">
        <f>'3. Growth Factor - NUM_CALC1'!I17</f>
        <v>0</v>
      </c>
      <c r="J17" s="158"/>
      <c r="K17" s="160">
        <f t="shared" ref="K17:K26" si="0">G17*C17*12</f>
        <v>41803093.080000006</v>
      </c>
      <c r="L17" s="160">
        <f t="shared" ref="L17:L26" si="1">H17*D17</f>
        <v>0</v>
      </c>
      <c r="M17" s="160">
        <f t="shared" ref="M17:M26" si="2">I17*E17</f>
        <v>0</v>
      </c>
      <c r="N17" s="160">
        <f t="shared" ref="N17:N26" si="3">SUM(K17,L17,M17)</f>
        <v>41803093.080000006</v>
      </c>
      <c r="O17" s="158"/>
      <c r="P17" s="161">
        <f>IF(ISERROR(K17/N27),0,ROUND(K17/N27,3))</f>
        <v>0.56000000000000005</v>
      </c>
      <c r="Q17" s="161">
        <f>IF(ISERROR(L17/N27),0,ROUND(L17/N27,3))</f>
        <v>0</v>
      </c>
      <c r="R17" s="161">
        <f>IF(ISERROR(M17/N27),0,ROUND(M17/N27,3))</f>
        <v>0</v>
      </c>
      <c r="S17" s="161">
        <f>N17/N27</f>
        <v>0.55959185481639639</v>
      </c>
    </row>
    <row r="18" spans="1:26" x14ac:dyDescent="0.25">
      <c r="A18" s="158" t="s">
        <v>86</v>
      </c>
      <c r="B18" s="158"/>
      <c r="C18" s="402">
        <v>8989</v>
      </c>
      <c r="D18" s="402">
        <v>354668870</v>
      </c>
      <c r="E18" s="402">
        <v>0</v>
      </c>
      <c r="F18" s="159"/>
      <c r="G18" s="397">
        <f>'3. Growth Factor - NUM_CALC1'!G18</f>
        <v>26.09</v>
      </c>
      <c r="H18" s="398">
        <f>'3. Growth Factor - NUM_CALC1'!H18</f>
        <v>1.7399999999999999E-2</v>
      </c>
      <c r="I18" s="398">
        <f>'3. Growth Factor - NUM_CALC1'!I18</f>
        <v>0</v>
      </c>
      <c r="J18" s="158"/>
      <c r="K18" s="160">
        <f t="shared" si="0"/>
        <v>2814276.12</v>
      </c>
      <c r="L18" s="160">
        <f t="shared" si="1"/>
        <v>6171238.3379999995</v>
      </c>
      <c r="M18" s="160">
        <f t="shared" si="2"/>
        <v>0</v>
      </c>
      <c r="N18" s="160">
        <f t="shared" si="3"/>
        <v>8985514.4580000006</v>
      </c>
      <c r="O18" s="158"/>
      <c r="P18" s="161">
        <f>IF(ISERROR(K18/N27),0,ROUND(K18/N27,3))</f>
        <v>3.7999999999999999E-2</v>
      </c>
      <c r="Q18" s="161">
        <f>IF(ISERROR(L18/N27),0,ROUND(L18/N27,3))</f>
        <v>8.3000000000000004E-2</v>
      </c>
      <c r="R18" s="161">
        <f>IF(ISERROR(M18/N27),0,ROUND(M18/N27,3))</f>
        <v>0</v>
      </c>
      <c r="S18" s="161">
        <f>N18/N27</f>
        <v>0.12028346066184839</v>
      </c>
    </row>
    <row r="19" spans="1:26" x14ac:dyDescent="0.25">
      <c r="A19" s="158" t="s">
        <v>219</v>
      </c>
      <c r="B19" s="158"/>
      <c r="C19" s="402">
        <v>1491</v>
      </c>
      <c r="D19" s="402">
        <v>1064497599</v>
      </c>
      <c r="E19" s="402">
        <v>2979826</v>
      </c>
      <c r="F19" s="159"/>
      <c r="G19" s="397">
        <f>'3. Growth Factor - NUM_CALC1'!G19</f>
        <v>130.16</v>
      </c>
      <c r="H19" s="398">
        <f>'3. Growth Factor - NUM_CALC1'!H19</f>
        <v>0</v>
      </c>
      <c r="I19" s="398">
        <f>'3. Growth Factor - NUM_CALC1'!I19</f>
        <v>2.9479000000000002</v>
      </c>
      <c r="J19" s="158"/>
      <c r="K19" s="160">
        <f t="shared" si="0"/>
        <v>2328822.7199999997</v>
      </c>
      <c r="L19" s="160">
        <f t="shared" si="1"/>
        <v>0</v>
      </c>
      <c r="M19" s="160">
        <f t="shared" si="2"/>
        <v>8784229.0654000007</v>
      </c>
      <c r="N19" s="160">
        <f t="shared" si="3"/>
        <v>11113051.785399999</v>
      </c>
      <c r="O19" s="158"/>
      <c r="P19" s="161">
        <f>IF(ISERROR(K19/N27),0,ROUND(K19/N27,3))</f>
        <v>3.1E-2</v>
      </c>
      <c r="Q19" s="161">
        <f>IF(ISERROR(L19/N27),0,ROUND(L19/N27,3))</f>
        <v>0</v>
      </c>
      <c r="R19" s="161">
        <f>IF(ISERROR(M19/N27),0,ROUND(M19/N27,3))</f>
        <v>0.11799999999999999</v>
      </c>
      <c r="S19" s="161">
        <f>N19/N27</f>
        <v>0.14876347186466737</v>
      </c>
    </row>
    <row r="20" spans="1:26" x14ac:dyDescent="0.25">
      <c r="A20" s="158" t="s">
        <v>225</v>
      </c>
      <c r="B20" s="158"/>
      <c r="C20" s="402">
        <v>115</v>
      </c>
      <c r="D20" s="402">
        <v>806154180</v>
      </c>
      <c r="E20" s="402">
        <v>1969146</v>
      </c>
      <c r="F20" s="159"/>
      <c r="G20" s="397">
        <f>'3. Growth Factor - NUM_CALC1'!G20</f>
        <v>1174.3399999999999</v>
      </c>
      <c r="H20" s="398">
        <f>'3. Growth Factor - NUM_CALC1'!H20</f>
        <v>0</v>
      </c>
      <c r="I20" s="398">
        <f>'3. Growth Factor - NUM_CALC1'!I20</f>
        <v>3.4220999999999999</v>
      </c>
      <c r="J20" s="158"/>
      <c r="K20" s="160">
        <f t="shared" si="0"/>
        <v>1620589.1999999997</v>
      </c>
      <c r="L20" s="160">
        <f t="shared" si="1"/>
        <v>0</v>
      </c>
      <c r="M20" s="160">
        <f t="shared" si="2"/>
        <v>6738614.5265999995</v>
      </c>
      <c r="N20" s="160">
        <f t="shared" si="3"/>
        <v>8359203.7265999988</v>
      </c>
      <c r="O20" s="158"/>
      <c r="P20" s="161">
        <f>IF(ISERROR(K20/N27),0,ROUND(K20/N27,3))</f>
        <v>2.1999999999999999E-2</v>
      </c>
      <c r="Q20" s="161">
        <f>IF(ISERROR(L20/N27),0,ROUND(L20/N27,3))</f>
        <v>0</v>
      </c>
      <c r="R20" s="161">
        <f>IF(ISERROR(M20/N27),0,ROUND(M20/N27,3))</f>
        <v>0.09</v>
      </c>
      <c r="S20" s="161">
        <f>N20/N27</f>
        <v>0.11189943072404407</v>
      </c>
    </row>
    <row r="21" spans="1:26" x14ac:dyDescent="0.25">
      <c r="A21" s="158" t="s">
        <v>116</v>
      </c>
      <c r="B21" s="158"/>
      <c r="C21" s="402">
        <v>6</v>
      </c>
      <c r="D21" s="402">
        <v>382619513</v>
      </c>
      <c r="E21" s="402">
        <v>719987</v>
      </c>
      <c r="F21" s="159"/>
      <c r="G21" s="397">
        <f>'3. Growth Factor - NUM_CALC1'!G21</f>
        <v>4886.67</v>
      </c>
      <c r="H21" s="398">
        <f>'3. Growth Factor - NUM_CALC1'!H21</f>
        <v>0</v>
      </c>
      <c r="I21" s="398">
        <f>'3. Growth Factor - NUM_CALC1'!I21</f>
        <v>2.5909</v>
      </c>
      <c r="J21" s="158"/>
      <c r="K21" s="160">
        <f t="shared" si="0"/>
        <v>351840.24</v>
      </c>
      <c r="L21" s="160">
        <f t="shared" si="1"/>
        <v>0</v>
      </c>
      <c r="M21" s="160">
        <f t="shared" si="2"/>
        <v>1865414.3182999999</v>
      </c>
      <c r="N21" s="160">
        <f t="shared" si="3"/>
        <v>2217254.5582999997</v>
      </c>
      <c r="O21" s="158"/>
      <c r="P21" s="161">
        <f>IF(ISERROR(K21/N27),0,ROUND(K21/N27,3))</f>
        <v>5.0000000000000001E-3</v>
      </c>
      <c r="Q21" s="161">
        <f>IF(ISERROR(L21/N27),0,ROUND(L21/N27,3))</f>
        <v>0</v>
      </c>
      <c r="R21" s="161">
        <f>IF(ISERROR(M21/N27),0,ROUND(M21/N27,3))</f>
        <v>2.5000000000000001E-2</v>
      </c>
      <c r="S21" s="161">
        <f>N21/N27</f>
        <v>2.9680999645282861E-2</v>
      </c>
    </row>
    <row r="22" spans="1:26" x14ac:dyDescent="0.25">
      <c r="A22" s="158" t="s">
        <v>123</v>
      </c>
      <c r="B22" s="158"/>
      <c r="C22" s="402">
        <v>1562</v>
      </c>
      <c r="D22" s="402">
        <v>5931733</v>
      </c>
      <c r="E22" s="402">
        <v>0</v>
      </c>
      <c r="F22" s="159"/>
      <c r="G22" s="397">
        <f>'3. Growth Factor - NUM_CALC1'!G22</f>
        <v>1.1299999999999999</v>
      </c>
      <c r="H22" s="398">
        <f>'3. Growth Factor - NUM_CALC1'!H22</f>
        <v>2.0500000000000001E-2</v>
      </c>
      <c r="I22" s="398">
        <f>'3. Growth Factor - NUM_CALC1'!I22</f>
        <v>0</v>
      </c>
      <c r="J22" s="158"/>
      <c r="K22" s="160">
        <f t="shared" si="0"/>
        <v>21180.720000000001</v>
      </c>
      <c r="L22" s="160">
        <f t="shared" si="1"/>
        <v>121600.52650000001</v>
      </c>
      <c r="M22" s="160">
        <f t="shared" si="2"/>
        <v>0</v>
      </c>
      <c r="N22" s="160">
        <f t="shared" si="3"/>
        <v>142781.24650000001</v>
      </c>
      <c r="O22" s="158"/>
      <c r="P22" s="161">
        <f>IF(ISERROR(K22/N27),0,ROUND(K22/N27,3))</f>
        <v>0</v>
      </c>
      <c r="Q22" s="161">
        <f>IF(ISERROR(L22/N27),0,ROUND(L22/N27,3))</f>
        <v>2E-3</v>
      </c>
      <c r="R22" s="161">
        <f>IF(ISERROR(M22/N27),0,ROUND(M22/N27,3))</f>
        <v>0</v>
      </c>
      <c r="S22" s="161">
        <f>N22/N27</f>
        <v>1.9113232221602897E-3</v>
      </c>
    </row>
    <row r="23" spans="1:26" x14ac:dyDescent="0.25">
      <c r="A23" s="158" t="s">
        <v>68</v>
      </c>
      <c r="B23" s="158"/>
      <c r="C23" s="402">
        <v>22335</v>
      </c>
      <c r="D23" s="402">
        <v>33306955</v>
      </c>
      <c r="E23" s="402">
        <v>100672</v>
      </c>
      <c r="F23" s="159"/>
      <c r="G23" s="397">
        <f>'3. Growth Factor - NUM_CALC1'!G23</f>
        <v>2.39</v>
      </c>
      <c r="H23" s="398">
        <f>'3. Growth Factor - NUM_CALC1'!H23</f>
        <v>0</v>
      </c>
      <c r="I23" s="398">
        <f>'3. Growth Factor - NUM_CALC1'!I23</f>
        <v>11.9826</v>
      </c>
      <c r="J23" s="158"/>
      <c r="K23" s="160">
        <f t="shared" si="0"/>
        <v>640567.80000000005</v>
      </c>
      <c r="L23" s="160">
        <f t="shared" si="1"/>
        <v>0</v>
      </c>
      <c r="M23" s="160">
        <f t="shared" si="2"/>
        <v>1206312.3071999999</v>
      </c>
      <c r="N23" s="160">
        <f t="shared" si="3"/>
        <v>1846880.1072</v>
      </c>
      <c r="O23" s="158"/>
      <c r="P23" s="161">
        <f>IF(ISERROR(K23/N27),0,ROUND(K23/N27,3))</f>
        <v>8.9999999999999993E-3</v>
      </c>
      <c r="Q23" s="161">
        <f>IF(ISERROR(L23/N27),0,ROUND(L23/N27,3))</f>
        <v>0</v>
      </c>
      <c r="R23" s="161">
        <f>IF(ISERROR(M23/N27),0,ROUND(M23/N27,3))</f>
        <v>1.6E-2</v>
      </c>
      <c r="S23" s="161">
        <f>N23/N27</f>
        <v>2.4723028576706288E-2</v>
      </c>
    </row>
    <row r="24" spans="1:26" x14ac:dyDescent="0.25">
      <c r="A24" s="158" t="s">
        <v>45</v>
      </c>
      <c r="B24" s="158"/>
      <c r="C24" s="402">
        <v>1</v>
      </c>
      <c r="D24" s="402">
        <v>17012414</v>
      </c>
      <c r="E24" s="402">
        <v>40073</v>
      </c>
      <c r="F24" s="159"/>
      <c r="G24" s="397">
        <f>'3. Growth Factor - NUM_CALC1'!G24</f>
        <v>4319.84</v>
      </c>
      <c r="H24" s="398">
        <f>'3. Growth Factor - NUM_CALC1'!H24</f>
        <v>0</v>
      </c>
      <c r="I24" s="398">
        <f>'3. Growth Factor - NUM_CALC1'!I24</f>
        <v>0</v>
      </c>
      <c r="J24" s="158"/>
      <c r="K24" s="160">
        <f t="shared" si="0"/>
        <v>51838.080000000002</v>
      </c>
      <c r="L24" s="160">
        <f t="shared" si="1"/>
        <v>0</v>
      </c>
      <c r="M24" s="160">
        <f t="shared" si="2"/>
        <v>0</v>
      </c>
      <c r="N24" s="160">
        <f t="shared" si="3"/>
        <v>51838.080000000002</v>
      </c>
      <c r="O24" s="158"/>
      <c r="P24" s="161">
        <f>IF(ISERROR(K24/N27),0,ROUND(K24/N27,3))</f>
        <v>1E-3</v>
      </c>
      <c r="Q24" s="161">
        <f>IF(ISERROR(L24/N27),0,ROUND(L24/N27,3))</f>
        <v>0</v>
      </c>
      <c r="R24" s="161">
        <f>IF(ISERROR(M24/N27),0,ROUND(M24/N27,3))</f>
        <v>0</v>
      </c>
      <c r="S24" s="161">
        <f>N24/N27</f>
        <v>6.9392394677127904E-4</v>
      </c>
    </row>
    <row r="25" spans="1:26" x14ac:dyDescent="0.25">
      <c r="A25" s="158" t="s">
        <v>33</v>
      </c>
      <c r="B25" s="158"/>
      <c r="C25" s="402">
        <v>68</v>
      </c>
      <c r="D25" s="402">
        <v>178816</v>
      </c>
      <c r="E25" s="402">
        <v>0</v>
      </c>
      <c r="F25" s="159"/>
      <c r="G25" s="397">
        <f>'3. Growth Factor - NUM_CALC1'!G25</f>
        <v>107.97</v>
      </c>
      <c r="H25" s="398">
        <f>'3. Growth Factor - NUM_CALC1'!H25</f>
        <v>0</v>
      </c>
      <c r="I25" s="398">
        <f>'3. Growth Factor - NUM_CALC1'!I25</f>
        <v>0</v>
      </c>
      <c r="J25" s="158"/>
      <c r="K25" s="160">
        <f t="shared" si="0"/>
        <v>88103.52</v>
      </c>
      <c r="L25" s="160">
        <f t="shared" si="1"/>
        <v>0</v>
      </c>
      <c r="M25" s="160">
        <f t="shared" si="2"/>
        <v>0</v>
      </c>
      <c r="N25" s="160">
        <f t="shared" si="3"/>
        <v>88103.52</v>
      </c>
      <c r="O25" s="158"/>
      <c r="P25" s="161">
        <f>IF(ISERROR(K25/N27),0,ROUND(K25/N27,3))</f>
        <v>1E-3</v>
      </c>
      <c r="Q25" s="161">
        <f>IF(ISERROR(L25/N27),0,ROUND(L25/N27,3))</f>
        <v>0</v>
      </c>
      <c r="R25" s="161">
        <f>IF(ISERROR(M25/N27),0,ROUND(M25/N27,3))</f>
        <v>0</v>
      </c>
      <c r="S25" s="161">
        <f>N25/N27</f>
        <v>1.1793867041920208E-3</v>
      </c>
    </row>
    <row r="26" spans="1:26" x14ac:dyDescent="0.25">
      <c r="A26" s="158" t="s">
        <v>143</v>
      </c>
      <c r="B26" s="158"/>
      <c r="C26" s="402">
        <v>1</v>
      </c>
      <c r="D26" s="402">
        <v>0</v>
      </c>
      <c r="E26" s="402">
        <v>54580</v>
      </c>
      <c r="F26" s="159"/>
      <c r="G26" s="397">
        <f>'3. Growth Factor - NUM_CALC1'!G26</f>
        <v>0</v>
      </c>
      <c r="H26" s="398">
        <f>'3. Growth Factor - NUM_CALC1'!H26</f>
        <v>0</v>
      </c>
      <c r="I26" s="398">
        <f>'3. Growth Factor - NUM_CALC1'!I26</f>
        <v>1.7424999999999999</v>
      </c>
      <c r="J26" s="158"/>
      <c r="K26" s="160">
        <f t="shared" si="0"/>
        <v>0</v>
      </c>
      <c r="L26" s="160">
        <f t="shared" si="1"/>
        <v>0</v>
      </c>
      <c r="M26" s="160">
        <f t="shared" si="2"/>
        <v>95105.65</v>
      </c>
      <c r="N26" s="160">
        <f t="shared" si="3"/>
        <v>95105.65</v>
      </c>
      <c r="O26" s="158"/>
      <c r="P26" s="161">
        <f>IF(ISERROR(K26/N27),0,ROUND(K26/N27,3))</f>
        <v>0</v>
      </c>
      <c r="Q26" s="161">
        <f>IF(ISERROR(L26/N27),0,ROUND(L26/N27,3))</f>
        <v>0</v>
      </c>
      <c r="R26" s="161">
        <f>IF(ISERROR(M26/N27),0,ROUND(M26/N27,3))</f>
        <v>1E-3</v>
      </c>
      <c r="S26" s="161">
        <f>N26/N27</f>
        <v>1.273119837930878E-3</v>
      </c>
    </row>
    <row r="27" spans="1:26" x14ac:dyDescent="0.25">
      <c r="A27" s="120" t="s">
        <v>767</v>
      </c>
      <c r="B27" s="120"/>
      <c r="C27" s="400">
        <f>SUM(C17:C26)</f>
        <v>175547</v>
      </c>
      <c r="D27" s="400">
        <f>SUM(D17:D26)</f>
        <v>3972635063</v>
      </c>
      <c r="E27" s="400">
        <f>SUM(E17:E26)</f>
        <v>5864284</v>
      </c>
      <c r="F27" s="121"/>
      <c r="G27" s="121"/>
      <c r="H27" s="121"/>
      <c r="I27" s="121"/>
      <c r="J27" s="120"/>
      <c r="K27" s="403">
        <f>SUM(K17:K26)</f>
        <v>49720311.480000004</v>
      </c>
      <c r="L27" s="403">
        <f>SUM(L17:L26)</f>
        <v>6292838.8644999992</v>
      </c>
      <c r="M27" s="403">
        <f>SUM(M17:M26)</f>
        <v>18689675.8675</v>
      </c>
      <c r="N27" s="403">
        <f>SUM(N17:N26)</f>
        <v>74702826.212000012</v>
      </c>
      <c r="O27" s="120"/>
      <c r="P27" s="123"/>
      <c r="Q27" s="123"/>
      <c r="R27" s="123"/>
      <c r="S27" s="123">
        <f>SUM(S17:S26)</f>
        <v>0.99999999999999978</v>
      </c>
      <c r="T27" s="118"/>
      <c r="U27" s="118"/>
      <c r="V27" s="118"/>
      <c r="W27" s="118"/>
      <c r="X27" s="118"/>
      <c r="Y27" s="118"/>
      <c r="Z27" s="118"/>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F8BD"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2:Z50"/>
  <sheetViews>
    <sheetView showGridLines="0" zoomScale="80" zoomScaleNormal="80" workbookViewId="0">
      <selection activeCell="A15" sqref="A15"/>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42578125"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8" t="s">
        <v>709</v>
      </c>
    </row>
    <row r="13" spans="1:26" ht="31.5" customHeight="1" x14ac:dyDescent="0.25">
      <c r="A13" s="482" t="s">
        <v>710</v>
      </c>
      <c r="B13" s="482"/>
      <c r="C13" s="482"/>
      <c r="D13" s="482"/>
      <c r="E13" s="482"/>
      <c r="F13" s="482"/>
      <c r="G13" s="482"/>
    </row>
    <row r="14" spans="1:26" ht="18" thickBot="1" x14ac:dyDescent="0.3">
      <c r="C14" s="483" t="str">
        <f>IF('1. Information Sheet'!F26="COS", "Proposed Base Rates in Current CoS Application", "Current OEB-Approved Base Rates")</f>
        <v>Current OEB-Approved Base Rates</v>
      </c>
      <c r="D14" s="483"/>
      <c r="E14" s="483"/>
      <c r="G14" s="483" t="str">
        <f>'3. Growth Factor - NUM_CALC1'!C15</f>
        <v>2019 Actual Distribution Demand</v>
      </c>
      <c r="H14" s="483"/>
      <c r="I14" s="483"/>
    </row>
    <row r="15" spans="1:26" s="113" customFormat="1" ht="63" x14ac:dyDescent="0.25">
      <c r="A15" s="110" t="s">
        <v>593</v>
      </c>
      <c r="B15" s="111"/>
      <c r="C15" s="112" t="s">
        <v>597</v>
      </c>
      <c r="D15" s="112" t="s">
        <v>598</v>
      </c>
      <c r="E15" s="112" t="s">
        <v>599</v>
      </c>
      <c r="F15" s="112"/>
      <c r="G15" s="112" t="s">
        <v>711</v>
      </c>
      <c r="H15" s="112" t="s">
        <v>600</v>
      </c>
      <c r="I15" s="112" t="s">
        <v>712</v>
      </c>
      <c r="J15" s="112"/>
      <c r="K15" s="112" t="s">
        <v>713</v>
      </c>
      <c r="L15" s="112" t="s">
        <v>714</v>
      </c>
      <c r="M15" s="112" t="s">
        <v>715</v>
      </c>
      <c r="N15" s="112" t="s">
        <v>716</v>
      </c>
      <c r="O15" s="112"/>
      <c r="P15" s="112" t="s">
        <v>717</v>
      </c>
      <c r="Q15" s="112" t="s">
        <v>718</v>
      </c>
      <c r="R15" s="112" t="s">
        <v>718</v>
      </c>
      <c r="S15" s="112" t="s">
        <v>608</v>
      </c>
    </row>
    <row r="16" spans="1:26" s="119" customFormat="1" ht="18.75" x14ac:dyDescent="0.25">
      <c r="A16" s="114"/>
      <c r="B16" s="115"/>
      <c r="C16" s="115" t="s">
        <v>618</v>
      </c>
      <c r="D16" s="115" t="s">
        <v>620</v>
      </c>
      <c r="E16" s="115" t="s">
        <v>622</v>
      </c>
      <c r="F16" s="115"/>
      <c r="G16" s="115" t="s">
        <v>609</v>
      </c>
      <c r="H16" s="115" t="s">
        <v>610</v>
      </c>
      <c r="I16" s="115" t="s">
        <v>611</v>
      </c>
      <c r="J16" s="115"/>
      <c r="K16" s="116" t="s">
        <v>627</v>
      </c>
      <c r="L16" s="116" t="s">
        <v>745</v>
      </c>
      <c r="M16" s="116" t="s">
        <v>631</v>
      </c>
      <c r="N16" s="116" t="s">
        <v>633</v>
      </c>
      <c r="O16" s="115"/>
      <c r="P16" s="117" t="s">
        <v>719</v>
      </c>
      <c r="Q16" s="117" t="s">
        <v>720</v>
      </c>
      <c r="R16" s="117" t="s">
        <v>721</v>
      </c>
      <c r="S16" s="117" t="s">
        <v>747</v>
      </c>
      <c r="T16" s="118"/>
      <c r="U16" s="118"/>
      <c r="V16" s="118"/>
      <c r="W16" s="118"/>
      <c r="X16" s="118"/>
      <c r="Y16" s="118"/>
      <c r="Z16" s="118"/>
    </row>
    <row r="17" spans="1:26" x14ac:dyDescent="0.25">
      <c r="A17" s="389" t="s">
        <v>77</v>
      </c>
      <c r="B17" s="389"/>
      <c r="C17" s="404">
        <f>'3. Growth Factor - NUM_CALC1'!G17</f>
        <v>24.71</v>
      </c>
      <c r="D17" s="391">
        <f>'3. Growth Factor - NUM_CALC1'!H17</f>
        <v>0</v>
      </c>
      <c r="E17" s="391">
        <f>'3. Growth Factor - NUM_CALC1'!I17</f>
        <v>0</v>
      </c>
      <c r="F17" s="391"/>
      <c r="G17" s="405">
        <f>'3. Growth Factor - NUM_CALC1'!C17</f>
        <v>154770</v>
      </c>
      <c r="H17" s="405">
        <f>'3. Growth Factor - NUM_CALC1'!D17</f>
        <v>1338716137.0932236</v>
      </c>
      <c r="I17" s="405">
        <f>'3. Growth Factor - NUM_CALC1'!E17</f>
        <v>0</v>
      </c>
      <c r="J17" s="389"/>
      <c r="K17" s="394">
        <f t="shared" ref="K17:K26" si="0">G17*C17*12</f>
        <v>45892400.400000006</v>
      </c>
      <c r="L17" s="394">
        <f t="shared" ref="L17:L26" si="1">H17*D17</f>
        <v>0</v>
      </c>
      <c r="M17" s="394">
        <f t="shared" ref="M17:M26" si="2">I17*E17</f>
        <v>0</v>
      </c>
      <c r="N17" s="394">
        <f t="shared" ref="N17:N26" si="3">SUM(K17,L17,M17)</f>
        <v>45892400.400000006</v>
      </c>
      <c r="O17" s="389"/>
      <c r="P17" s="409">
        <f>IF(ISERROR(K17/N27),0,K17/N27)</f>
        <v>0.58172164423979122</v>
      </c>
      <c r="Q17" s="409">
        <f>IF(ISERROR(L17/N27),0,L17/N27)</f>
        <v>0</v>
      </c>
      <c r="R17" s="409">
        <f>IF(ISERROR(M17/N27),0,M17/N27)</f>
        <v>0</v>
      </c>
      <c r="S17" s="395">
        <f>N17/N27</f>
        <v>0.58172164423979122</v>
      </c>
    </row>
    <row r="18" spans="1:26" x14ac:dyDescent="0.25">
      <c r="A18" s="158" t="s">
        <v>86</v>
      </c>
      <c r="B18" s="158"/>
      <c r="C18" s="406">
        <f>'3. Growth Factor - NUM_CALC1'!G18</f>
        <v>26.09</v>
      </c>
      <c r="D18" s="159">
        <f>'3. Growth Factor - NUM_CALC1'!H18</f>
        <v>1.7399999999999999E-2</v>
      </c>
      <c r="E18" s="159">
        <f>'3. Growth Factor - NUM_CALC1'!I18</f>
        <v>0</v>
      </c>
      <c r="F18" s="159"/>
      <c r="G18" s="407">
        <f>'3. Growth Factor - NUM_CALC1'!C18</f>
        <v>9733</v>
      </c>
      <c r="H18" s="407">
        <f>'3. Growth Factor - NUM_CALC1'!D18</f>
        <v>350101690.2006948</v>
      </c>
      <c r="I18" s="407">
        <f>'3. Growth Factor - NUM_CALC1'!E18</f>
        <v>0</v>
      </c>
      <c r="J18" s="158"/>
      <c r="K18" s="399">
        <f t="shared" si="0"/>
        <v>3047207.64</v>
      </c>
      <c r="L18" s="399">
        <f t="shared" si="1"/>
        <v>6091769.4094920894</v>
      </c>
      <c r="M18" s="399">
        <f t="shared" si="2"/>
        <v>0</v>
      </c>
      <c r="N18" s="399">
        <f t="shared" si="3"/>
        <v>9138977.0494920891</v>
      </c>
      <c r="O18" s="158"/>
      <c r="P18" s="410">
        <f>IF(ISERROR(K18/N27),0,K18/N27)</f>
        <v>3.8625711952971924E-2</v>
      </c>
      <c r="Q18" s="410">
        <f>IF(ISERROR(L18/N27),0,L18/N27)</f>
        <v>7.7217885452324261E-2</v>
      </c>
      <c r="R18" s="410">
        <f>IF(ISERROR(M18/N27),0,M18/N27)</f>
        <v>0</v>
      </c>
      <c r="S18" s="161">
        <f>N18/N27</f>
        <v>0.11584359740529618</v>
      </c>
    </row>
    <row r="19" spans="1:26" x14ac:dyDescent="0.25">
      <c r="A19" s="158" t="s">
        <v>219</v>
      </c>
      <c r="B19" s="158"/>
      <c r="C19" s="406">
        <f>'3. Growth Factor - NUM_CALC1'!G19</f>
        <v>130.16</v>
      </c>
      <c r="D19" s="159">
        <f>'3. Growth Factor - NUM_CALC1'!H19</f>
        <v>0</v>
      </c>
      <c r="E19" s="159">
        <f>'3. Growth Factor - NUM_CALC1'!I19</f>
        <v>2.9479000000000002</v>
      </c>
      <c r="F19" s="159"/>
      <c r="G19" s="407">
        <f>'3. Growth Factor - NUM_CALC1'!C19</f>
        <v>1620</v>
      </c>
      <c r="H19" s="407">
        <f>'3. Growth Factor - NUM_CALC1'!D19</f>
        <v>1119807677.0631137</v>
      </c>
      <c r="I19" s="407">
        <f>'3. Growth Factor - NUM_CALC1'!E19</f>
        <v>3087734</v>
      </c>
      <c r="J19" s="158"/>
      <c r="K19" s="399">
        <f t="shared" si="0"/>
        <v>2530310.4</v>
      </c>
      <c r="L19" s="399">
        <f t="shared" si="1"/>
        <v>0</v>
      </c>
      <c r="M19" s="399">
        <f t="shared" si="2"/>
        <v>9102331.058600001</v>
      </c>
      <c r="N19" s="399">
        <f t="shared" si="3"/>
        <v>11632641.458600001</v>
      </c>
      <c r="O19" s="158"/>
      <c r="P19" s="410">
        <f>IF(ISERROR(K19/N27),0,K19/N27)</f>
        <v>3.2073639938107128E-2</v>
      </c>
      <c r="Q19" s="410">
        <f>IF(ISERROR(L19/N27),0,L19/N27)</f>
        <v>0</v>
      </c>
      <c r="R19" s="410">
        <f>IF(ISERROR(M19/N27),0,M19/N27)</f>
        <v>0.1153790811479042</v>
      </c>
      <c r="S19" s="161">
        <f>N19/N27</f>
        <v>0.14745272108601135</v>
      </c>
    </row>
    <row r="20" spans="1:26" x14ac:dyDescent="0.25">
      <c r="A20" s="158" t="s">
        <v>225</v>
      </c>
      <c r="B20" s="158"/>
      <c r="C20" s="406">
        <f>'3. Growth Factor - NUM_CALC1'!G20</f>
        <v>1174.3399999999999</v>
      </c>
      <c r="D20" s="159">
        <f>'3. Growth Factor - NUM_CALC1'!H20</f>
        <v>0</v>
      </c>
      <c r="E20" s="159">
        <f>'3. Growth Factor - NUM_CALC1'!I20</f>
        <v>3.4220999999999999</v>
      </c>
      <c r="F20" s="159"/>
      <c r="G20" s="407">
        <f>'3. Growth Factor - NUM_CALC1'!C20</f>
        <v>105</v>
      </c>
      <c r="H20" s="407">
        <f>'3. Growth Factor - NUM_CALC1'!D20</f>
        <v>834408608.75273895</v>
      </c>
      <c r="I20" s="407">
        <f>'3. Growth Factor - NUM_CALC1'!E20</f>
        <v>1951568</v>
      </c>
      <c r="J20" s="158"/>
      <c r="K20" s="399">
        <f t="shared" si="0"/>
        <v>1479668.4</v>
      </c>
      <c r="L20" s="399">
        <f t="shared" si="1"/>
        <v>0</v>
      </c>
      <c r="M20" s="399">
        <f t="shared" si="2"/>
        <v>6678460.8527999995</v>
      </c>
      <c r="N20" s="399">
        <f t="shared" si="3"/>
        <v>8158129.252799999</v>
      </c>
      <c r="O20" s="158"/>
      <c r="P20" s="410">
        <f>IF(ISERROR(K20/N27),0,K20/N27)</f>
        <v>1.8755940571320844E-2</v>
      </c>
      <c r="Q20" s="410">
        <f>IF(ISERROR(L20/N27),0,L20/N27)</f>
        <v>0</v>
      </c>
      <c r="R20" s="410">
        <f>IF(ISERROR(M20/N27),0,M20/N27)</f>
        <v>8.4654652936434621E-2</v>
      </c>
      <c r="S20" s="161">
        <f>N20/N27</f>
        <v>0.10341059350775546</v>
      </c>
    </row>
    <row r="21" spans="1:26" x14ac:dyDescent="0.25">
      <c r="A21" s="158" t="s">
        <v>116</v>
      </c>
      <c r="B21" s="158"/>
      <c r="C21" s="406">
        <f>'3. Growth Factor - NUM_CALC1'!G21</f>
        <v>4886.67</v>
      </c>
      <c r="D21" s="159">
        <f>'3. Growth Factor - NUM_CALC1'!H21</f>
        <v>0</v>
      </c>
      <c r="E21" s="159">
        <f>'3. Growth Factor - NUM_CALC1'!I21</f>
        <v>2.5909</v>
      </c>
      <c r="F21" s="159"/>
      <c r="G21" s="407">
        <f>'3. Growth Factor - NUM_CALC1'!C21</f>
        <v>6</v>
      </c>
      <c r="H21" s="407">
        <f>'3. Growth Factor - NUM_CALC1'!D21</f>
        <v>347102418.30584443</v>
      </c>
      <c r="I21" s="407">
        <f>'3. Growth Factor - NUM_CALC1'!E21</f>
        <v>656588.31958770775</v>
      </c>
      <c r="J21" s="158"/>
      <c r="K21" s="399">
        <f t="shared" si="0"/>
        <v>351840.24</v>
      </c>
      <c r="L21" s="399">
        <f t="shared" si="1"/>
        <v>0</v>
      </c>
      <c r="M21" s="399">
        <f t="shared" si="2"/>
        <v>1701154.677219792</v>
      </c>
      <c r="N21" s="399">
        <f t="shared" si="3"/>
        <v>2052994.917219792</v>
      </c>
      <c r="O21" s="158"/>
      <c r="P21" s="410">
        <f>IF(ISERROR(K21/N27),0,K21/N27)</f>
        <v>4.4598469711451989E-3</v>
      </c>
      <c r="Q21" s="410">
        <f>IF(ISERROR(L21/N27),0,L21/N27)</f>
        <v>0</v>
      </c>
      <c r="R21" s="410">
        <f>IF(ISERROR(M21/N27),0,M21/N27)</f>
        <v>2.1563450316678327E-2</v>
      </c>
      <c r="S21" s="161">
        <f>N21/N27</f>
        <v>2.6023297287823526E-2</v>
      </c>
    </row>
    <row r="22" spans="1:26" x14ac:dyDescent="0.25">
      <c r="A22" s="158" t="s">
        <v>123</v>
      </c>
      <c r="B22" s="158"/>
      <c r="C22" s="406">
        <f>'3. Growth Factor - NUM_CALC1'!G22</f>
        <v>1.1299999999999999</v>
      </c>
      <c r="D22" s="159">
        <f>'3. Growth Factor - NUM_CALC1'!H22</f>
        <v>2.0500000000000001E-2</v>
      </c>
      <c r="E22" s="159">
        <f>'3. Growth Factor - NUM_CALC1'!I22</f>
        <v>0</v>
      </c>
      <c r="F22" s="159"/>
      <c r="G22" s="407">
        <f>'3. Growth Factor - NUM_CALC1'!C22</f>
        <v>1556</v>
      </c>
      <c r="H22" s="407">
        <f>'3. Growth Factor - NUM_CALC1'!D22</f>
        <v>6563290.3233262245</v>
      </c>
      <c r="I22" s="407">
        <f>'3. Growth Factor - NUM_CALC1'!E22</f>
        <v>0</v>
      </c>
      <c r="J22" s="158"/>
      <c r="K22" s="399">
        <f t="shared" si="0"/>
        <v>21099.359999999997</v>
      </c>
      <c r="L22" s="399">
        <f t="shared" si="1"/>
        <v>134547.45162818761</v>
      </c>
      <c r="M22" s="399">
        <f t="shared" si="2"/>
        <v>0</v>
      </c>
      <c r="N22" s="399">
        <f t="shared" si="3"/>
        <v>155646.8116281876</v>
      </c>
      <c r="O22" s="158"/>
      <c r="P22" s="410">
        <f>IF(ISERROR(K22/N27),0,K22/N27)</f>
        <v>2.6745069520502307E-4</v>
      </c>
      <c r="Q22" s="410">
        <f>IF(ISERROR(L22/N27),0,L22/N27)</f>
        <v>1.7054929379859386E-3</v>
      </c>
      <c r="R22" s="410">
        <f>IF(ISERROR(M22/N27),0,M22/N27)</f>
        <v>0</v>
      </c>
      <c r="S22" s="161">
        <f>N22/N27</f>
        <v>1.9729436331909615E-3</v>
      </c>
    </row>
    <row r="23" spans="1:26" x14ac:dyDescent="0.25">
      <c r="A23" s="158" t="s">
        <v>68</v>
      </c>
      <c r="B23" s="158"/>
      <c r="C23" s="406">
        <f>'3. Growth Factor - NUM_CALC1'!G23</f>
        <v>2.39</v>
      </c>
      <c r="D23" s="159">
        <f>'3. Growth Factor - NUM_CALC1'!H23</f>
        <v>0</v>
      </c>
      <c r="E23" s="159">
        <f>'3. Growth Factor - NUM_CALC1'!I23</f>
        <v>11.9826</v>
      </c>
      <c r="F23" s="159"/>
      <c r="G23" s="407">
        <f>'3. Growth Factor - NUM_CALC1'!C23</f>
        <v>20988</v>
      </c>
      <c r="H23" s="407">
        <f>'3. Growth Factor - NUM_CALC1'!D23</f>
        <v>30181776.056474227</v>
      </c>
      <c r="I23" s="407">
        <f>'3. Growth Factor - NUM_CALC1'!E23</f>
        <v>86164.394</v>
      </c>
      <c r="J23" s="158"/>
      <c r="K23" s="399">
        <f t="shared" si="0"/>
        <v>601935.84</v>
      </c>
      <c r="L23" s="399">
        <f t="shared" si="1"/>
        <v>0</v>
      </c>
      <c r="M23" s="399">
        <f t="shared" si="2"/>
        <v>1032473.4675444</v>
      </c>
      <c r="N23" s="399">
        <f t="shared" si="3"/>
        <v>1634409.3075444</v>
      </c>
      <c r="O23" s="158"/>
      <c r="P23" s="410">
        <f>IF(ISERROR(K23/N27),0,K23/N27)</f>
        <v>7.6300019942225515E-3</v>
      </c>
      <c r="Q23" s="410">
        <f>IF(ISERROR(L23/N27),0,L23/N27)</f>
        <v>0</v>
      </c>
      <c r="R23" s="410">
        <f>IF(ISERROR(M23/N27),0,M23/N27)</f>
        <v>1.3087399175875033E-2</v>
      </c>
      <c r="S23" s="161">
        <f>N23/N27</f>
        <v>2.0717401170097585E-2</v>
      </c>
    </row>
    <row r="24" spans="1:26" x14ac:dyDescent="0.25">
      <c r="A24" s="158" t="s">
        <v>45</v>
      </c>
      <c r="B24" s="158"/>
      <c r="C24" s="406">
        <f>'3. Growth Factor - NUM_CALC1'!G24</f>
        <v>4319.84</v>
      </c>
      <c r="D24" s="159">
        <f>'3. Growth Factor - NUM_CALC1'!H24</f>
        <v>0</v>
      </c>
      <c r="E24" s="159">
        <f>'3. Growth Factor - NUM_CALC1'!I24</f>
        <v>0</v>
      </c>
      <c r="F24" s="159"/>
      <c r="G24" s="407">
        <f>'3. Growth Factor - NUM_CALC1'!C24</f>
        <v>1</v>
      </c>
      <c r="H24" s="407">
        <f>'3. Growth Factor - NUM_CALC1'!D24</f>
        <v>15915.06977652</v>
      </c>
      <c r="I24" s="407">
        <f>'3. Growth Factor - NUM_CALC1'!E24</f>
        <v>0</v>
      </c>
      <c r="J24" s="158"/>
      <c r="K24" s="399">
        <f t="shared" si="0"/>
        <v>51838.080000000002</v>
      </c>
      <c r="L24" s="399">
        <f t="shared" si="1"/>
        <v>0</v>
      </c>
      <c r="M24" s="399">
        <f t="shared" si="2"/>
        <v>0</v>
      </c>
      <c r="N24" s="399">
        <f t="shared" si="3"/>
        <v>51838.080000000002</v>
      </c>
      <c r="O24" s="158"/>
      <c r="P24" s="410">
        <f>IF(ISERROR(K24/N27),0,K24/N27)</f>
        <v>6.5708772844738433E-4</v>
      </c>
      <c r="Q24" s="410">
        <f>IF(ISERROR(L24/N27),0,L24/N27)</f>
        <v>0</v>
      </c>
      <c r="R24" s="410">
        <f>IF(ISERROR(M24/N27),0,M24/N27)</f>
        <v>0</v>
      </c>
      <c r="S24" s="161">
        <f>N24/N27</f>
        <v>6.5708772844738433E-4</v>
      </c>
    </row>
    <row r="25" spans="1:26" x14ac:dyDescent="0.25">
      <c r="A25" s="158" t="s">
        <v>33</v>
      </c>
      <c r="B25" s="158"/>
      <c r="C25" s="406">
        <f>'3. Growth Factor - NUM_CALC1'!G25</f>
        <v>107.97</v>
      </c>
      <c r="D25" s="159">
        <f>'3. Growth Factor - NUM_CALC1'!H25</f>
        <v>0</v>
      </c>
      <c r="E25" s="159">
        <f>'3. Growth Factor - NUM_CALC1'!I25</f>
        <v>0</v>
      </c>
      <c r="F25" s="159"/>
      <c r="G25" s="407">
        <f>'3. Growth Factor - NUM_CALC1'!C25</f>
        <v>134</v>
      </c>
      <c r="H25" s="407">
        <f>'3. Growth Factor - NUM_CALC1'!D25</f>
        <v>293427.26428778644</v>
      </c>
      <c r="I25" s="407">
        <f>'3. Growth Factor - NUM_CALC1'!E25</f>
        <v>0</v>
      </c>
      <c r="J25" s="158"/>
      <c r="K25" s="399">
        <f t="shared" si="0"/>
        <v>173615.76</v>
      </c>
      <c r="L25" s="399">
        <f t="shared" si="1"/>
        <v>0</v>
      </c>
      <c r="M25" s="399">
        <f t="shared" si="2"/>
        <v>0</v>
      </c>
      <c r="N25" s="399">
        <f t="shared" si="3"/>
        <v>173615.76</v>
      </c>
      <c r="O25" s="158"/>
      <c r="P25" s="410">
        <f>IF(ISERROR(K25/N27),0,K25/N27)</f>
        <v>2.2007139415863059E-3</v>
      </c>
      <c r="Q25" s="410">
        <f>IF(ISERROR(L25/N27),0,L25/N27)</f>
        <v>0</v>
      </c>
      <c r="R25" s="410">
        <f>IF(ISERROR(M25/N27),0,M25/N27)</f>
        <v>0</v>
      </c>
      <c r="S25" s="161">
        <f>N25/N27</f>
        <v>2.2007139415863059E-3</v>
      </c>
    </row>
    <row r="26" spans="1:26" x14ac:dyDescent="0.25">
      <c r="A26" s="158" t="s">
        <v>143</v>
      </c>
      <c r="B26" s="158"/>
      <c r="C26" s="406">
        <f>'3. Growth Factor - NUM_CALC1'!G26</f>
        <v>0</v>
      </c>
      <c r="D26" s="159">
        <f>'3. Growth Factor - NUM_CALC1'!H26</f>
        <v>0</v>
      </c>
      <c r="E26" s="159">
        <f>'3. Growth Factor - NUM_CALC1'!I26</f>
        <v>1.7424999999999999</v>
      </c>
      <c r="F26" s="159"/>
      <c r="G26" s="407">
        <f>'3. Growth Factor - NUM_CALC1'!C26</f>
        <v>0</v>
      </c>
      <c r="H26" s="407">
        <f>'3. Growth Factor - NUM_CALC1'!D26</f>
        <v>0</v>
      </c>
      <c r="I26" s="407">
        <f>'3. Growth Factor - NUM_CALC1'!E26</f>
        <v>0</v>
      </c>
      <c r="J26" s="158"/>
      <c r="K26" s="399">
        <f t="shared" si="0"/>
        <v>0</v>
      </c>
      <c r="L26" s="399">
        <f t="shared" si="1"/>
        <v>0</v>
      </c>
      <c r="M26" s="399">
        <f t="shared" si="2"/>
        <v>0</v>
      </c>
      <c r="N26" s="399">
        <f t="shared" si="3"/>
        <v>0</v>
      </c>
      <c r="O26" s="158"/>
      <c r="P26" s="410">
        <f>IF(ISERROR(K26/N27),0,K26/N27)</f>
        <v>0</v>
      </c>
      <c r="Q26" s="410">
        <f>IF(ISERROR(L26/N27),0,L26/N27)</f>
        <v>0</v>
      </c>
      <c r="R26" s="410">
        <f>IF(ISERROR(M26/N27),0,M26/N27)</f>
        <v>0</v>
      </c>
      <c r="S26" s="161">
        <f>N26/N27</f>
        <v>0</v>
      </c>
    </row>
    <row r="27" spans="1:26" x14ac:dyDescent="0.25">
      <c r="A27" s="120" t="s">
        <v>767</v>
      </c>
      <c r="B27" s="120"/>
      <c r="C27" s="121"/>
      <c r="D27" s="121"/>
      <c r="E27" s="121"/>
      <c r="F27" s="121"/>
      <c r="G27" s="408"/>
      <c r="H27" s="408"/>
      <c r="I27" s="408"/>
      <c r="J27" s="120"/>
      <c r="K27" s="122">
        <f>SUM(K17:K26)</f>
        <v>54149916.120000005</v>
      </c>
      <c r="L27" s="122">
        <f>SUM(L17:L26)</f>
        <v>6226316.8611202771</v>
      </c>
      <c r="M27" s="122">
        <f>SUM(M17:M26)</f>
        <v>18514420.056164194</v>
      </c>
      <c r="N27" s="122">
        <f>SUM(N17:N26)</f>
        <v>78890653.037284479</v>
      </c>
      <c r="O27" s="120"/>
      <c r="P27" s="123"/>
      <c r="Q27" s="123"/>
      <c r="R27" s="123"/>
      <c r="S27" s="123">
        <f>SUM(S17:S26)</f>
        <v>1</v>
      </c>
      <c r="T27" s="118"/>
      <c r="U27" s="118"/>
      <c r="V27" s="118"/>
      <c r="W27" s="118"/>
      <c r="X27" s="118"/>
      <c r="Y27" s="118"/>
      <c r="Z27" s="118"/>
    </row>
    <row r="28" spans="1:26" x14ac:dyDescent="0.25">
      <c r="C28" s="124"/>
      <c r="D28" s="124"/>
      <c r="E28" s="124"/>
      <c r="F28" s="124"/>
      <c r="G28" s="124"/>
      <c r="H28" s="124"/>
      <c r="I28" s="124"/>
    </row>
    <row r="29" spans="1:26" x14ac:dyDescent="0.25">
      <c r="C29" s="124"/>
      <c r="D29" s="124"/>
      <c r="E29" s="124"/>
      <c r="F29" s="124"/>
      <c r="G29" s="124"/>
      <c r="H29" s="124"/>
      <c r="I29" s="124"/>
    </row>
    <row r="30" spans="1:26" x14ac:dyDescent="0.25">
      <c r="C30" s="124"/>
      <c r="D30" s="124"/>
      <c r="E30" s="124"/>
      <c r="F30" s="124"/>
      <c r="G30" s="124"/>
      <c r="H30" s="124"/>
      <c r="I30" s="124"/>
    </row>
    <row r="31" spans="1:26" x14ac:dyDescent="0.25">
      <c r="C31" s="124"/>
      <c r="D31" s="124"/>
      <c r="E31" s="124"/>
      <c r="F31" s="124"/>
      <c r="G31" s="124"/>
      <c r="H31" s="124"/>
      <c r="I31" s="124"/>
    </row>
    <row r="32" spans="1:26" x14ac:dyDescent="0.25">
      <c r="C32" s="124"/>
      <c r="D32" s="124"/>
      <c r="E32" s="124"/>
      <c r="F32" s="124"/>
      <c r="G32" s="124"/>
      <c r="H32" s="124"/>
      <c r="I32" s="124"/>
    </row>
    <row r="33" spans="3:9" x14ac:dyDescent="0.25">
      <c r="C33" s="124"/>
      <c r="D33" s="124"/>
      <c r="E33" s="124"/>
      <c r="F33" s="124"/>
      <c r="G33" s="124"/>
      <c r="H33" s="124"/>
      <c r="I33" s="124"/>
    </row>
    <row r="34" spans="3:9" x14ac:dyDescent="0.25">
      <c r="C34" s="124"/>
      <c r="D34" s="124"/>
      <c r="E34" s="124"/>
      <c r="F34" s="124"/>
      <c r="G34" s="124"/>
      <c r="H34" s="124"/>
      <c r="I34" s="124"/>
    </row>
    <row r="35" spans="3:9" x14ac:dyDescent="0.25">
      <c r="C35" s="124"/>
      <c r="D35" s="124"/>
      <c r="E35" s="124"/>
      <c r="F35" s="124"/>
      <c r="G35" s="124"/>
      <c r="H35" s="124"/>
      <c r="I35" s="124"/>
    </row>
    <row r="36" spans="3:9" x14ac:dyDescent="0.25">
      <c r="C36" s="124"/>
      <c r="D36" s="124"/>
      <c r="E36" s="124"/>
      <c r="F36" s="124"/>
      <c r="G36" s="124"/>
      <c r="H36" s="124"/>
      <c r="I36" s="124"/>
    </row>
    <row r="37" spans="3:9" x14ac:dyDescent="0.25">
      <c r="C37" s="124"/>
      <c r="D37" s="124"/>
      <c r="E37" s="124"/>
      <c r="F37" s="124"/>
      <c r="G37" s="124"/>
      <c r="H37" s="124"/>
      <c r="I37" s="124"/>
    </row>
    <row r="38" spans="3:9" x14ac:dyDescent="0.25">
      <c r="C38" s="124"/>
      <c r="D38" s="124"/>
      <c r="E38" s="124"/>
      <c r="F38" s="124"/>
      <c r="G38" s="124"/>
      <c r="H38" s="124"/>
      <c r="I38" s="124"/>
    </row>
    <row r="39" spans="3:9" x14ac:dyDescent="0.25">
      <c r="C39" s="124"/>
      <c r="D39" s="124"/>
      <c r="E39" s="124"/>
      <c r="F39" s="124"/>
      <c r="G39" s="124"/>
      <c r="H39" s="124"/>
      <c r="I39" s="124"/>
    </row>
    <row r="40" spans="3:9" x14ac:dyDescent="0.25">
      <c r="C40" s="124"/>
      <c r="D40" s="124"/>
      <c r="E40" s="124"/>
      <c r="F40" s="124"/>
      <c r="G40" s="124"/>
      <c r="H40" s="124"/>
      <c r="I40" s="124"/>
    </row>
    <row r="41" spans="3:9" x14ac:dyDescent="0.25">
      <c r="C41" s="124"/>
      <c r="D41" s="124"/>
      <c r="E41" s="124"/>
      <c r="F41" s="124"/>
      <c r="G41" s="124"/>
      <c r="H41" s="124"/>
      <c r="I41" s="124"/>
    </row>
    <row r="42" spans="3:9" x14ac:dyDescent="0.25">
      <c r="C42" s="124"/>
      <c r="D42" s="124"/>
      <c r="E42" s="124"/>
      <c r="F42" s="124"/>
      <c r="G42" s="124"/>
      <c r="H42" s="124"/>
      <c r="I42" s="124"/>
    </row>
    <row r="43" spans="3:9" x14ac:dyDescent="0.25">
      <c r="C43" s="124"/>
      <c r="D43" s="124"/>
      <c r="E43" s="124"/>
      <c r="F43" s="124"/>
      <c r="G43" s="124"/>
      <c r="H43" s="124"/>
      <c r="I43" s="124"/>
    </row>
    <row r="44" spans="3:9" x14ac:dyDescent="0.25">
      <c r="C44" s="124"/>
      <c r="D44" s="124"/>
      <c r="E44" s="124"/>
      <c r="F44" s="124"/>
      <c r="G44" s="124"/>
      <c r="H44" s="124"/>
      <c r="I44" s="124"/>
    </row>
    <row r="45" spans="3:9" x14ac:dyDescent="0.25">
      <c r="C45" s="124"/>
      <c r="D45" s="124"/>
      <c r="E45" s="124"/>
      <c r="F45" s="124"/>
      <c r="G45" s="124"/>
      <c r="H45" s="124"/>
      <c r="I45" s="124"/>
    </row>
    <row r="46" spans="3:9" x14ac:dyDescent="0.25">
      <c r="C46" s="124"/>
      <c r="D46" s="124"/>
      <c r="E46" s="124"/>
      <c r="F46" s="124"/>
      <c r="G46" s="124"/>
      <c r="H46" s="124"/>
      <c r="I46" s="124"/>
    </row>
    <row r="47" spans="3:9" x14ac:dyDescent="0.25">
      <c r="C47" s="124"/>
      <c r="D47" s="124"/>
      <c r="E47" s="124"/>
      <c r="F47" s="124"/>
      <c r="G47" s="124"/>
      <c r="H47" s="124"/>
      <c r="I47" s="124"/>
    </row>
    <row r="48" spans="3:9" x14ac:dyDescent="0.25">
      <c r="C48" s="124"/>
      <c r="D48" s="124"/>
      <c r="E48" s="124"/>
      <c r="F48" s="124"/>
      <c r="G48" s="124"/>
      <c r="H48" s="124"/>
      <c r="I48" s="124"/>
    </row>
    <row r="49" spans="3:9" x14ac:dyDescent="0.25">
      <c r="C49" s="124"/>
      <c r="D49" s="124"/>
      <c r="E49" s="124"/>
      <c r="F49" s="124"/>
      <c r="G49" s="124"/>
      <c r="H49" s="124"/>
      <c r="I49" s="124"/>
    </row>
    <row r="50" spans="3:9" x14ac:dyDescent="0.25">
      <c r="C50" s="124"/>
      <c r="D50" s="124"/>
      <c r="E50" s="124"/>
      <c r="F50" s="124"/>
      <c r="G50" s="124"/>
      <c r="H50" s="124"/>
      <c r="I50" s="124"/>
    </row>
  </sheetData>
  <sheetProtection password="F8BD"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37</vt:i4>
      </vt:variant>
    </vt:vector>
  </HeadingPairs>
  <TitlesOfParts>
    <vt:vector size="51"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'11. Rate Rider Calc'!d</vt:lpstr>
      <vt:lpstr>'9a. Proposed ACM Projects'!d</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'2. Rate Class Selection'!Print_Area</vt:lpstr>
      <vt:lpstr>'5. Rev_Requ_Check'!Print_Area</vt:lpstr>
      <vt:lpstr>Rate_Class</vt:lpstr>
      <vt:lpstr>'11. Rate Rider Calc'!RB</vt:lpstr>
      <vt:lpstr>'9a. Proposed ACM Projects'!RB</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Natalie Yeates</cp:lastModifiedBy>
  <cp:lastPrinted>2020-08-13T19:33:29Z</cp:lastPrinted>
  <dcterms:created xsi:type="dcterms:W3CDTF">2019-03-12T18:12:16Z</dcterms:created>
  <dcterms:modified xsi:type="dcterms:W3CDTF">2020-08-14T18:21:03Z</dcterms:modified>
</cp:coreProperties>
</file>