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30" windowWidth="15480" windowHeight="11520" activeTab="1"/>
  </bookViews>
  <sheets>
    <sheet name="Summary" sheetId="1" r:id="rId1"/>
    <sheet name="Revenue Requirement" sheetId="2" r:id="rId2"/>
    <sheet name="PILs" sheetId="3" r:id="rId3"/>
    <sheet name="Avg Nt Fix Ass &amp;UCC" sheetId="4" r:id="rId4"/>
  </sheets>
  <definedNames>
    <definedName name="_xlnm.Print_Area" localSheetId="3">'Avg Nt Fix Ass &amp;UCC'!$A$1:$T$144</definedName>
    <definedName name="_xlnm.Print_Area" localSheetId="2">'PILs'!$A$1:$W$35</definedName>
    <definedName name="_xlnm.Print_Area" localSheetId="1">'Revenue Requirement'!$A$1:$AJ$27</definedName>
    <definedName name="_xlnm.Print_Area" localSheetId="0">'Summary'!$A$1:$R$23</definedName>
  </definedNames>
  <calcPr calcMode="autoNoTable" fullCalcOnLoad="1"/>
</workbook>
</file>

<file path=xl/sharedStrings.xml><?xml version="1.0" encoding="utf-8"?>
<sst xmlns="http://schemas.openxmlformats.org/spreadsheetml/2006/main" count="203" uniqueCount="93">
  <si>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</si>
  <si>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</si>
  <si>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</si>
  <si>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</si>
  <si>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</si>
  <si>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</si>
  <si>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</si>
  <si>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</si>
  <si>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</si>
  <si>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</si>
  <si>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</si>
  <si>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</si>
  <si>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</si>
  <si>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</si>
  <si>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</si>
  <si>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</si>
  <si>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</si>
  <si>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</si>
  <si>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</si>
  <si>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</si>
  <si>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</si>
  <si>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</si>
  <si>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</si>
  <si>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</si>
  <si>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</si>
  <si>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</si>
  <si>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</si>
  <si>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</si>
  <si>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</si>
  <si>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</si>
  <si>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</si>
  <si>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</si>
  <si>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</si>
  <si>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</si>
  <si>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</si>
  <si>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</si>
  <si>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</si>
  <si>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</si>
  <si>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</si>
  <si>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</si>
  <si>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</si>
  <si>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CCA Rate Class</t>
  </si>
  <si>
    <t xml:space="preserve">CCA Rate </t>
  </si>
  <si>
    <t>Net Fixed Assets</t>
  </si>
  <si>
    <t>Capital Investment</t>
  </si>
  <si>
    <t>Amortization Year One</t>
  </si>
  <si>
    <t>Amortization Thereafter</t>
  </si>
  <si>
    <t>Tax Rate</t>
  </si>
  <si>
    <t>Rate Base</t>
  </si>
  <si>
    <t>Net Fixed Assets/Software</t>
  </si>
  <si>
    <t>PowerStream Inc</t>
  </si>
  <si>
    <t>UCC / Class 47</t>
  </si>
  <si>
    <t>Total Amortization</t>
  </si>
  <si>
    <r>
      <t>Amortization</t>
    </r>
    <r>
      <rPr>
        <i/>
        <sz val="8"/>
        <rFont val="Calibri"/>
        <family val="2"/>
      </rPr>
      <t xml:space="preserve"> </t>
    </r>
  </si>
  <si>
    <r>
      <t>Net Fixed Assets /</t>
    </r>
    <r>
      <rPr>
        <b/>
        <i/>
        <sz val="12"/>
        <rFont val="Calibri"/>
        <family val="2"/>
      </rPr>
      <t>P&amp;C systems</t>
    </r>
  </si>
  <si>
    <r>
      <t>Net Fixed Assets /</t>
    </r>
    <r>
      <rPr>
        <b/>
        <i/>
        <sz val="12"/>
        <rFont val="Calibri"/>
        <family val="2"/>
      </rPr>
      <t>1912</t>
    </r>
  </si>
  <si>
    <t>Provincial Rate Protection - Revenue Requirement</t>
  </si>
  <si>
    <t xml:space="preserve">Renewable Generation Connection Rate Protection </t>
  </si>
  <si>
    <t>Compensation Amounts under Ontario Regulation 330/09</t>
  </si>
  <si>
    <t>Years</t>
  </si>
  <si>
    <t>Totals</t>
  </si>
  <si>
    <t>Additions</t>
  </si>
  <si>
    <r>
      <rPr>
        <b/>
        <sz val="12"/>
        <color indexed="8"/>
        <rFont val="Calibri"/>
        <family val="2"/>
      </rPr>
      <t>Net Fixed Assets /</t>
    </r>
    <r>
      <rPr>
        <b/>
        <sz val="12"/>
        <color indexed="8"/>
        <rFont val="Calibri"/>
        <family val="2"/>
      </rPr>
      <t>1981</t>
    </r>
  </si>
  <si>
    <r>
      <t>Net Fixed Assets /</t>
    </r>
    <r>
      <rPr>
        <b/>
        <i/>
        <sz val="12"/>
        <rFont val="Calibri"/>
        <family val="2"/>
      </rPr>
      <t>1845</t>
    </r>
  </si>
  <si>
    <t>UCC / Class 12</t>
  </si>
  <si>
    <t>TOTALS</t>
  </si>
  <si>
    <t>Net Fixed Assets/1818/1821</t>
  </si>
  <si>
    <t>Closing NFA</t>
  </si>
  <si>
    <t>Summary of Revenue Requirement for Recovery in 2016 - 2020</t>
  </si>
  <si>
    <t>2012 RGC Investment</t>
  </si>
  <si>
    <t>2013 RGC Investment</t>
  </si>
  <si>
    <t>2014 RGC Investment</t>
  </si>
  <si>
    <t>2015 RGC Investment</t>
  </si>
  <si>
    <t>2011 &amp; Prior RGC Investmentt</t>
  </si>
  <si>
    <t>Board Approved RR Basis</t>
  </si>
  <si>
    <t>Proposed for Recoveries - TEST YEARS</t>
  </si>
  <si>
    <t>2013 
(EB-2012-0161)</t>
  </si>
  <si>
    <t>2014 
(EB-2013-0166)</t>
  </si>
  <si>
    <t>2015 
(EB-2014-0608)</t>
  </si>
  <si>
    <t xml:space="preserve">RGC Eligible Investments </t>
  </si>
  <si>
    <t>NOTES:</t>
  </si>
  <si>
    <r>
      <t>$150,269</t>
    </r>
    <r>
      <rPr>
        <b/>
        <vertAlign val="superscript"/>
        <sz val="12"/>
        <rFont val="Arial Narrow"/>
        <family val="2"/>
      </rPr>
      <t>(1)</t>
    </r>
  </si>
  <si>
    <r>
      <t xml:space="preserve">$4,208 </t>
    </r>
    <r>
      <rPr>
        <b/>
        <vertAlign val="superscript"/>
        <sz val="12"/>
        <rFont val="Arial Narrow"/>
        <family val="2"/>
      </rPr>
      <t>(2)</t>
    </r>
  </si>
  <si>
    <t>(1)</t>
  </si>
  <si>
    <t>(2)</t>
  </si>
  <si>
    <t>Revenue Requirement for 2014 and 2015</t>
  </si>
  <si>
    <t xml:space="preserve">Revenue Requirement for 2015 </t>
  </si>
  <si>
    <t>2010-2020 RGC Investment</t>
  </si>
  <si>
    <t>Accumulated Amortization</t>
  </si>
  <si>
    <t>Amortization Expense</t>
  </si>
  <si>
    <t>Summary for Fixed Assets Schedule</t>
  </si>
  <si>
    <t>Amortization Expense Breakdown</t>
  </si>
  <si>
    <t>check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</si>
</sst>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  <numFmt numFmtId="185" formatCode="[$-409]mmmm\ d\,\ yyyy;@"/>
    <numFmt numFmtId="186" formatCode="#,##0_ ;[Red]\-#,##0\ "/>
    <numFmt numFmtId="187" formatCode="0.0"/>
    <numFmt numFmtId="188" formatCode="[$-F800]dddd\,\ mmmm\ dd\,\ yyyy"/>
    <numFmt numFmtId="189" formatCode="_-&quot;$&quot;* #,##0.0000_-;\-&quot;$&quot;* #,##0.0000_-;_-&quot;$&quot;* &quot;-&quot;????_-;_-@_-"/>
    <numFmt numFmtId="190" formatCode="_(* #,##0.0000_);_(* \(#,##0.0000\);_(* &quot;-&quot;??_);_(@_)"/>
    <numFmt numFmtId="191" formatCode="0_);[Red]\(0\)"/>
    <numFmt numFmtId="192" formatCode="&quot;$&quot;#,##0.00;[Red]&quot;$&quot;#,##0.00"/>
    <numFmt numFmtId="193" formatCode="_-&quot;$&quot;* #,##0.000_-;\-&quot;$&quot;* #,##0.000_-;_-&quot;$&quot;* &quot;-&quot;???_-;_-@_-"/>
    <numFmt numFmtId="194" formatCode="_-* #,##0.00000_-;\-* #,##0.00000_-;_-* &quot;-&quot;??_-;_-@_-"/>
    <numFmt numFmtId="195" formatCode="0.000"/>
    <numFmt numFmtId="196" formatCode="_-&quot;$&quot;* #,##0.0000_-;\-&quot;$&quot;* #,##0.0000_-;_-&quot;$&quot;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.00"/>
    <numFmt numFmtId="202" formatCode="&quot;$&quot;#,##0"/>
    <numFmt numFmtId="203" formatCode="&quot;$&quot;#,##0.0000_);[Red]\(&quot;$&quot;#,##0.0000\)"/>
    <numFmt numFmtId="204" formatCode="_(&quot;$&quot;* #,##0.0000_);_(&quot;$&quot;* \(#,##0.0000\);_(&quot;$&quot;* &quot;-&quot;????_);_(@_)"/>
    <numFmt numFmtId="205" formatCode="_(* #,##0_);_(* \(#,##0\);_(* &quot;-&quot;??_);_(@_)"/>
    <numFmt numFmtId="206" formatCode="_(* #,##0.000_);_(* \(#,##0.000\);_(* &quot;-&quot;??_);_(@_)"/>
    <numFmt numFmtId="207" formatCode="_(* #,##0.0_);_(* \(#,##0.0\);_(* &quot;-&quot;??_);_(@_)"/>
    <numFmt numFmtId="208" formatCode="#,##0_ ;\-#,##0\ "/>
    <numFmt numFmtId="209" formatCode="#,##0.00_ ;\-#,##0.00\ "/>
    <numFmt numFmtId="210" formatCode="0.000000%"/>
    <numFmt numFmtId="211" formatCode="_(&quot;$&quot;* #,##0.0_);_(&quot;$&quot;* \(#,##0.0\);_(&quot;$&quot;* &quot;-&quot;?_);_(@_)"/>
    <numFmt numFmtId="212" formatCode="&quot;$&quot;#,##0.000_);[Red]\(&quot;$&quot;#,##0.000\)"/>
    <numFmt numFmtId="213" formatCode="&quot;$&quot;#,##0.0_);[Red]\(&quot;$&quot;#,##0.0\)"/>
    <numFmt numFmtId="214" formatCode="0.0000"/>
    <numFmt numFmtId="215" formatCode="&quot;$&quot;#,##0.0"/>
  </numFmts>
  <fonts count="52">
    <font>
      <sz val="12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7.5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vertAlign val="superscript"/>
      <sz val="12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Arial"/>
      <family val="2"/>
    </font>
    <font>
      <sz val="12"/>
      <color rgb="FFC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gray0625">
        <bgColor theme="6" tint="0.799979984760284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 horizontal="center"/>
    </xf>
    <xf numFmtId="173" fontId="23" fillId="0" borderId="0" xfId="47" applyNumberFormat="1" applyFont="1" applyAlignment="1">
      <alignment/>
    </xf>
    <xf numFmtId="168" fontId="23" fillId="0" borderId="0" xfId="0" applyNumberFormat="1" applyFont="1" applyAlignment="1">
      <alignment horizontal="center"/>
    </xf>
    <xf numFmtId="175" fontId="23" fillId="0" borderId="0" xfId="0" applyNumberFormat="1" applyFont="1" applyAlignment="1">
      <alignment horizontal="center"/>
    </xf>
    <xf numFmtId="173" fontId="23" fillId="0" borderId="10" xfId="0" applyNumberFormat="1" applyFont="1" applyBorder="1" applyAlignment="1">
      <alignment/>
    </xf>
    <xf numFmtId="173" fontId="23" fillId="0" borderId="0" xfId="0" applyNumberFormat="1" applyFont="1" applyAlignment="1">
      <alignment/>
    </xf>
    <xf numFmtId="9" fontId="25" fillId="0" borderId="0" xfId="0" applyNumberFormat="1" applyFont="1" applyAlignment="1">
      <alignment horizontal="center"/>
    </xf>
    <xf numFmtId="170" fontId="23" fillId="0" borderId="0" xfId="47" applyFont="1" applyAlignment="1">
      <alignment/>
    </xf>
    <xf numFmtId="0" fontId="25" fillId="0" borderId="0" xfId="0" applyFont="1" applyAlignment="1">
      <alignment/>
    </xf>
    <xf numFmtId="10" fontId="25" fillId="0" borderId="0" xfId="0" applyNumberFormat="1" applyFont="1" applyAlignment="1">
      <alignment horizontal="center"/>
    </xf>
    <xf numFmtId="173" fontId="23" fillId="0" borderId="11" xfId="0" applyNumberFormat="1" applyFont="1" applyBorder="1" applyAlignment="1">
      <alignment/>
    </xf>
    <xf numFmtId="173" fontId="24" fillId="24" borderId="0" xfId="0" applyNumberFormat="1" applyFont="1" applyFill="1" applyAlignment="1">
      <alignment/>
    </xf>
    <xf numFmtId="173" fontId="24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66" applyFont="1" applyFill="1" applyProtection="1">
      <alignment/>
      <protection/>
    </xf>
    <xf numFmtId="0" fontId="38" fillId="0" borderId="0" xfId="66" applyFont="1" applyFill="1">
      <alignment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Protection="1">
      <alignment/>
      <protection/>
    </xf>
    <xf numFmtId="0" fontId="38" fillId="0" borderId="0" xfId="66" applyFont="1" applyFill="1" applyAlignment="1" applyProtection="1">
      <alignment horizontal="center"/>
      <protection/>
    </xf>
    <xf numFmtId="173" fontId="38" fillId="0" borderId="0" xfId="47" applyNumberFormat="1" applyFont="1" applyFill="1" applyAlignment="1" applyProtection="1">
      <alignment/>
      <protection/>
    </xf>
    <xf numFmtId="173" fontId="38" fillId="0" borderId="11" xfId="47" applyNumberFormat="1" applyFont="1" applyFill="1" applyBorder="1" applyAlignment="1" applyProtection="1">
      <alignment/>
      <protection/>
    </xf>
    <xf numFmtId="10" fontId="38" fillId="0" borderId="0" xfId="66" applyNumberFormat="1" applyFont="1" applyFill="1" applyAlignment="1" applyProtection="1">
      <alignment horizontal="center"/>
      <protection/>
    </xf>
    <xf numFmtId="0" fontId="38" fillId="0" borderId="0" xfId="67" applyFont="1" applyFill="1" applyProtection="1">
      <alignment/>
      <protection/>
    </xf>
    <xf numFmtId="173" fontId="38" fillId="0" borderId="10" xfId="47" applyNumberFormat="1" applyFont="1" applyFill="1" applyBorder="1" applyAlignment="1" applyProtection="1">
      <alignment/>
      <protection/>
    </xf>
    <xf numFmtId="170" fontId="38" fillId="4" borderId="0" xfId="47" applyFont="1" applyFill="1" applyAlignment="1" applyProtection="1">
      <alignment/>
      <protection/>
    </xf>
    <xf numFmtId="176" fontId="38" fillId="0" borderId="0" xfId="68" applyNumberFormat="1" applyFont="1" applyFill="1">
      <alignment/>
      <protection/>
    </xf>
    <xf numFmtId="176" fontId="38" fillId="0" borderId="0" xfId="71" applyNumberFormat="1" applyFont="1" applyFill="1" applyAlignment="1" applyProtection="1">
      <alignment/>
      <protection/>
    </xf>
    <xf numFmtId="170" fontId="38" fillId="0" borderId="11" xfId="47" applyFont="1" applyFill="1" applyBorder="1" applyAlignment="1" applyProtection="1">
      <alignment/>
      <protection/>
    </xf>
    <xf numFmtId="0" fontId="40" fillId="0" borderId="0" xfId="66" applyFont="1" applyFill="1" applyAlignment="1" applyProtection="1">
      <alignment horizontal="left"/>
      <protection/>
    </xf>
    <xf numFmtId="0" fontId="38" fillId="0" borderId="0" xfId="66" applyFont="1" applyFill="1" applyAlignment="1" applyProtection="1">
      <alignment horizontal="center" wrapText="1"/>
      <protection/>
    </xf>
    <xf numFmtId="173" fontId="39" fillId="0" borderId="11" xfId="47" applyNumberFormat="1" applyFont="1" applyFill="1" applyBorder="1" applyAlignment="1" applyProtection="1">
      <alignment/>
      <protection/>
    </xf>
    <xf numFmtId="0" fontId="40" fillId="0" borderId="0" xfId="0" applyFont="1" applyAlignment="1">
      <alignment/>
    </xf>
    <xf numFmtId="173" fontId="37" fillId="0" borderId="0" xfId="47" applyNumberFormat="1" applyFont="1" applyFill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7" fillId="0" borderId="0" xfId="67" applyFont="1" applyFill="1" applyProtection="1">
      <alignment/>
      <protection/>
    </xf>
    <xf numFmtId="173" fontId="37" fillId="0" borderId="0" xfId="47" applyNumberFormat="1" applyFont="1" applyFill="1" applyAlignment="1" applyProtection="1">
      <alignment/>
      <protection/>
    </xf>
    <xf numFmtId="0" fontId="40" fillId="0" borderId="0" xfId="67" applyFont="1" applyFill="1" applyProtection="1">
      <alignment/>
      <protection/>
    </xf>
    <xf numFmtId="0" fontId="40" fillId="0" borderId="0" xfId="47" applyNumberFormat="1" applyFont="1" applyFill="1" applyAlignment="1" applyProtection="1">
      <alignment horizontal="center" vertical="center"/>
      <protection/>
    </xf>
    <xf numFmtId="0" fontId="37" fillId="0" borderId="0" xfId="47" applyNumberFormat="1" applyFont="1" applyFill="1" applyAlignment="1" applyProtection="1">
      <alignment horizontal="center"/>
      <protection/>
    </xf>
    <xf numFmtId="173" fontId="37" fillId="0" borderId="0" xfId="47" applyNumberFormat="1" applyFont="1" applyFill="1" applyAlignment="1" applyProtection="1">
      <alignment horizontal="center"/>
      <protection/>
    </xf>
    <xf numFmtId="0" fontId="37" fillId="0" borderId="0" xfId="67" applyFont="1" applyFill="1" applyAlignment="1" applyProtection="1">
      <alignment vertical="center"/>
      <protection/>
    </xf>
    <xf numFmtId="173" fontId="37" fillId="0" borderId="11" xfId="47" applyNumberFormat="1" applyFont="1" applyFill="1" applyBorder="1" applyAlignment="1" applyProtection="1">
      <alignment vertical="center"/>
      <protection/>
    </xf>
    <xf numFmtId="173" fontId="37" fillId="0" borderId="0" xfId="47" applyNumberFormat="1" applyFont="1" applyFill="1" applyBorder="1" applyAlignment="1" applyProtection="1">
      <alignment/>
      <protection/>
    </xf>
    <xf numFmtId="173" fontId="37" fillId="24" borderId="0" xfId="47" applyNumberFormat="1" applyFont="1" applyFill="1" applyBorder="1" applyAlignment="1" applyProtection="1">
      <alignment vertical="center"/>
      <protection/>
    </xf>
    <xf numFmtId="173" fontId="41" fillId="0" borderId="0" xfId="47" applyNumberFormat="1" applyFont="1" applyFill="1" applyBorder="1" applyAlignment="1" applyProtection="1">
      <alignment vertical="center"/>
      <protection/>
    </xf>
    <xf numFmtId="173" fontId="37" fillId="0" borderId="0" xfId="47" applyNumberFormat="1" applyFont="1" applyFill="1" applyBorder="1" applyAlignment="1" applyProtection="1">
      <alignment vertical="center"/>
      <protection/>
    </xf>
    <xf numFmtId="173" fontId="37" fillId="0" borderId="0" xfId="47" applyNumberFormat="1" applyFont="1" applyFill="1" applyAlignment="1" applyProtection="1">
      <alignment vertical="center"/>
      <protection/>
    </xf>
    <xf numFmtId="184" fontId="42" fillId="24" borderId="0" xfId="42" applyNumberFormat="1" applyFont="1" applyFill="1" applyAlignment="1" applyProtection="1">
      <alignment horizontal="center" vertical="center"/>
      <protection/>
    </xf>
    <xf numFmtId="173" fontId="37" fillId="0" borderId="0" xfId="47" applyNumberFormat="1" applyFont="1" applyFill="1" applyAlignment="1">
      <alignment vertical="center"/>
    </xf>
    <xf numFmtId="173" fontId="37" fillId="0" borderId="12" xfId="47" applyNumberFormat="1" applyFont="1" applyFill="1" applyBorder="1" applyAlignment="1" applyProtection="1">
      <alignment vertical="center"/>
      <protection/>
    </xf>
    <xf numFmtId="173" fontId="37" fillId="0" borderId="11" xfId="47" applyNumberFormat="1" applyFont="1" applyFill="1" applyBorder="1" applyAlignment="1" applyProtection="1">
      <alignment/>
      <protection/>
    </xf>
    <xf numFmtId="173" fontId="37" fillId="0" borderId="12" xfId="47" applyNumberFormat="1" applyFont="1" applyFill="1" applyBorder="1" applyAlignment="1" applyProtection="1">
      <alignment/>
      <protection/>
    </xf>
    <xf numFmtId="173" fontId="37" fillId="24" borderId="0" xfId="47" applyNumberFormat="1" applyFont="1" applyFill="1" applyAlignment="1" applyProtection="1">
      <alignment/>
      <protection/>
    </xf>
    <xf numFmtId="0" fontId="37" fillId="24" borderId="0" xfId="47" applyNumberFormat="1" applyFont="1" applyFill="1" applyAlignment="1" applyProtection="1">
      <alignment horizontal="center"/>
      <protection/>
    </xf>
    <xf numFmtId="9" fontId="37" fillId="24" borderId="0" xfId="71" applyFont="1" applyFill="1" applyAlignment="1" applyProtection="1">
      <alignment horizontal="center"/>
      <protection/>
    </xf>
    <xf numFmtId="9" fontId="37" fillId="0" borderId="0" xfId="71" applyFont="1" applyFill="1" applyAlignment="1" applyProtection="1">
      <alignment horizontal="center"/>
      <protection/>
    </xf>
    <xf numFmtId="0" fontId="28" fillId="0" borderId="0" xfId="0" applyFont="1" applyAlignment="1">
      <alignment/>
    </xf>
    <xf numFmtId="0" fontId="28" fillId="0" borderId="0" xfId="66" applyFont="1" applyFill="1" applyProtection="1">
      <alignment/>
      <protection/>
    </xf>
    <xf numFmtId="0" fontId="28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173" fontId="24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44" fontId="23" fillId="0" borderId="0" xfId="0" applyNumberFormat="1" applyFont="1" applyAlignment="1">
      <alignment/>
    </xf>
    <xf numFmtId="0" fontId="37" fillId="0" borderId="0" xfId="67" applyFont="1" applyFill="1" applyAlignment="1" applyProtection="1">
      <alignment horizontal="left" indent="1"/>
      <protection/>
    </xf>
    <xf numFmtId="0" fontId="40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67" applyFont="1" applyFill="1" applyAlignment="1" applyProtection="1">
      <alignment horizontal="center"/>
      <protection/>
    </xf>
    <xf numFmtId="0" fontId="49" fillId="0" borderId="0" xfId="67" applyFont="1" applyFill="1" applyProtection="1">
      <alignment/>
      <protection/>
    </xf>
    <xf numFmtId="0" fontId="40" fillId="0" borderId="0" xfId="67" applyFont="1" applyFill="1" applyAlignment="1" applyProtection="1">
      <alignment horizontal="left" indent="1"/>
      <protection/>
    </xf>
    <xf numFmtId="173" fontId="40" fillId="0" borderId="0" xfId="47" applyNumberFormat="1" applyFont="1" applyFill="1" applyBorder="1" applyAlignment="1" applyProtection="1">
      <alignment/>
      <protection/>
    </xf>
    <xf numFmtId="44" fontId="37" fillId="0" borderId="0" xfId="47" applyNumberFormat="1" applyFont="1" applyFill="1" applyAlignment="1" applyProtection="1">
      <alignment/>
      <protection/>
    </xf>
    <xf numFmtId="173" fontId="40" fillId="0" borderId="0" xfId="47" applyNumberFormat="1" applyFont="1" applyFill="1" applyAlignment="1">
      <alignment/>
    </xf>
    <xf numFmtId="0" fontId="40" fillId="0" borderId="0" xfId="0" applyFont="1" applyFill="1" applyAlignment="1">
      <alignment horizontal="left" indent="1"/>
    </xf>
    <xf numFmtId="0" fontId="40" fillId="25" borderId="13" xfId="67" applyFont="1" applyFill="1" applyBorder="1" applyProtection="1">
      <alignment/>
      <protection/>
    </xf>
    <xf numFmtId="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10" fontId="25" fillId="0" borderId="0" xfId="0" applyNumberFormat="1" applyFont="1" applyFill="1" applyAlignment="1">
      <alignment horizontal="center"/>
    </xf>
    <xf numFmtId="9" fontId="23" fillId="26" borderId="0" xfId="0" applyNumberFormat="1" applyFont="1" applyFill="1" applyAlignment="1">
      <alignment horizontal="center"/>
    </xf>
    <xf numFmtId="173" fontId="23" fillId="26" borderId="0" xfId="47" applyNumberFormat="1" applyFont="1" applyFill="1" applyAlignment="1">
      <alignment/>
    </xf>
    <xf numFmtId="168" fontId="23" fillId="26" borderId="0" xfId="0" applyNumberFormat="1" applyFont="1" applyFill="1" applyAlignment="1">
      <alignment horizontal="center"/>
    </xf>
    <xf numFmtId="0" fontId="23" fillId="26" borderId="0" xfId="0" applyFont="1" applyFill="1" applyAlignment="1">
      <alignment/>
    </xf>
    <xf numFmtId="175" fontId="23" fillId="26" borderId="0" xfId="0" applyNumberFormat="1" applyFont="1" applyFill="1" applyAlignment="1">
      <alignment horizontal="center"/>
    </xf>
    <xf numFmtId="173" fontId="23" fillId="26" borderId="10" xfId="0" applyNumberFormat="1" applyFont="1" applyFill="1" applyBorder="1" applyAlignment="1">
      <alignment/>
    </xf>
    <xf numFmtId="173" fontId="23" fillId="26" borderId="0" xfId="0" applyNumberFormat="1" applyFont="1" applyFill="1" applyAlignment="1">
      <alignment/>
    </xf>
    <xf numFmtId="9" fontId="23" fillId="27" borderId="0" xfId="0" applyNumberFormat="1" applyFont="1" applyFill="1" applyAlignment="1">
      <alignment horizontal="center"/>
    </xf>
    <xf numFmtId="9" fontId="23" fillId="26" borderId="0" xfId="71" applyFont="1" applyFill="1" applyAlignment="1">
      <alignment horizontal="center"/>
    </xf>
    <xf numFmtId="9" fontId="25" fillId="26" borderId="0" xfId="0" applyNumberFormat="1" applyFont="1" applyFill="1" applyAlignment="1">
      <alignment horizontal="center"/>
    </xf>
    <xf numFmtId="9" fontId="23" fillId="27" borderId="0" xfId="71" applyFont="1" applyFill="1" applyBorder="1" applyAlignment="1">
      <alignment horizontal="center"/>
    </xf>
    <xf numFmtId="9" fontId="25" fillId="26" borderId="0" xfId="71" applyFont="1" applyFill="1" applyBorder="1" applyAlignment="1">
      <alignment horizontal="center"/>
    </xf>
    <xf numFmtId="9" fontId="23" fillId="27" borderId="0" xfId="71" applyFont="1" applyFill="1" applyAlignment="1">
      <alignment horizontal="center"/>
    </xf>
    <xf numFmtId="9" fontId="25" fillId="26" borderId="0" xfId="71" applyFont="1" applyFill="1" applyAlignment="1">
      <alignment horizontal="center"/>
    </xf>
    <xf numFmtId="170" fontId="23" fillId="26" borderId="0" xfId="47" applyFont="1" applyFill="1" applyAlignment="1">
      <alignment/>
    </xf>
    <xf numFmtId="0" fontId="25" fillId="26" borderId="0" xfId="0" applyFont="1" applyFill="1" applyAlignment="1">
      <alignment/>
    </xf>
    <xf numFmtId="10" fontId="23" fillId="27" borderId="0" xfId="71" applyNumberFormat="1" applyFont="1" applyFill="1" applyAlignment="1">
      <alignment horizontal="center"/>
    </xf>
    <xf numFmtId="10" fontId="23" fillId="26" borderId="0" xfId="71" applyNumberFormat="1" applyFont="1" applyFill="1" applyAlignment="1">
      <alignment horizontal="center"/>
    </xf>
    <xf numFmtId="10" fontId="25" fillId="26" borderId="0" xfId="71" applyNumberFormat="1" applyFont="1" applyFill="1" applyAlignment="1">
      <alignment horizontal="center"/>
    </xf>
    <xf numFmtId="173" fontId="23" fillId="26" borderId="11" xfId="0" applyNumberFormat="1" applyFont="1" applyFill="1" applyBorder="1" applyAlignment="1">
      <alignment/>
    </xf>
    <xf numFmtId="10" fontId="23" fillId="26" borderId="0" xfId="71" applyNumberFormat="1" applyFont="1" applyFill="1" applyAlignment="1">
      <alignment/>
    </xf>
    <xf numFmtId="173" fontId="24" fillId="27" borderId="0" xfId="0" applyNumberFormat="1" applyFont="1" applyFill="1" applyAlignment="1">
      <alignment/>
    </xf>
    <xf numFmtId="0" fontId="24" fillId="26" borderId="0" xfId="0" applyFont="1" applyFill="1" applyAlignment="1">
      <alignment/>
    </xf>
    <xf numFmtId="173" fontId="24" fillId="26" borderId="12" xfId="0" applyNumberFormat="1" applyFont="1" applyFill="1" applyBorder="1" applyAlignment="1">
      <alignment/>
    </xf>
    <xf numFmtId="0" fontId="50" fillId="0" borderId="14" xfId="0" applyFont="1" applyBorder="1" applyAlignment="1">
      <alignment/>
    </xf>
    <xf numFmtId="0" fontId="31" fillId="0" borderId="0" xfId="0" applyFont="1" applyAlignment="1">
      <alignment/>
    </xf>
    <xf numFmtId="202" fontId="31" fillId="0" borderId="0" xfId="0" applyNumberFormat="1" applyFont="1" applyAlignment="1">
      <alignment/>
    </xf>
    <xf numFmtId="202" fontId="32" fillId="0" borderId="0" xfId="0" applyNumberFormat="1" applyFont="1" applyAlignment="1">
      <alignment/>
    </xf>
    <xf numFmtId="202" fontId="32" fillId="0" borderId="11" xfId="0" applyNumberFormat="1" applyFont="1" applyBorder="1" applyAlignment="1">
      <alignment/>
    </xf>
    <xf numFmtId="202" fontId="31" fillId="26" borderId="11" xfId="0" applyNumberFormat="1" applyFont="1" applyFill="1" applyBorder="1" applyAlignment="1">
      <alignment/>
    </xf>
    <xf numFmtId="0" fontId="31" fillId="0" borderId="15" xfId="0" applyFont="1" applyBorder="1" applyAlignment="1">
      <alignment/>
    </xf>
    <xf numFmtId="0" fontId="32" fillId="26" borderId="15" xfId="0" applyFont="1" applyFill="1" applyBorder="1" applyAlignment="1">
      <alignment horizontal="center" wrapText="1"/>
    </xf>
    <xf numFmtId="0" fontId="32" fillId="0" borderId="15" xfId="0" applyFont="1" applyBorder="1" applyAlignment="1">
      <alignment horizontal="center"/>
    </xf>
    <xf numFmtId="0" fontId="32" fillId="26" borderId="16" xfId="0" applyFont="1" applyFill="1" applyBorder="1" applyAlignment="1">
      <alignment horizontal="center" wrapText="1"/>
    </xf>
    <xf numFmtId="202" fontId="31" fillId="26" borderId="0" xfId="0" applyNumberFormat="1" applyFont="1" applyFill="1" applyBorder="1" applyAlignment="1">
      <alignment/>
    </xf>
    <xf numFmtId="202" fontId="31" fillId="26" borderId="17" xfId="0" applyNumberFormat="1" applyFont="1" applyFill="1" applyBorder="1" applyAlignment="1">
      <alignment/>
    </xf>
    <xf numFmtId="202" fontId="31" fillId="26" borderId="18" xfId="0" applyNumberFormat="1" applyFont="1" applyFill="1" applyBorder="1" applyAlignment="1">
      <alignment/>
    </xf>
    <xf numFmtId="202" fontId="32" fillId="0" borderId="0" xfId="0" applyNumberFormat="1" applyFont="1" applyAlignment="1">
      <alignment horizontal="right"/>
    </xf>
    <xf numFmtId="202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40" fillId="0" borderId="0" xfId="0" applyFont="1" applyFill="1" applyAlignment="1">
      <alignment horizontal="center"/>
    </xf>
    <xf numFmtId="37" fontId="34" fillId="0" borderId="0" xfId="0" applyNumberFormat="1" applyFont="1" applyAlignment="1">
      <alignment/>
    </xf>
    <xf numFmtId="173" fontId="37" fillId="0" borderId="11" xfId="47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70" fontId="23" fillId="0" borderId="0" xfId="47" applyFont="1" applyFill="1" applyAlignment="1">
      <alignment/>
    </xf>
    <xf numFmtId="173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3" fontId="23" fillId="0" borderId="11" xfId="0" applyNumberFormat="1" applyFont="1" applyFill="1" applyBorder="1" applyAlignment="1">
      <alignment/>
    </xf>
    <xf numFmtId="44" fontId="37" fillId="0" borderId="0" xfId="47" applyNumberFormat="1" applyFont="1" applyFill="1" applyAlignment="1" applyProtection="1">
      <alignment vertical="center"/>
      <protection/>
    </xf>
    <xf numFmtId="0" fontId="0" fillId="0" borderId="14" xfId="0" applyFont="1" applyBorder="1" applyAlignment="1">
      <alignment horizontal="center"/>
    </xf>
    <xf numFmtId="0" fontId="51" fillId="26" borderId="14" xfId="0" applyFont="1" applyFill="1" applyBorder="1" applyAlignment="1">
      <alignment horizontal="center"/>
    </xf>
    <xf numFmtId="0" fontId="51" fillId="26" borderId="19" xfId="0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26" borderId="22" xfId="66" applyFont="1" applyFill="1" applyBorder="1" applyAlignment="1" applyProtection="1">
      <alignment horizontal="center" vertical="center"/>
      <protection/>
    </xf>
    <xf numFmtId="0" fontId="24" fillId="26" borderId="23" xfId="66" applyFont="1" applyFill="1" applyBorder="1" applyAlignment="1" applyProtection="1">
      <alignment horizontal="center" vertical="center"/>
      <protection/>
    </xf>
    <xf numFmtId="0" fontId="24" fillId="26" borderId="24" xfId="66" applyFont="1" applyFill="1" applyBorder="1" applyAlignment="1" applyProtection="1">
      <alignment horizontal="center" vertical="center"/>
      <protection/>
    </xf>
    <xf numFmtId="173" fontId="23" fillId="0" borderId="0" xfId="47" applyNumberFormat="1" applyFont="1" applyFill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_Sheet2" xfId="66"/>
    <cellStyle name="Normal_Sheet3" xfId="67"/>
    <cellStyle name="Normal_Tax Rates for 2006-2012_Sep42008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8"/>
  <sheetViews>
    <sheetView view="pageBreakPreview" zoomScale="85" zoomScaleSheetLayoutView="85" zoomScalePageLayoutView="0" workbookViewId="0" topLeftCell="A1">
      <selection activeCell="D7" sqref="D7"/>
    </sheetView>
  </sheetViews>
  <sheetFormatPr defaultColWidth="8.88671875" defaultRowHeight="15"/>
  <cols>
    <col min="1" max="1" width="2.88671875" style="0" customWidth="1"/>
    <col min="2" max="2" width="26.88671875" style="0" customWidth="1"/>
    <col min="3" max="5" width="15.3359375" style="0" customWidth="1"/>
    <col min="6" max="10" width="9.5546875" style="0" customWidth="1"/>
    <col min="11" max="11" width="10.21484375" style="0" customWidth="1"/>
    <col min="12" max="12" width="14.21484375" style="0" customWidth="1"/>
  </cols>
  <sheetData>
    <row r="2" ht="18">
      <c r="B2" s="61" t="s">
        <v>50</v>
      </c>
    </row>
    <row r="3" ht="18">
      <c r="B3" s="61" t="s">
        <v>57</v>
      </c>
    </row>
    <row r="4" ht="18">
      <c r="B4" s="61" t="s">
        <v>58</v>
      </c>
    </row>
    <row r="6" ht="15">
      <c r="B6" s="65" t="s">
        <v>68</v>
      </c>
    </row>
    <row r="7" ht="15">
      <c r="B7" s="65" t="s">
        <v>79</v>
      </c>
    </row>
    <row r="8" spans="2:11" ht="15">
      <c r="B8" s="65"/>
      <c r="K8" s="125"/>
    </row>
    <row r="9" ht="15.75" thickBot="1">
      <c r="K9" s="124"/>
    </row>
    <row r="10" spans="2:10" ht="15">
      <c r="B10" s="105"/>
      <c r="C10" s="132" t="s">
        <v>74</v>
      </c>
      <c r="D10" s="132"/>
      <c r="E10" s="133"/>
      <c r="F10" s="131" t="s">
        <v>75</v>
      </c>
      <c r="G10" s="131"/>
      <c r="H10" s="131"/>
      <c r="I10" s="131"/>
      <c r="J10" s="131"/>
    </row>
    <row r="11" spans="2:16" ht="31.5" thickBot="1">
      <c r="B11" s="111"/>
      <c r="C11" s="112" t="s">
        <v>76</v>
      </c>
      <c r="D11" s="112" t="s">
        <v>77</v>
      </c>
      <c r="E11" s="114" t="s">
        <v>78</v>
      </c>
      <c r="F11" s="113">
        <v>2016</v>
      </c>
      <c r="G11" s="113">
        <v>2017</v>
      </c>
      <c r="H11" s="113">
        <v>2018</v>
      </c>
      <c r="I11" s="113">
        <v>2019</v>
      </c>
      <c r="J11" s="113">
        <v>2020</v>
      </c>
      <c r="K11" s="113">
        <v>2021</v>
      </c>
      <c r="L11" s="113">
        <v>2022</v>
      </c>
      <c r="M11" s="113">
        <v>2023</v>
      </c>
      <c r="N11" s="113">
        <v>2024</v>
      </c>
      <c r="O11" s="113">
        <v>2025</v>
      </c>
      <c r="P11" s="113">
        <v>2026</v>
      </c>
    </row>
    <row r="12" spans="2:16" ht="19.5" customHeight="1">
      <c r="B12" s="106" t="s">
        <v>73</v>
      </c>
      <c r="C12" s="115">
        <v>162683.83820258238</v>
      </c>
      <c r="D12" s="115">
        <v>67769.11035861682</v>
      </c>
      <c r="E12" s="116">
        <v>53805.465303664176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</row>
    <row r="13" spans="2:16" ht="19.5" customHeight="1">
      <c r="B13" s="106" t="s">
        <v>69</v>
      </c>
      <c r="C13" s="115"/>
      <c r="D13" s="115">
        <v>146069.62324442546</v>
      </c>
      <c r="E13" s="116">
        <v>61131.519622720516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</row>
    <row r="14" spans="2:16" ht="19.5" customHeight="1">
      <c r="B14" s="106" t="s">
        <v>70</v>
      </c>
      <c r="C14" s="115"/>
      <c r="D14" s="115"/>
      <c r="E14" s="116">
        <v>146352.67443030427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5" spans="2:16" ht="19.5" customHeight="1">
      <c r="B15" s="106" t="s">
        <v>71</v>
      </c>
      <c r="C15" s="115"/>
      <c r="D15" s="115"/>
      <c r="E15" s="116"/>
      <c r="F15" s="118" t="s">
        <v>81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2:16" ht="19.5" customHeight="1">
      <c r="B16" s="106" t="s">
        <v>72</v>
      </c>
      <c r="C16" s="115"/>
      <c r="D16" s="115"/>
      <c r="E16" s="116"/>
      <c r="F16" s="118" t="s">
        <v>82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2:16" ht="19.5" customHeight="1">
      <c r="B17" s="106" t="s">
        <v>87</v>
      </c>
      <c r="C17" s="115"/>
      <c r="D17" s="115"/>
      <c r="E17" s="116"/>
      <c r="F17" s="108">
        <f>'Revenue Requirement'!P26</f>
        <v>272792.2236942818</v>
      </c>
      <c r="G17" s="108">
        <f>'Revenue Requirement'!R26</f>
        <v>271059.581385269</v>
      </c>
      <c r="H17" s="108">
        <f>'Revenue Requirement'!T26</f>
        <v>266079.1936452878</v>
      </c>
      <c r="I17" s="108">
        <f>'Revenue Requirement'!V26</f>
        <v>260516.63980962665</v>
      </c>
      <c r="J17" s="108">
        <f>'Revenue Requirement'!X26</f>
        <v>256894.31603048395</v>
      </c>
      <c r="K17" s="108">
        <f>'Revenue Requirement'!Z26</f>
        <v>252940.28622054483</v>
      </c>
      <c r="L17" s="108">
        <f>'Revenue Requirement'!AB26</f>
        <v>248681.08686227308</v>
      </c>
      <c r="M17" s="108">
        <f>'Revenue Requirement'!AD26</f>
        <v>244141.13151953527</v>
      </c>
      <c r="N17" s="108">
        <f>'Revenue Requirement'!AF26</f>
        <v>239342.8806710887</v>
      </c>
      <c r="O17" s="108">
        <f>'Revenue Requirement'!AH26</f>
        <v>234306.99795739003</v>
      </c>
      <c r="P17" s="108">
        <f>'Revenue Requirement'!AJ26</f>
        <v>229052.49392765955</v>
      </c>
    </row>
    <row r="18" spans="2:16" ht="19.5" customHeight="1">
      <c r="B18" s="106"/>
      <c r="C18" s="110">
        <f>SUM(C12:C17)</f>
        <v>162683.83820258238</v>
      </c>
      <c r="D18" s="110">
        <f>SUM(D12:D17)</f>
        <v>213838.73360304226</v>
      </c>
      <c r="E18" s="117">
        <f>SUM(E12:E17)</f>
        <v>261289.65935668896</v>
      </c>
      <c r="F18" s="109">
        <v>427270</v>
      </c>
      <c r="G18" s="109">
        <f aca="true" t="shared" si="0" ref="G18:P18">SUM(G12:G17)</f>
        <v>271059.581385269</v>
      </c>
      <c r="H18" s="109">
        <f t="shared" si="0"/>
        <v>266079.1936452878</v>
      </c>
      <c r="I18" s="109">
        <f t="shared" si="0"/>
        <v>260516.63980962665</v>
      </c>
      <c r="J18" s="109">
        <f t="shared" si="0"/>
        <v>256894.31603048395</v>
      </c>
      <c r="K18" s="109">
        <f t="shared" si="0"/>
        <v>252940.28622054483</v>
      </c>
      <c r="L18" s="109">
        <f t="shared" si="0"/>
        <v>248681.08686227308</v>
      </c>
      <c r="M18" s="109">
        <f t="shared" si="0"/>
        <v>244141.13151953527</v>
      </c>
      <c r="N18" s="109">
        <f t="shared" si="0"/>
        <v>239342.8806710887</v>
      </c>
      <c r="O18" s="109">
        <f t="shared" si="0"/>
        <v>234306.99795739003</v>
      </c>
      <c r="P18" s="109">
        <f t="shared" si="0"/>
        <v>229052.49392765955</v>
      </c>
    </row>
    <row r="19" ht="15">
      <c r="K19" s="119"/>
    </row>
    <row r="20" ht="15">
      <c r="B20" s="106" t="s">
        <v>80</v>
      </c>
    </row>
    <row r="21" spans="1:2" ht="15">
      <c r="A21" s="120" t="s">
        <v>83</v>
      </c>
      <c r="B21" s="106" t="s">
        <v>85</v>
      </c>
    </row>
    <row r="22" spans="1:2" ht="15">
      <c r="A22" s="120" t="s">
        <v>84</v>
      </c>
      <c r="B22" s="106" t="s">
        <v>86</v>
      </c>
    </row>
    <row r="28" ht="15">
      <c r="F28" s="119"/>
    </row>
  </sheetData>
  <sheetProtection/>
  <mergeCells count="2">
    <mergeCell ref="F10:J10"/>
    <mergeCell ref="C10:E10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8"/>
  <sheetViews>
    <sheetView tabSelected="1" view="pageBreakPreview" zoomScale="85" zoomScaleSheetLayoutView="85" zoomScalePageLayoutView="0" workbookViewId="0" topLeftCell="A1">
      <selection activeCell="D14" sqref="D14"/>
    </sheetView>
  </sheetViews>
  <sheetFormatPr defaultColWidth="8.88671875" defaultRowHeight="15"/>
  <cols>
    <col min="1" max="1" width="2.21484375" style="1" customWidth="1"/>
    <col min="2" max="2" width="38.10546875" style="1" customWidth="1"/>
    <col min="3" max="3" width="4.77734375" style="1" bestFit="1" customWidth="1"/>
    <col min="4" max="4" width="12.21484375" style="1" bestFit="1" customWidth="1"/>
    <col min="5" max="5" width="5.77734375" style="1" bestFit="1" customWidth="1"/>
    <col min="6" max="6" width="9.21484375" style="1" bestFit="1" customWidth="1"/>
    <col min="7" max="7" width="5.77734375" style="1" bestFit="1" customWidth="1"/>
    <col min="8" max="8" width="10.3359375" style="1" customWidth="1"/>
    <col min="9" max="9" width="5.77734375" style="1" bestFit="1" customWidth="1"/>
    <col min="10" max="10" width="9.4453125" style="1" customWidth="1"/>
    <col min="11" max="11" width="5.77734375" style="1" bestFit="1" customWidth="1"/>
    <col min="12" max="12" width="9.99609375" style="1" customWidth="1"/>
    <col min="13" max="13" width="5.77734375" style="1" bestFit="1" customWidth="1"/>
    <col min="14" max="14" width="9.88671875" style="1" customWidth="1"/>
    <col min="15" max="15" width="7.3359375" style="1" bestFit="1" customWidth="1"/>
    <col min="16" max="16" width="10.88671875" style="1" customWidth="1"/>
    <col min="17" max="17" width="5.77734375" style="1" bestFit="1" customWidth="1"/>
    <col min="18" max="18" width="10.88671875" style="1" customWidth="1"/>
    <col min="19" max="19" width="5.3359375" style="1" customWidth="1"/>
    <col min="20" max="20" width="10.88671875" style="1" customWidth="1"/>
    <col min="21" max="21" width="5.3359375" style="1" customWidth="1"/>
    <col min="22" max="22" width="10.88671875" style="1" customWidth="1"/>
    <col min="23" max="23" width="5.3359375" style="1" customWidth="1"/>
    <col min="24" max="24" width="10.88671875" style="1" customWidth="1"/>
    <col min="25" max="25" width="5.3359375" style="1" customWidth="1"/>
    <col min="26" max="26" width="10.88671875" style="1" customWidth="1"/>
    <col min="27" max="27" width="5.3359375" style="1" customWidth="1"/>
    <col min="28" max="28" width="10.88671875" style="1" customWidth="1"/>
    <col min="29" max="29" width="5.3359375" style="1" customWidth="1"/>
    <col min="30" max="30" width="10.88671875" style="1" customWidth="1"/>
    <col min="31" max="31" width="5.3359375" style="1" customWidth="1"/>
    <col min="32" max="32" width="10.88671875" style="1" customWidth="1"/>
    <col min="33" max="33" width="5.3359375" style="1" customWidth="1"/>
    <col min="34" max="34" width="10.88671875" style="1" customWidth="1"/>
    <col min="35" max="35" width="5.3359375" style="1" customWidth="1"/>
    <col min="36" max="36" width="10.88671875" style="1" customWidth="1"/>
    <col min="37" max="16384" width="8.88671875" style="1" customWidth="1"/>
  </cols>
  <sheetData>
    <row r="2" ht="18">
      <c r="B2" s="61" t="s">
        <v>50</v>
      </c>
    </row>
    <row r="3" ht="18">
      <c r="B3" s="61" t="s">
        <v>57</v>
      </c>
    </row>
    <row r="4" ht="18">
      <c r="B4" s="61" t="s">
        <v>58</v>
      </c>
    </row>
    <row r="5" ht="15" thickBot="1"/>
    <row r="6" spans="3:36" s="62" customFormat="1" ht="27.75" customHeight="1" thickBot="1">
      <c r="C6" s="138">
        <v>2010</v>
      </c>
      <c r="D6" s="139"/>
      <c r="E6" s="138">
        <v>2011</v>
      </c>
      <c r="F6" s="139"/>
      <c r="G6" s="138">
        <v>2012</v>
      </c>
      <c r="H6" s="139"/>
      <c r="I6" s="138">
        <v>2013</v>
      </c>
      <c r="J6" s="140"/>
      <c r="K6" s="136">
        <v>2014</v>
      </c>
      <c r="L6" s="137"/>
      <c r="M6" s="134">
        <v>2015</v>
      </c>
      <c r="N6" s="135"/>
      <c r="O6" s="134">
        <v>2016</v>
      </c>
      <c r="P6" s="135"/>
      <c r="Q6" s="134">
        <v>2017</v>
      </c>
      <c r="R6" s="135"/>
      <c r="S6" s="134">
        <v>2018</v>
      </c>
      <c r="T6" s="135"/>
      <c r="U6" s="134">
        <v>2019</v>
      </c>
      <c r="V6" s="135"/>
      <c r="W6" s="134">
        <v>2020</v>
      </c>
      <c r="X6" s="135"/>
      <c r="Y6" s="134">
        <v>2021</v>
      </c>
      <c r="Z6" s="135"/>
      <c r="AA6" s="134">
        <v>2022</v>
      </c>
      <c r="AB6" s="135"/>
      <c r="AC6" s="134">
        <v>2023</v>
      </c>
      <c r="AD6" s="135"/>
      <c r="AE6" s="134">
        <v>2024</v>
      </c>
      <c r="AF6" s="135"/>
      <c r="AG6" s="134">
        <v>2025</v>
      </c>
      <c r="AH6" s="135"/>
      <c r="AI6" s="134">
        <v>2026</v>
      </c>
      <c r="AJ6" s="135"/>
    </row>
    <row r="7" spans="2:36" ht="14.25">
      <c r="B7" s="1" t="s">
        <v>43</v>
      </c>
      <c r="C7" s="81"/>
      <c r="D7" s="82">
        <f>'Avg Nt Fix Ass &amp;UCC'!D109</f>
        <v>40059.65833333333</v>
      </c>
      <c r="E7" s="81"/>
      <c r="F7" s="82">
        <f>'Avg Nt Fix Ass &amp;UCC'!E109</f>
        <v>275565.7051388889</v>
      </c>
      <c r="G7" s="81"/>
      <c r="H7" s="82">
        <f>'Avg Nt Fix Ass &amp;UCC'!F109</f>
        <v>747920.5063328353</v>
      </c>
      <c r="I7" s="81"/>
      <c r="J7" s="82">
        <f>'Avg Nt Fix Ass &amp;UCC'!G109</f>
        <v>1357994.434395506</v>
      </c>
      <c r="K7" s="2"/>
      <c r="L7" s="3">
        <f>'Avg Nt Fix Ass &amp;UCC'!H109</f>
        <v>2165791.3514678655</v>
      </c>
      <c r="M7" s="2"/>
      <c r="N7" s="3">
        <f>'Avg Nt Fix Ass &amp;UCC'!I109</f>
        <v>2619173.9807958337</v>
      </c>
      <c r="O7" s="2"/>
      <c r="P7" s="3">
        <f>'Avg Nt Fix Ass &amp;UCC'!J109</f>
        <v>2576445.2172389436</v>
      </c>
      <c r="Q7" s="2"/>
      <c r="R7" s="3">
        <f>'Avg Nt Fix Ass &amp;UCC'!K109</f>
        <v>2501089.326682053</v>
      </c>
      <c r="S7" s="2"/>
      <c r="T7" s="3">
        <f>'Avg Nt Fix Ass &amp;UCC'!L109</f>
        <v>2394160.844112936</v>
      </c>
      <c r="U7" s="2"/>
      <c r="V7" s="3">
        <f>'Avg Nt Fix Ass &amp;UCC'!M109</f>
        <v>2288878.719843818</v>
      </c>
      <c r="W7" s="2"/>
      <c r="X7" s="3">
        <f>'Avg Nt Fix Ass &amp;UCC'!N109</f>
        <v>2184419.637636928</v>
      </c>
      <c r="Y7" s="2"/>
      <c r="Z7" s="141">
        <f>'Avg Nt Fix Ass &amp;UCC'!O109</f>
        <v>2079960.5554300374</v>
      </c>
      <c r="AA7" s="2"/>
      <c r="AB7" s="3">
        <f>'Avg Nt Fix Ass &amp;UCC'!P109</f>
        <v>1975501.4732231472</v>
      </c>
      <c r="AC7" s="2"/>
      <c r="AD7" s="3">
        <f>'Avg Nt Fix Ass &amp;UCC'!Q109</f>
        <v>1871042.391016257</v>
      </c>
      <c r="AE7" s="2"/>
      <c r="AF7" s="3">
        <f>'Avg Nt Fix Ass &amp;UCC'!R109</f>
        <v>1766583.3088093665</v>
      </c>
      <c r="AG7" s="2"/>
      <c r="AH7" s="3">
        <f>'Avg Nt Fix Ass &amp;UCC'!S109</f>
        <v>1662124.226602476</v>
      </c>
      <c r="AI7" s="2"/>
      <c r="AJ7" s="3">
        <f>'Avg Nt Fix Ass &amp;UCC'!T109</f>
        <v>1557665.144395586</v>
      </c>
    </row>
    <row r="8" spans="2:35" ht="14.25">
      <c r="B8" s="1" t="s">
        <v>0</v>
      </c>
      <c r="C8" s="83">
        <f>D22</f>
        <v>0</v>
      </c>
      <c r="D8" s="84"/>
      <c r="E8" s="83">
        <f>F22</f>
        <v>0</v>
      </c>
      <c r="F8" s="84"/>
      <c r="G8" s="83">
        <f>H22</f>
        <v>0</v>
      </c>
      <c r="H8" s="84"/>
      <c r="I8" s="83">
        <f>J22</f>
        <v>0</v>
      </c>
      <c r="J8" s="84"/>
      <c r="K8" s="4">
        <f>L22</f>
        <v>0</v>
      </c>
      <c r="M8" s="4">
        <f>N22</f>
        <v>0</v>
      </c>
      <c r="O8" s="4">
        <f>P22</f>
        <v>0</v>
      </c>
      <c r="Q8" s="4">
        <f>R22</f>
        <v>0</v>
      </c>
      <c r="S8" s="4">
        <f>T22</f>
        <v>0</v>
      </c>
      <c r="U8" s="4">
        <f>V22</f>
        <v>0</v>
      </c>
      <c r="W8" s="4">
        <f>X22</f>
        <v>0</v>
      </c>
      <c r="Y8" s="4">
        <f>Z22</f>
        <v>0</v>
      </c>
      <c r="AA8" s="4">
        <f>AB22</f>
        <v>0</v>
      </c>
      <c r="AC8" s="4">
        <f>AD22</f>
        <v>0</v>
      </c>
      <c r="AE8" s="4">
        <f>AF22</f>
        <v>0</v>
      </c>
      <c r="AG8" s="4">
        <f>AH22</f>
        <v>0</v>
      </c>
      <c r="AI8" s="4">
        <f>AJ22</f>
        <v>0</v>
      </c>
    </row>
    <row r="9" spans="2:36" ht="14.25">
      <c r="B9" s="1" t="s">
        <v>1</v>
      </c>
      <c r="C9" s="85">
        <v>0.13</v>
      </c>
      <c r="D9" s="86">
        <f>C8*C9</f>
        <v>0</v>
      </c>
      <c r="E9" s="85">
        <v>0.13</v>
      </c>
      <c r="F9" s="86">
        <f>E8*E9</f>
        <v>0</v>
      </c>
      <c r="G9" s="85">
        <f>E9</f>
        <v>0.13</v>
      </c>
      <c r="H9" s="86">
        <f>G8*G9</f>
        <v>0</v>
      </c>
      <c r="I9" s="85">
        <f>E9</f>
        <v>0.13</v>
      </c>
      <c r="J9" s="86">
        <f>I8*I9</f>
        <v>0</v>
      </c>
      <c r="K9" s="5">
        <f>E9</f>
        <v>0.13</v>
      </c>
      <c r="L9" s="6">
        <f>K8*K9</f>
        <v>0</v>
      </c>
      <c r="M9" s="5">
        <f>E9</f>
        <v>0.13</v>
      </c>
      <c r="N9" s="6">
        <f>M8*M9</f>
        <v>0</v>
      </c>
      <c r="O9" s="5">
        <f>G9</f>
        <v>0.13</v>
      </c>
      <c r="P9" s="6">
        <f>O8*O9</f>
        <v>0</v>
      </c>
      <c r="Q9" s="5">
        <f>I9</f>
        <v>0.13</v>
      </c>
      <c r="R9" s="6">
        <f>Q8*Q9</f>
        <v>0</v>
      </c>
      <c r="S9" s="5">
        <f>K9</f>
        <v>0.13</v>
      </c>
      <c r="T9" s="6">
        <f>S8*S9</f>
        <v>0</v>
      </c>
      <c r="U9" s="5">
        <f>M9</f>
        <v>0.13</v>
      </c>
      <c r="V9" s="6">
        <f>U8*U9</f>
        <v>0</v>
      </c>
      <c r="W9" s="5">
        <f>O9</f>
        <v>0.13</v>
      </c>
      <c r="X9" s="6">
        <f>W8*W9</f>
        <v>0</v>
      </c>
      <c r="Y9" s="5">
        <f>Q9</f>
        <v>0.13</v>
      </c>
      <c r="Z9" s="6">
        <f>Y8*Y9</f>
        <v>0</v>
      </c>
      <c r="AA9" s="5">
        <f>S9</f>
        <v>0.13</v>
      </c>
      <c r="AB9" s="6">
        <f>AA8*AA9</f>
        <v>0</v>
      </c>
      <c r="AC9" s="5">
        <f>U9</f>
        <v>0.13</v>
      </c>
      <c r="AD9" s="6">
        <f>AC8*AC9</f>
        <v>0</v>
      </c>
      <c r="AE9" s="5">
        <f>W9</f>
        <v>0.13</v>
      </c>
      <c r="AF9" s="6">
        <f>AE8*AE9</f>
        <v>0</v>
      </c>
      <c r="AG9" s="5">
        <f>Y9</f>
        <v>0.13</v>
      </c>
      <c r="AH9" s="6">
        <f>AG8*AG9</f>
        <v>0</v>
      </c>
      <c r="AI9" s="5">
        <f>AA9</f>
        <v>0.13</v>
      </c>
      <c r="AJ9" s="6">
        <f>AI8*AI9</f>
        <v>0</v>
      </c>
    </row>
    <row r="10" spans="2:36" ht="14.25">
      <c r="B10" s="1" t="s">
        <v>48</v>
      </c>
      <c r="C10" s="84"/>
      <c r="D10" s="87">
        <f>SUM(D7:D9)</f>
        <v>40059.65833333333</v>
      </c>
      <c r="E10" s="84"/>
      <c r="F10" s="87">
        <f>SUM(F7:F9)</f>
        <v>275565.7051388889</v>
      </c>
      <c r="G10" s="84"/>
      <c r="H10" s="87">
        <f>SUM(H7:H9)</f>
        <v>747920.5063328353</v>
      </c>
      <c r="I10" s="84"/>
      <c r="J10" s="87">
        <f>SUM(J7:J9)</f>
        <v>1357994.434395506</v>
      </c>
      <c r="L10" s="7">
        <f>SUM(L7:L9)</f>
        <v>2165791.3514678655</v>
      </c>
      <c r="N10" s="7">
        <f>SUM(N7:N9)</f>
        <v>2619173.9807958337</v>
      </c>
      <c r="P10" s="7">
        <f>SUM(P7:P9)</f>
        <v>2576445.2172389436</v>
      </c>
      <c r="R10" s="7">
        <f>SUM(R7:R9)</f>
        <v>2501089.326682053</v>
      </c>
      <c r="T10" s="7">
        <f>SUM(T7:T9)</f>
        <v>2394160.844112936</v>
      </c>
      <c r="V10" s="7">
        <f>SUM(V7:V9)</f>
        <v>2288878.719843818</v>
      </c>
      <c r="X10" s="7">
        <f>SUM(X7:X9)</f>
        <v>2184419.637636928</v>
      </c>
      <c r="Z10" s="7">
        <f>SUM(Z7:Z9)</f>
        <v>2079960.5554300374</v>
      </c>
      <c r="AB10" s="7">
        <f>SUM(AB7:AB9)</f>
        <v>1975501.4732231472</v>
      </c>
      <c r="AD10" s="7">
        <f>SUM(AD7:AD9)</f>
        <v>1871042.391016257</v>
      </c>
      <c r="AF10" s="7">
        <f>SUM(AF7:AF9)</f>
        <v>1766583.3088093665</v>
      </c>
      <c r="AH10" s="7">
        <f>SUM(AH7:AH9)</f>
        <v>1662124.226602476</v>
      </c>
      <c r="AJ10" s="7">
        <f>SUM(AJ7:AJ9)</f>
        <v>1557665.144395586</v>
      </c>
    </row>
    <row r="11" spans="3:10" ht="14.25">
      <c r="C11" s="84"/>
      <c r="D11" s="84"/>
      <c r="E11" s="84"/>
      <c r="F11" s="84"/>
      <c r="G11" s="84"/>
      <c r="H11" s="84"/>
      <c r="I11" s="84"/>
      <c r="J11" s="84"/>
    </row>
    <row r="12" spans="3:10" ht="14.25">
      <c r="C12" s="84"/>
      <c r="D12" s="84"/>
      <c r="E12" s="84"/>
      <c r="F12" s="84"/>
      <c r="G12" s="84"/>
      <c r="H12" s="84"/>
      <c r="I12" s="84"/>
      <c r="J12" s="84"/>
    </row>
    <row r="13" spans="2:36" ht="14.25">
      <c r="B13" s="1" t="s">
        <v>3</v>
      </c>
      <c r="C13" s="88">
        <v>0.04</v>
      </c>
      <c r="D13" s="87">
        <f>D10*C13</f>
        <v>1602.3863333333334</v>
      </c>
      <c r="E13" s="89">
        <f aca="true" t="shared" si="0" ref="E13:G14">C13</f>
        <v>0.04</v>
      </c>
      <c r="F13" s="87">
        <f>F10*E13</f>
        <v>11022.628205555557</v>
      </c>
      <c r="G13" s="89">
        <f t="shared" si="0"/>
        <v>0.04</v>
      </c>
      <c r="H13" s="87">
        <f>H10*G13</f>
        <v>29916.820253313414</v>
      </c>
      <c r="I13" s="90">
        <v>0.04</v>
      </c>
      <c r="J13" s="87">
        <f>J10*I13</f>
        <v>54319.777375820246</v>
      </c>
      <c r="K13" s="78">
        <f>I13</f>
        <v>0.04</v>
      </c>
      <c r="L13" s="66">
        <f>L10*K13</f>
        <v>86631.65405871462</v>
      </c>
      <c r="M13" s="8">
        <f>K13</f>
        <v>0.04</v>
      </c>
      <c r="N13" s="7">
        <f>N10*M13</f>
        <v>104766.95923183335</v>
      </c>
      <c r="O13" s="8">
        <f>M13</f>
        <v>0.04</v>
      </c>
      <c r="P13" s="7">
        <f>P10*O13</f>
        <v>103057.80868955774</v>
      </c>
      <c r="Q13" s="8">
        <f>O13</f>
        <v>0.04</v>
      </c>
      <c r="R13" s="7">
        <f>R10*Q13</f>
        <v>100043.57306728212</v>
      </c>
      <c r="S13" s="8">
        <f>Q13</f>
        <v>0.04</v>
      </c>
      <c r="T13" s="7">
        <f>T10*S13</f>
        <v>95766.43376451744</v>
      </c>
      <c r="U13" s="8">
        <f>S13</f>
        <v>0.04</v>
      </c>
      <c r="V13" s="7">
        <f>V10*U13</f>
        <v>91555.14879375271</v>
      </c>
      <c r="W13" s="8">
        <f>U13</f>
        <v>0.04</v>
      </c>
      <c r="X13" s="7">
        <f>X10*W13</f>
        <v>87376.78550547712</v>
      </c>
      <c r="Y13" s="8">
        <f>W13</f>
        <v>0.04</v>
      </c>
      <c r="Z13" s="7">
        <f>Z10*Y13</f>
        <v>83198.4222172015</v>
      </c>
      <c r="AA13" s="8">
        <f>Y13</f>
        <v>0.04</v>
      </c>
      <c r="AB13" s="7">
        <f>AB10*AA13</f>
        <v>79020.0589289259</v>
      </c>
      <c r="AC13" s="8">
        <f>AA13</f>
        <v>0.04</v>
      </c>
      <c r="AD13" s="7">
        <f>AD10*AC13</f>
        <v>74841.69564065029</v>
      </c>
      <c r="AE13" s="8">
        <f>AC13</f>
        <v>0.04</v>
      </c>
      <c r="AF13" s="7">
        <f>AF10*AE13</f>
        <v>70663.33235237467</v>
      </c>
      <c r="AG13" s="8">
        <f>AE13</f>
        <v>0.04</v>
      </c>
      <c r="AH13" s="7">
        <f>AH10*AG13</f>
        <v>66484.96906409904</v>
      </c>
      <c r="AI13" s="8">
        <f>AG13</f>
        <v>0.04</v>
      </c>
      <c r="AJ13" s="7">
        <f>AJ10*AI13</f>
        <v>62306.605775823446</v>
      </c>
    </row>
    <row r="14" spans="2:36" ht="14.25">
      <c r="B14" s="1" t="s">
        <v>4</v>
      </c>
      <c r="C14" s="91">
        <v>0.56</v>
      </c>
      <c r="D14" s="87">
        <f>D10*C14</f>
        <v>22433.40866666667</v>
      </c>
      <c r="E14" s="89">
        <f t="shared" si="0"/>
        <v>0.56</v>
      </c>
      <c r="F14" s="87">
        <f>F10*E14</f>
        <v>154316.7948777778</v>
      </c>
      <c r="G14" s="89">
        <f t="shared" si="0"/>
        <v>0.56</v>
      </c>
      <c r="H14" s="87">
        <f>H10*G14</f>
        <v>418835.4835463878</v>
      </c>
      <c r="I14" s="92">
        <v>0.56</v>
      </c>
      <c r="J14" s="87">
        <f>J10*I14</f>
        <v>760476.8832614835</v>
      </c>
      <c r="K14" s="78">
        <f>I14</f>
        <v>0.56</v>
      </c>
      <c r="L14" s="7">
        <f>L10*K14</f>
        <v>1212843.1568220048</v>
      </c>
      <c r="M14" s="8">
        <f>K14</f>
        <v>0.56</v>
      </c>
      <c r="N14" s="7">
        <f>N10*M14</f>
        <v>1466737.429245667</v>
      </c>
      <c r="O14" s="8">
        <f>M14</f>
        <v>0.56</v>
      </c>
      <c r="P14" s="7">
        <f>P10*O14</f>
        <v>1442809.3216538085</v>
      </c>
      <c r="Q14" s="8">
        <f>O14</f>
        <v>0.56</v>
      </c>
      <c r="R14" s="7">
        <f>R10*Q14</f>
        <v>1400610.0229419498</v>
      </c>
      <c r="S14" s="8">
        <f>Q14</f>
        <v>0.56</v>
      </c>
      <c r="T14" s="7">
        <f>T10*S14</f>
        <v>1340730.0727032442</v>
      </c>
      <c r="U14" s="8">
        <f>S14</f>
        <v>0.56</v>
      </c>
      <c r="V14" s="7">
        <f>V10*U14</f>
        <v>1281772.083112538</v>
      </c>
      <c r="W14" s="8">
        <f>U14</f>
        <v>0.56</v>
      </c>
      <c r="X14" s="7">
        <f>X10*W14</f>
        <v>1223274.9970766797</v>
      </c>
      <c r="Y14" s="8">
        <f>W14</f>
        <v>0.56</v>
      </c>
      <c r="Z14" s="7">
        <f>Z10*Y14</f>
        <v>1164777.911040821</v>
      </c>
      <c r="AA14" s="8">
        <f>Y14</f>
        <v>0.56</v>
      </c>
      <c r="AB14" s="7">
        <f>AB10*AA14</f>
        <v>1106280.8250049625</v>
      </c>
      <c r="AC14" s="8">
        <f>AA14</f>
        <v>0.56</v>
      </c>
      <c r="AD14" s="7">
        <f>AD10*AC14</f>
        <v>1047783.738969104</v>
      </c>
      <c r="AE14" s="8">
        <f>AC14</f>
        <v>0.56</v>
      </c>
      <c r="AF14" s="7">
        <f>AF10*AE14</f>
        <v>989286.6529332454</v>
      </c>
      <c r="AG14" s="8">
        <f>AE14</f>
        <v>0.56</v>
      </c>
      <c r="AH14" s="7">
        <f>AH10*AG14</f>
        <v>930789.5668973867</v>
      </c>
      <c r="AI14" s="8">
        <f>AG14</f>
        <v>0.56</v>
      </c>
      <c r="AJ14" s="7">
        <f>AJ10*AI14</f>
        <v>872292.4808615283</v>
      </c>
    </row>
    <row r="15" spans="2:36" ht="14.25">
      <c r="B15" s="1" t="s">
        <v>2</v>
      </c>
      <c r="C15" s="93">
        <v>0.4</v>
      </c>
      <c r="D15" s="87">
        <f>D10*C15</f>
        <v>16023.863333333335</v>
      </c>
      <c r="E15" s="89">
        <f>C15</f>
        <v>0.4</v>
      </c>
      <c r="F15" s="87">
        <f>F10*E15</f>
        <v>110226.28205555557</v>
      </c>
      <c r="G15" s="89">
        <f>E15</f>
        <v>0.4</v>
      </c>
      <c r="H15" s="87">
        <f>H10*G15</f>
        <v>299168.20253313414</v>
      </c>
      <c r="I15" s="94">
        <v>0.4</v>
      </c>
      <c r="J15" s="87">
        <f>J10*I15</f>
        <v>543197.7737582024</v>
      </c>
      <c r="K15" s="78">
        <f>I15</f>
        <v>0.4</v>
      </c>
      <c r="L15" s="7">
        <f>L10*K15</f>
        <v>866316.5405871463</v>
      </c>
      <c r="M15" s="8">
        <f>K15</f>
        <v>0.4</v>
      </c>
      <c r="N15" s="7">
        <f>N10*M15</f>
        <v>1047669.5923183336</v>
      </c>
      <c r="O15" s="8">
        <f>M15</f>
        <v>0.4</v>
      </c>
      <c r="P15" s="7">
        <f>P10*O15</f>
        <v>1030578.0868955775</v>
      </c>
      <c r="Q15" s="8">
        <f>O15</f>
        <v>0.4</v>
      </c>
      <c r="R15" s="7">
        <f>R10*Q15</f>
        <v>1000435.7306728213</v>
      </c>
      <c r="S15" s="8">
        <f>Q15</f>
        <v>0.4</v>
      </c>
      <c r="T15" s="7">
        <f>T10*S15</f>
        <v>957664.3376451745</v>
      </c>
      <c r="U15" s="8">
        <f>S15</f>
        <v>0.4</v>
      </c>
      <c r="V15" s="7">
        <f>V10*U15</f>
        <v>915551.4879375272</v>
      </c>
      <c r="W15" s="8">
        <f>U15</f>
        <v>0.4</v>
      </c>
      <c r="X15" s="7">
        <f>X10*W15</f>
        <v>873767.8550547712</v>
      </c>
      <c r="Y15" s="8">
        <f>W15</f>
        <v>0.4</v>
      </c>
      <c r="Z15" s="7">
        <f>Z10*Y15</f>
        <v>831984.222172015</v>
      </c>
      <c r="AA15" s="8">
        <f>Y15</f>
        <v>0.4</v>
      </c>
      <c r="AB15" s="7">
        <f>AB10*AA15</f>
        <v>790200.5892892589</v>
      </c>
      <c r="AC15" s="8">
        <f>AA15</f>
        <v>0.4</v>
      </c>
      <c r="AD15" s="7">
        <f>AD10*AC15</f>
        <v>748416.9564065029</v>
      </c>
      <c r="AE15" s="8">
        <f>AC15</f>
        <v>0.4</v>
      </c>
      <c r="AF15" s="7">
        <f>AF10*AE15</f>
        <v>706633.3235237467</v>
      </c>
      <c r="AG15" s="8">
        <f>AE15</f>
        <v>0.4</v>
      </c>
      <c r="AH15" s="7">
        <f>AH10*AG15</f>
        <v>664849.6906409905</v>
      </c>
      <c r="AI15" s="8">
        <f>AG15</f>
        <v>0.4</v>
      </c>
      <c r="AJ15" s="7">
        <f>AJ10*AI15</f>
        <v>623066.0577582344</v>
      </c>
    </row>
    <row r="16" spans="3:36" ht="14.25">
      <c r="C16" s="84"/>
      <c r="D16" s="95"/>
      <c r="E16" s="84"/>
      <c r="F16" s="95"/>
      <c r="G16" s="84"/>
      <c r="H16" s="95"/>
      <c r="I16" s="96"/>
      <c r="J16" s="95"/>
      <c r="K16" s="79"/>
      <c r="L16" s="9"/>
      <c r="M16" s="79"/>
      <c r="N16" s="126"/>
      <c r="O16" s="79"/>
      <c r="P16" s="9"/>
      <c r="Q16" s="10"/>
      <c r="R16" s="9"/>
      <c r="S16" s="10"/>
      <c r="T16" s="9"/>
      <c r="U16" s="10"/>
      <c r="V16" s="9"/>
      <c r="W16" s="10"/>
      <c r="X16" s="9"/>
      <c r="Y16" s="10"/>
      <c r="Z16" s="9"/>
      <c r="AA16" s="10"/>
      <c r="AB16" s="9"/>
      <c r="AC16" s="10"/>
      <c r="AD16" s="9"/>
      <c r="AE16" s="10"/>
      <c r="AF16" s="9"/>
      <c r="AG16" s="10"/>
      <c r="AH16" s="9"/>
      <c r="AI16" s="10"/>
      <c r="AJ16" s="9"/>
    </row>
    <row r="17" spans="2:36" ht="14.25">
      <c r="B17" s="1" t="s">
        <v>5</v>
      </c>
      <c r="C17" s="97">
        <v>0.0133</v>
      </c>
      <c r="D17" s="87">
        <v>21.311738233333333</v>
      </c>
      <c r="E17" s="98">
        <v>0.0133</v>
      </c>
      <c r="F17" s="87">
        <v>146.6009551338889</v>
      </c>
      <c r="G17" s="98">
        <v>0.0133</v>
      </c>
      <c r="H17" s="87">
        <v>397.8937093690684</v>
      </c>
      <c r="I17" s="99">
        <v>0.0208</v>
      </c>
      <c r="J17" s="87">
        <v>1129.851369417061</v>
      </c>
      <c r="K17" s="80">
        <v>0.0208</v>
      </c>
      <c r="L17" s="7">
        <v>1801.9384044212638</v>
      </c>
      <c r="M17" s="80">
        <v>0.0208</v>
      </c>
      <c r="N17" s="127">
        <v>2179.1527520221334</v>
      </c>
      <c r="O17" s="80">
        <v>0.0216</v>
      </c>
      <c r="P17" s="7">
        <v>2226.0486676944474</v>
      </c>
      <c r="Q17" s="11">
        <v>0.03</v>
      </c>
      <c r="R17" s="7">
        <v>3001.3071920184634</v>
      </c>
      <c r="S17" s="11">
        <v>0.03</v>
      </c>
      <c r="T17" s="7">
        <v>2872.993012935523</v>
      </c>
      <c r="U17" s="11">
        <v>0.03</v>
      </c>
      <c r="V17" s="7">
        <v>2746.654463812581</v>
      </c>
      <c r="W17" s="11">
        <v>0.03</v>
      </c>
      <c r="X17" s="7">
        <f>W17*X13</f>
        <v>2621.3035651643136</v>
      </c>
      <c r="Y17" s="11">
        <v>0.03</v>
      </c>
      <c r="Z17" s="7">
        <f>Y17*Z13</f>
        <v>2495.9526665160447</v>
      </c>
      <c r="AA17" s="11">
        <v>0.03</v>
      </c>
      <c r="AB17" s="7">
        <f>AA17*AB13</f>
        <v>2370.6017678677767</v>
      </c>
      <c r="AC17" s="11">
        <v>0.03</v>
      </c>
      <c r="AD17" s="7">
        <f>AC17*AD13</f>
        <v>2245.2508692195083</v>
      </c>
      <c r="AE17" s="11">
        <v>0.03</v>
      </c>
      <c r="AF17" s="7">
        <f>AE17*AF13</f>
        <v>2119.89997057124</v>
      </c>
      <c r="AG17" s="11">
        <v>0.03</v>
      </c>
      <c r="AH17" s="7">
        <f>AG17*AH13</f>
        <v>1994.5490719229713</v>
      </c>
      <c r="AI17" s="11">
        <v>0.03</v>
      </c>
      <c r="AJ17" s="7">
        <f>AI17*AJ13</f>
        <v>1869.1981732747033</v>
      </c>
    </row>
    <row r="18" spans="2:36" ht="14.25">
      <c r="B18" s="1" t="s">
        <v>6</v>
      </c>
      <c r="C18" s="97">
        <v>0.0589</v>
      </c>
      <c r="D18" s="87">
        <v>1321.3277704666668</v>
      </c>
      <c r="E18" s="98">
        <v>0.0589</v>
      </c>
      <c r="F18" s="87">
        <v>9089.259218301113</v>
      </c>
      <c r="G18" s="98">
        <v>0.0589</v>
      </c>
      <c r="H18" s="87">
        <v>24669.409980882243</v>
      </c>
      <c r="I18" s="99">
        <v>0.0415</v>
      </c>
      <c r="J18" s="87">
        <v>31559.790655351568</v>
      </c>
      <c r="K18" s="80">
        <v>0.0415</v>
      </c>
      <c r="L18" s="7">
        <v>50332.991008113204</v>
      </c>
      <c r="M18" s="80">
        <v>0.0415</v>
      </c>
      <c r="N18" s="127">
        <v>60869.60331369519</v>
      </c>
      <c r="O18" s="80">
        <v>0.03958768742683311</v>
      </c>
      <c r="P18" s="7">
        <v>57117.484442152076</v>
      </c>
      <c r="Q18" s="11">
        <v>0.040058375498905126</v>
      </c>
      <c r="R18" s="7">
        <v>56106.16222653875</v>
      </c>
      <c r="S18" s="11">
        <v>0.04028217086802217</v>
      </c>
      <c r="T18" s="7">
        <v>54007.51787652786</v>
      </c>
      <c r="U18" s="11">
        <v>0.04028217086802217</v>
      </c>
      <c r="V18" s="7">
        <v>51632.56206579997</v>
      </c>
      <c r="W18" s="11">
        <v>0.04028217086802217</v>
      </c>
      <c r="X18" s="7">
        <f>W18*X14</f>
        <v>49276.17245082213</v>
      </c>
      <c r="Y18" s="11">
        <v>0.04028217086802217</v>
      </c>
      <c r="Z18" s="7">
        <f>Y18*Z14</f>
        <v>46919.78283584428</v>
      </c>
      <c r="AA18" s="11">
        <v>0.04028217086802217</v>
      </c>
      <c r="AB18" s="7">
        <f>AA18*AB14</f>
        <v>44563.39322086643</v>
      </c>
      <c r="AC18" s="11">
        <v>0.04028217086802217</v>
      </c>
      <c r="AD18" s="7">
        <f>AC18*AD14</f>
        <v>42207.00360588858</v>
      </c>
      <c r="AE18" s="11">
        <v>0.04028217086802217</v>
      </c>
      <c r="AF18" s="7">
        <f>AE18*AF14</f>
        <v>39850.61399091074</v>
      </c>
      <c r="AG18" s="11">
        <v>0.04028217086802217</v>
      </c>
      <c r="AH18" s="7">
        <f>AG18*AH14</f>
        <v>37494.22437593288</v>
      </c>
      <c r="AI18" s="11">
        <v>0.04028217086802217</v>
      </c>
      <c r="AJ18" s="7">
        <f>AI18*AJ14</f>
        <v>35137.83476095504</v>
      </c>
    </row>
    <row r="19" spans="2:36" ht="14.25">
      <c r="B19" s="1" t="s">
        <v>7</v>
      </c>
      <c r="C19" s="97">
        <v>0.0801</v>
      </c>
      <c r="D19" s="87">
        <v>1283.511453</v>
      </c>
      <c r="E19" s="98">
        <v>0.0801</v>
      </c>
      <c r="F19" s="87">
        <v>8829.12519265</v>
      </c>
      <c r="G19" s="98">
        <v>0.0801</v>
      </c>
      <c r="H19" s="87">
        <v>23963.373022904045</v>
      </c>
      <c r="I19" s="99">
        <v>0.0893</v>
      </c>
      <c r="J19" s="87">
        <v>48507.56119660748</v>
      </c>
      <c r="K19" s="80">
        <v>0.0893</v>
      </c>
      <c r="L19" s="7">
        <v>77362.06707443217</v>
      </c>
      <c r="M19" s="80">
        <v>0.0893</v>
      </c>
      <c r="N19" s="127">
        <v>93556.8945940272</v>
      </c>
      <c r="O19" s="80">
        <v>0.093</v>
      </c>
      <c r="P19" s="7">
        <v>95843.7620812887</v>
      </c>
      <c r="Q19" s="11">
        <v>0.093</v>
      </c>
      <c r="R19" s="7">
        <v>93040.52295257238</v>
      </c>
      <c r="S19" s="11">
        <v>0.093</v>
      </c>
      <c r="T19" s="7">
        <v>89062.78340100123</v>
      </c>
      <c r="U19" s="11">
        <v>0.093</v>
      </c>
      <c r="V19" s="7">
        <v>85146.28837819003</v>
      </c>
      <c r="W19" s="11">
        <v>0.093</v>
      </c>
      <c r="X19" s="7">
        <f>W19*X15</f>
        <v>81260.41052009372</v>
      </c>
      <c r="Y19" s="11">
        <v>0.093</v>
      </c>
      <c r="Z19" s="7">
        <f>Y19*Z15</f>
        <v>77374.5326619974</v>
      </c>
      <c r="AA19" s="11">
        <v>0.093</v>
      </c>
      <c r="AB19" s="7">
        <f>AA19*AB15</f>
        <v>73488.65480390108</v>
      </c>
      <c r="AC19" s="11">
        <v>0.093</v>
      </c>
      <c r="AD19" s="7">
        <f>AC19*AD15</f>
        <v>69602.77694580477</v>
      </c>
      <c r="AE19" s="11">
        <v>0.093</v>
      </c>
      <c r="AF19" s="7">
        <f>AE19*AF15</f>
        <v>65716.89908770844</v>
      </c>
      <c r="AG19" s="11">
        <v>0.093</v>
      </c>
      <c r="AH19" s="7">
        <f>AG19*AH15</f>
        <v>61831.02122961212</v>
      </c>
      <c r="AI19" s="11">
        <v>0.093</v>
      </c>
      <c r="AJ19" s="7">
        <f>AI19*AJ15</f>
        <v>57945.143371515805</v>
      </c>
    </row>
    <row r="20" spans="3:36" ht="14.25">
      <c r="C20" s="84"/>
      <c r="D20" s="100">
        <f>SUM(D17:D19)</f>
        <v>2626.1509617</v>
      </c>
      <c r="E20" s="84"/>
      <c r="F20" s="100">
        <f>SUM(F17:F19)</f>
        <v>18064.985366085002</v>
      </c>
      <c r="G20" s="84"/>
      <c r="H20" s="100">
        <f>SUM(H17:H19)</f>
        <v>49030.67671315536</v>
      </c>
      <c r="I20" s="101"/>
      <c r="J20" s="100">
        <f>SUM(J17:J19)</f>
        <v>81197.20322137611</v>
      </c>
      <c r="L20" s="12">
        <f>SUM(L17:L19)</f>
        <v>129496.99648696664</v>
      </c>
      <c r="M20" s="128"/>
      <c r="N20" s="129">
        <f>SUM(N17:N19)</f>
        <v>156605.6506597445</v>
      </c>
      <c r="O20" s="128"/>
      <c r="P20" s="12">
        <f>SUM(P17:P19)</f>
        <v>155187.29519113523</v>
      </c>
      <c r="R20" s="12">
        <f>SUM(R17:R19)</f>
        <v>152147.9923711296</v>
      </c>
      <c r="T20" s="12">
        <f>SUM(T17:T19)</f>
        <v>145943.2942904646</v>
      </c>
      <c r="V20" s="12">
        <f>SUM(V17:V19)</f>
        <v>139525.50490780256</v>
      </c>
      <c r="X20" s="12">
        <f>SUM(X17:X19)</f>
        <v>133157.88653608016</v>
      </c>
      <c r="Z20" s="12">
        <f>SUM(Z17:Z19)</f>
        <v>126790.26816435772</v>
      </c>
      <c r="AB20" s="12">
        <f>SUM(AB17:AB19)</f>
        <v>120422.64979263529</v>
      </c>
      <c r="AD20" s="12">
        <f>SUM(AD17:AD19)</f>
        <v>114055.03142091286</v>
      </c>
      <c r="AF20" s="12">
        <f>SUM(AF17:AF19)</f>
        <v>107687.41304919042</v>
      </c>
      <c r="AH20" s="12">
        <f>SUM(AH17:AH19)</f>
        <v>101319.79467746796</v>
      </c>
      <c r="AJ20" s="12">
        <f>SUM(AJ17:AJ19)</f>
        <v>94952.17630574555</v>
      </c>
    </row>
    <row r="21" spans="3:10" ht="14.25">
      <c r="C21" s="84"/>
      <c r="D21" s="84"/>
      <c r="E21" s="84"/>
      <c r="F21" s="84"/>
      <c r="G21" s="84"/>
      <c r="H21" s="84"/>
      <c r="I21" s="84"/>
      <c r="J21" s="84"/>
    </row>
    <row r="22" spans="2:36" ht="14.25">
      <c r="B22" s="1" t="s">
        <v>0</v>
      </c>
      <c r="C22" s="84"/>
      <c r="D22" s="102">
        <v>0</v>
      </c>
      <c r="E22" s="84"/>
      <c r="F22" s="102">
        <v>0</v>
      </c>
      <c r="G22" s="84"/>
      <c r="H22" s="102">
        <v>0</v>
      </c>
      <c r="I22" s="84"/>
      <c r="J22" s="102">
        <v>0</v>
      </c>
      <c r="K22" s="14"/>
      <c r="L22" s="13">
        <v>0</v>
      </c>
      <c r="N22" s="13">
        <v>0</v>
      </c>
      <c r="P22" s="13">
        <v>0</v>
      </c>
      <c r="R22" s="13">
        <v>0</v>
      </c>
      <c r="T22" s="13">
        <v>0</v>
      </c>
      <c r="V22" s="13">
        <v>0</v>
      </c>
      <c r="X22" s="13">
        <v>0</v>
      </c>
      <c r="Z22" s="13">
        <v>0</v>
      </c>
      <c r="AB22" s="13">
        <v>0</v>
      </c>
      <c r="AD22" s="13">
        <v>0</v>
      </c>
      <c r="AF22" s="13">
        <v>0</v>
      </c>
      <c r="AH22" s="13">
        <v>0</v>
      </c>
      <c r="AJ22" s="13">
        <v>0</v>
      </c>
    </row>
    <row r="23" spans="2:36" ht="14.25">
      <c r="B23" s="1" t="s">
        <v>9</v>
      </c>
      <c r="C23" s="84"/>
      <c r="D23" s="87">
        <f>'Avg Nt Fix Ass &amp;UCC'!D110</f>
        <v>1980.6833333333332</v>
      </c>
      <c r="E23" s="84"/>
      <c r="F23" s="87">
        <f>'Avg Nt Fix Ass &amp;UCC'!E110</f>
        <v>20336.223055555554</v>
      </c>
      <c r="G23" s="84"/>
      <c r="H23" s="87">
        <f>'Avg Nt Fix Ass &amp;UCC'!F110</f>
        <v>50132.2345565517</v>
      </c>
      <c r="I23" s="84"/>
      <c r="J23" s="87">
        <f>'Avg Nt Fix Ass &amp;UCC'!G110</f>
        <v>73341.63071810649</v>
      </c>
      <c r="L23" s="7">
        <f>'Avg Nt Fix Ass &amp;UCC'!H110</f>
        <v>104658.83639537368</v>
      </c>
      <c r="N23" s="7">
        <f>'Avg Nt Fix Ass &amp;UCC'!I110</f>
        <v>118981.58480689029</v>
      </c>
      <c r="P23" s="7">
        <f>'Avg Nt Fix Ass &amp;UCC'!J110</f>
        <v>109962.24230689029</v>
      </c>
      <c r="R23" s="7">
        <f>'Avg Nt Fix Ass &amp;UCC'!K110</f>
        <v>107751.79880689029</v>
      </c>
      <c r="T23" s="7">
        <f>'Avg Nt Fix Ass &amp;UCC'!L110</f>
        <v>106105.16633134487</v>
      </c>
      <c r="V23" s="7">
        <f>'Avg Nt Fix Ass &amp;UCC'!M110</f>
        <v>104459.08220689028</v>
      </c>
      <c r="X23" s="7">
        <f>'Avg Nt Fix Ass &amp;UCC'!N110</f>
        <v>104459.08220689028</v>
      </c>
      <c r="Z23" s="127">
        <f>'Avg Nt Fix Ass &amp;UCC'!O110</f>
        <v>104459.08220689028</v>
      </c>
      <c r="AB23" s="7">
        <f>'Avg Nt Fix Ass &amp;UCC'!P110</f>
        <v>104459.08220689028</v>
      </c>
      <c r="AD23" s="7">
        <f>'Avg Nt Fix Ass &amp;UCC'!Q110</f>
        <v>104459.08220689028</v>
      </c>
      <c r="AF23" s="7">
        <f>'Avg Nt Fix Ass &amp;UCC'!R110</f>
        <v>104459.08220689028</v>
      </c>
      <c r="AH23" s="7">
        <f>'Avg Nt Fix Ass &amp;UCC'!S110</f>
        <v>104459.08220689028</v>
      </c>
      <c r="AJ23" s="7">
        <f>'Avg Nt Fix Ass &amp;UCC'!T110</f>
        <v>104459.08220689028</v>
      </c>
    </row>
    <row r="24" spans="2:36" ht="14.25">
      <c r="B24" s="1" t="s">
        <v>8</v>
      </c>
      <c r="C24" s="84"/>
      <c r="D24" s="82">
        <f>PILs!C35</f>
        <v>-151.7842827328688</v>
      </c>
      <c r="E24" s="84"/>
      <c r="F24" s="82">
        <f>PILs!D35</f>
        <v>-10388.328501577604</v>
      </c>
      <c r="G24" s="84"/>
      <c r="H24" s="82">
        <f>PILs!E35</f>
        <v>-11375.16768069878</v>
      </c>
      <c r="I24" s="84"/>
      <c r="J24" s="82">
        <f>PILs!F35</f>
        <v>1214.799723808683</v>
      </c>
      <c r="L24" s="3">
        <f>PILs!G35</f>
        <v>3430.716015106338</v>
      </c>
      <c r="N24" s="3">
        <f>PILs!H35</f>
        <v>3106.8717526836094</v>
      </c>
      <c r="P24" s="3">
        <f>PILs!I35</f>
        <v>7642.686196256338</v>
      </c>
      <c r="R24" s="3">
        <f>PILs!J35</f>
        <v>11159.790207249123</v>
      </c>
      <c r="T24" s="3">
        <f>PILs!K35</f>
        <v>14030.733023478344</v>
      </c>
      <c r="V24" s="3">
        <f>PILs!L35</f>
        <v>16532.052694933802</v>
      </c>
      <c r="X24" s="3">
        <f>PILs!M35</f>
        <v>19277.34728751351</v>
      </c>
      <c r="Z24" s="141">
        <f>PILs!N35</f>
        <v>21690.935849296828</v>
      </c>
      <c r="AB24" s="3">
        <f>PILs!O35</f>
        <v>23799.354862747503</v>
      </c>
      <c r="AD24" s="3">
        <f>PILs!P35</f>
        <v>25627.01789173213</v>
      </c>
      <c r="AF24" s="3">
        <f>PILs!Q35</f>
        <v>27196.385415007997</v>
      </c>
      <c r="AH24" s="3">
        <f>PILs!R35</f>
        <v>28528.121073031798</v>
      </c>
      <c r="AJ24" s="3">
        <f>PILs!S35</f>
        <v>29641.23541502371</v>
      </c>
    </row>
    <row r="25" spans="3:10" ht="14.25">
      <c r="C25" s="84"/>
      <c r="D25" s="84"/>
      <c r="E25" s="84"/>
      <c r="F25" s="84"/>
      <c r="G25" s="84"/>
      <c r="H25" s="84"/>
      <c r="I25" s="84"/>
      <c r="J25" s="84"/>
    </row>
    <row r="26" spans="2:36" s="63" customFormat="1" ht="15" thickBot="1">
      <c r="B26" s="63" t="s">
        <v>56</v>
      </c>
      <c r="C26" s="103"/>
      <c r="D26" s="104">
        <f>SUM(D20:D24)</f>
        <v>4455.050012300465</v>
      </c>
      <c r="E26" s="103"/>
      <c r="F26" s="104">
        <f>SUM(F20:F24)</f>
        <v>28012.87992006295</v>
      </c>
      <c r="G26" s="103"/>
      <c r="H26" s="104">
        <f>SUM(H20:H24)</f>
        <v>87787.74358900827</v>
      </c>
      <c r="I26" s="103"/>
      <c r="J26" s="104">
        <f>SUM(J20:J24)</f>
        <v>155753.6336632913</v>
      </c>
      <c r="L26" s="64">
        <f>SUM(L20:L24)</f>
        <v>237586.54889744666</v>
      </c>
      <c r="N26" s="64">
        <f>SUM(N20:N24)</f>
        <v>278694.1072193184</v>
      </c>
      <c r="P26" s="64">
        <f>SUM(P20:P24)</f>
        <v>272792.2236942818</v>
      </c>
      <c r="R26" s="64">
        <f>SUM(R20:R24)</f>
        <v>271059.581385269</v>
      </c>
      <c r="T26" s="64">
        <f>SUM(T20:T24)</f>
        <v>266079.1936452878</v>
      </c>
      <c r="V26" s="64">
        <f>SUM(V20:V24)</f>
        <v>260516.63980962665</v>
      </c>
      <c r="X26" s="64">
        <f>SUM(X20:X24)</f>
        <v>256894.31603048395</v>
      </c>
      <c r="Z26" s="64">
        <f>SUM(Z20:Z24)</f>
        <v>252940.28622054483</v>
      </c>
      <c r="AB26" s="64">
        <f>SUM(AB20:AB24)</f>
        <v>248681.08686227308</v>
      </c>
      <c r="AD26" s="64">
        <f>SUM(AD20:AD24)</f>
        <v>244141.13151953527</v>
      </c>
      <c r="AF26" s="64">
        <f>SUM(AF20:AF24)</f>
        <v>239342.8806710887</v>
      </c>
      <c r="AH26" s="64">
        <f>SUM(AH20:AH24)</f>
        <v>234306.99795739003</v>
      </c>
      <c r="AJ26" s="64">
        <f>SUM(AJ20:AJ24)</f>
        <v>229052.49392765955</v>
      </c>
    </row>
    <row r="27" spans="3:10" ht="14.25">
      <c r="C27" s="84"/>
      <c r="D27" s="84"/>
      <c r="E27" s="84"/>
      <c r="F27" s="84"/>
      <c r="G27" s="84"/>
      <c r="H27" s="84"/>
      <c r="I27" s="84"/>
      <c r="J27" s="84"/>
    </row>
    <row r="28" spans="3:10" ht="14.25">
      <c r="C28" s="84"/>
      <c r="D28" s="84"/>
      <c r="E28" s="84"/>
      <c r="F28" s="84"/>
      <c r="G28" s="84"/>
      <c r="H28" s="84"/>
      <c r="I28" s="84"/>
      <c r="J28" s="84"/>
    </row>
  </sheetData>
  <sheetProtection/>
  <mergeCells count="17">
    <mergeCell ref="C6:D6"/>
    <mergeCell ref="Q6:R6"/>
    <mergeCell ref="S6:T6"/>
    <mergeCell ref="U6:V6"/>
    <mergeCell ref="Y6:Z6"/>
    <mergeCell ref="W6:X6"/>
    <mergeCell ref="I6:J6"/>
    <mergeCell ref="O6:P6"/>
    <mergeCell ref="E6:F6"/>
    <mergeCell ref="G6:H6"/>
    <mergeCell ref="AI6:AJ6"/>
    <mergeCell ref="K6:L6"/>
    <mergeCell ref="M6:N6"/>
    <mergeCell ref="AA6:AB6"/>
    <mergeCell ref="AC6:AD6"/>
    <mergeCell ref="AE6:AF6"/>
    <mergeCell ref="AG6:AH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2" r:id="rId1"/>
  <headerFooter alignWithMargins="0">
    <oddFooter>&amp;L&amp;Z&amp;F&amp;R&amp;A</oddFooter>
  </headerFooter>
  <ignoredErrors>
    <ignoredError sqref="G9:Y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80" zoomScaleSheetLayoutView="80" zoomScalePageLayoutView="0" workbookViewId="0" topLeftCell="A1">
      <selection activeCell="N16" sqref="N16:T16"/>
    </sheetView>
  </sheetViews>
  <sheetFormatPr defaultColWidth="8.77734375" defaultRowHeight="15"/>
  <cols>
    <col min="1" max="1" width="2.88671875" style="15" customWidth="1"/>
    <col min="2" max="2" width="25.4453125" style="15" bestFit="1" customWidth="1"/>
    <col min="3" max="13" width="13.77734375" style="15" customWidth="1"/>
    <col min="14" max="14" width="10.5546875" style="15" customWidth="1"/>
    <col min="15" max="16384" width="8.77734375" style="15" customWidth="1"/>
  </cols>
  <sheetData>
    <row r="1" ht="18">
      <c r="B1" s="61" t="s">
        <v>50</v>
      </c>
    </row>
    <row r="2" ht="18">
      <c r="B2" s="61" t="s">
        <v>57</v>
      </c>
    </row>
    <row r="3" ht="18">
      <c r="B3" s="61" t="s">
        <v>58</v>
      </c>
    </row>
    <row r="4" spans="1:6" ht="18">
      <c r="A4" s="16"/>
      <c r="B4" s="60" t="s">
        <v>10</v>
      </c>
      <c r="C4" s="16"/>
      <c r="D4" s="16"/>
      <c r="E4" s="17"/>
      <c r="F4" s="17"/>
    </row>
    <row r="5" spans="1:6" ht="15">
      <c r="A5" s="16"/>
      <c r="B5" s="16"/>
      <c r="C5" s="16"/>
      <c r="D5" s="16"/>
      <c r="E5" s="17"/>
      <c r="F5" s="17"/>
    </row>
    <row r="6" spans="1:19" ht="15">
      <c r="A6" s="16"/>
      <c r="B6" s="16"/>
      <c r="C6" s="18">
        <v>2010</v>
      </c>
      <c r="D6" s="18">
        <v>2011</v>
      </c>
      <c r="E6" s="18">
        <v>2012</v>
      </c>
      <c r="F6" s="18">
        <v>2013</v>
      </c>
      <c r="G6" s="18">
        <v>2014</v>
      </c>
      <c r="H6" s="18">
        <v>2015</v>
      </c>
      <c r="I6" s="18">
        <v>2016</v>
      </c>
      <c r="J6" s="18">
        <v>2017</v>
      </c>
      <c r="K6" s="18">
        <v>2018</v>
      </c>
      <c r="L6" s="18">
        <v>2019</v>
      </c>
      <c r="M6" s="18">
        <v>2020</v>
      </c>
      <c r="N6" s="18">
        <v>2021</v>
      </c>
      <c r="O6" s="18">
        <v>2022</v>
      </c>
      <c r="P6" s="18">
        <v>2023</v>
      </c>
      <c r="Q6" s="18">
        <v>2024</v>
      </c>
      <c r="R6" s="18">
        <v>2025</v>
      </c>
      <c r="S6" s="18">
        <v>2026</v>
      </c>
    </row>
    <row r="7" spans="1:6" ht="15">
      <c r="A7" s="16"/>
      <c r="B7" s="19" t="s">
        <v>11</v>
      </c>
      <c r="C7" s="20"/>
      <c r="D7" s="20"/>
      <c r="E7" s="20"/>
      <c r="F7" s="20"/>
    </row>
    <row r="8" spans="1:19" ht="15">
      <c r="A8" s="16"/>
      <c r="B8" s="16" t="s">
        <v>12</v>
      </c>
      <c r="C8" s="21">
        <f>'Revenue Requirement'!D19</f>
        <v>1283.511453</v>
      </c>
      <c r="D8" s="21">
        <f>'Revenue Requirement'!F19</f>
        <v>8829.12519265</v>
      </c>
      <c r="E8" s="21">
        <f>'Revenue Requirement'!H19</f>
        <v>23963.373022904045</v>
      </c>
      <c r="F8" s="21">
        <f>'Revenue Requirement'!J19</f>
        <v>48507.56119660748</v>
      </c>
      <c r="G8" s="21">
        <f>'Revenue Requirement'!L19</f>
        <v>77362.06707443217</v>
      </c>
      <c r="H8" s="21">
        <f>'Revenue Requirement'!N19</f>
        <v>93556.8945940272</v>
      </c>
      <c r="I8" s="21">
        <f>'Revenue Requirement'!P19</f>
        <v>95843.7620812887</v>
      </c>
      <c r="J8" s="21">
        <f>'Revenue Requirement'!R19</f>
        <v>93040.52295257238</v>
      </c>
      <c r="K8" s="21">
        <f>'Revenue Requirement'!T19</f>
        <v>89062.78340100123</v>
      </c>
      <c r="L8" s="21">
        <f>'Revenue Requirement'!V19</f>
        <v>85146.28837819003</v>
      </c>
      <c r="M8" s="21">
        <f>'Revenue Requirement'!X19</f>
        <v>81260.41052009372</v>
      </c>
      <c r="N8" s="21">
        <f>'Revenue Requirement'!Z19</f>
        <v>77374.5326619974</v>
      </c>
      <c r="O8" s="21">
        <f>'Revenue Requirement'!AB19</f>
        <v>73488.65480390108</v>
      </c>
      <c r="P8" s="21">
        <f>'Revenue Requirement'!AD19</f>
        <v>69602.77694580477</v>
      </c>
      <c r="Q8" s="21">
        <f>'Revenue Requirement'!AF19</f>
        <v>65716.89908770844</v>
      </c>
      <c r="R8" s="21">
        <f>'Revenue Requirement'!AH19</f>
        <v>61831.02122961212</v>
      </c>
      <c r="S8" s="21">
        <f>'Revenue Requirement'!AJ19</f>
        <v>57945.143371515805</v>
      </c>
    </row>
    <row r="9" spans="1:19" ht="15">
      <c r="A9" s="16"/>
      <c r="B9" s="16" t="s">
        <v>53</v>
      </c>
      <c r="C9" s="21">
        <f>'Revenue Requirement'!D23</f>
        <v>1980.6833333333332</v>
      </c>
      <c r="D9" s="21">
        <f>'Revenue Requirement'!F23</f>
        <v>20336.223055555554</v>
      </c>
      <c r="E9" s="21">
        <f>'Revenue Requirement'!H23</f>
        <v>50132.2345565517</v>
      </c>
      <c r="F9" s="21">
        <f>'Revenue Requirement'!J23</f>
        <v>73341.63071810649</v>
      </c>
      <c r="G9" s="21">
        <f>'Revenue Requirement'!L23</f>
        <v>104658.83639537368</v>
      </c>
      <c r="H9" s="21">
        <f>'Revenue Requirement'!N23</f>
        <v>118981.58480689029</v>
      </c>
      <c r="I9" s="21">
        <f>'Revenue Requirement'!P23</f>
        <v>109962.24230689029</v>
      </c>
      <c r="J9" s="21">
        <f>'Revenue Requirement'!R23</f>
        <v>107751.79880689029</v>
      </c>
      <c r="K9" s="21">
        <f>'Revenue Requirement'!T23</f>
        <v>106105.16633134487</v>
      </c>
      <c r="L9" s="21">
        <f>'Revenue Requirement'!V23</f>
        <v>104459.08220689028</v>
      </c>
      <c r="M9" s="21">
        <f>'Revenue Requirement'!X23</f>
        <v>104459.08220689028</v>
      </c>
      <c r="N9" s="21">
        <f>'Revenue Requirement'!Z23</f>
        <v>104459.08220689028</v>
      </c>
      <c r="O9" s="21">
        <f>'Revenue Requirement'!AB23</f>
        <v>104459.08220689028</v>
      </c>
      <c r="P9" s="21">
        <f>'Revenue Requirement'!AD23</f>
        <v>104459.08220689028</v>
      </c>
      <c r="Q9" s="21">
        <f>'Revenue Requirement'!AF23</f>
        <v>104459.08220689028</v>
      </c>
      <c r="R9" s="21">
        <f>'Revenue Requirement'!AH23</f>
        <v>104459.08220689028</v>
      </c>
      <c r="S9" s="21">
        <f>'Revenue Requirement'!AJ23</f>
        <v>104459.08220689028</v>
      </c>
    </row>
    <row r="10" spans="1:19" ht="15">
      <c r="A10" s="16"/>
      <c r="B10" s="16" t="s">
        <v>39</v>
      </c>
      <c r="C10" s="21">
        <f>-'Avg Nt Fix Ass &amp;UCC'!D124-'Avg Nt Fix Ass &amp;UCC'!D138</f>
        <v>-3649.7000000000003</v>
      </c>
      <c r="D10" s="21">
        <f>-'Avg Nt Fix Ass &amp;UCC'!E124-'Avg Nt Fix Ass &amp;UCC'!E138</f>
        <v>-55549.864</v>
      </c>
      <c r="E10" s="21">
        <f>-'Avg Nt Fix Ass &amp;UCC'!F124-'Avg Nt Fix Ass &amp;UCC'!F138</f>
        <v>-105645.60095799764</v>
      </c>
      <c r="F10" s="21">
        <f>-'Avg Nt Fix Ass &amp;UCC'!G124-'Avg Nt Fix Ass &amp;UCC'!G138</f>
        <v>-118479.84173735781</v>
      </c>
      <c r="G10" s="21">
        <f>-'Avg Nt Fix Ass &amp;UCC'!H124-'Avg Nt Fix Ass &amp;UCC'!H138</f>
        <v>-172505.52131469958</v>
      </c>
      <c r="H10" s="21">
        <f>-'Avg Nt Fix Ass &amp;UCC'!I124-'Avg Nt Fix Ass &amp;UCC'!I138</f>
        <v>-203921.30680385162</v>
      </c>
      <c r="I10" s="21">
        <f>-'Avg Nt Fix Ass &amp;UCC'!J124-'Avg Nt Fix Ass &amp;UCC'!J138</f>
        <v>-184608.3653155435</v>
      </c>
      <c r="J10" s="21">
        <f>-'Avg Nt Fix Ass &amp;UCC'!K124-'Avg Nt Fix Ass &amp;UCC'!K138</f>
        <v>-169839.6960903</v>
      </c>
      <c r="K10" s="21">
        <f>-'Avg Nt Fix Ass &amp;UCC'!L124-'Avg Nt Fix Ass &amp;UCC'!L138</f>
        <v>-156252.520403076</v>
      </c>
      <c r="L10" s="21">
        <f>-'Avg Nt Fix Ass &amp;UCC'!M124-'Avg Nt Fix Ass &amp;UCC'!M138</f>
        <v>-143752.31877082994</v>
      </c>
      <c r="M10" s="21">
        <f>-'Avg Nt Fix Ass &amp;UCC'!N124-'Avg Nt Fix Ass &amp;UCC'!N138</f>
        <v>-132252.13326916352</v>
      </c>
      <c r="N10" s="21">
        <f>-'Avg Nt Fix Ass &amp;UCC'!O124-'Avg Nt Fix Ass &amp;UCC'!O138</f>
        <v>-121671.96260763044</v>
      </c>
      <c r="O10" s="21">
        <f>-'Avg Nt Fix Ass &amp;UCC'!P124-'Avg Nt Fix Ass &amp;UCC'!P138</f>
        <v>-111938.20559902</v>
      </c>
      <c r="P10" s="21">
        <f>-'Avg Nt Fix Ass &amp;UCC'!Q124-'Avg Nt Fix Ass &amp;UCC'!Q138</f>
        <v>-102983.14915109839</v>
      </c>
      <c r="Q10" s="21">
        <f>-'Avg Nt Fix Ass &amp;UCC'!R124-'Avg Nt Fix Ass &amp;UCC'!R138</f>
        <v>-94744.49721901052</v>
      </c>
      <c r="R10" s="21">
        <f>-'Avg Nt Fix Ass &amp;UCC'!S124-'Avg Nt Fix Ass &amp;UCC'!S138</f>
        <v>-87164.93744148967</v>
      </c>
      <c r="S10" s="21">
        <f>-'Avg Nt Fix Ass &amp;UCC'!T124-'Avg Nt Fix Ass &amp;UCC'!T138</f>
        <v>-80191.74244617051</v>
      </c>
    </row>
    <row r="11" spans="1:19" ht="15">
      <c r="A11" s="16"/>
      <c r="B11" s="16" t="s">
        <v>13</v>
      </c>
      <c r="C11" s="22">
        <f aca="true" t="shared" si="0" ref="C11:H11">SUM(C8:C10)</f>
        <v>-385.5052136666668</v>
      </c>
      <c r="D11" s="22">
        <f t="shared" si="0"/>
        <v>-26384.515751794446</v>
      </c>
      <c r="E11" s="22">
        <f t="shared" si="0"/>
        <v>-31549.993378541898</v>
      </c>
      <c r="F11" s="22">
        <f t="shared" si="0"/>
        <v>3369.3501773561584</v>
      </c>
      <c r="G11" s="22">
        <f t="shared" si="0"/>
        <v>9515.382155106257</v>
      </c>
      <c r="H11" s="22">
        <f t="shared" si="0"/>
        <v>8617.172597065859</v>
      </c>
      <c r="I11" s="22">
        <f aca="true" t="shared" si="1" ref="I11:N11">SUM(I8:I10)</f>
        <v>21197.639072635502</v>
      </c>
      <c r="J11" s="22">
        <f t="shared" si="1"/>
        <v>30952.625669162662</v>
      </c>
      <c r="K11" s="22">
        <f t="shared" si="1"/>
        <v>38915.42932927012</v>
      </c>
      <c r="L11" s="22">
        <f t="shared" si="1"/>
        <v>45853.05181425036</v>
      </c>
      <c r="M11" s="22">
        <f t="shared" si="1"/>
        <v>53467.35945782048</v>
      </c>
      <c r="N11" s="22">
        <f t="shared" si="1"/>
        <v>60161.65226125723</v>
      </c>
      <c r="O11" s="22">
        <f>SUM(O8:O10)</f>
        <v>66009.53141177137</v>
      </c>
      <c r="P11" s="22">
        <f>SUM(P8:P10)</f>
        <v>71078.71000159666</v>
      </c>
      <c r="Q11" s="22">
        <f>SUM(Q8:Q10)</f>
        <v>75431.4840755882</v>
      </c>
      <c r="R11" s="22">
        <f>SUM(R8:R10)</f>
        <v>79125.16599501272</v>
      </c>
      <c r="S11" s="22">
        <f>SUM(S8:S10)</f>
        <v>82212.48313223556</v>
      </c>
    </row>
    <row r="12" spans="1:19" ht="15">
      <c r="A12" s="16"/>
      <c r="B12" s="16" t="s">
        <v>47</v>
      </c>
      <c r="C12" s="23">
        <v>0.2825</v>
      </c>
      <c r="D12" s="23">
        <v>0.2825</v>
      </c>
      <c r="E12" s="23">
        <v>0.265</v>
      </c>
      <c r="F12" s="23">
        <v>0.265</v>
      </c>
      <c r="G12" s="23">
        <v>0.265</v>
      </c>
      <c r="H12" s="23">
        <v>0.265</v>
      </c>
      <c r="I12" s="23">
        <v>0.265</v>
      </c>
      <c r="J12" s="23">
        <v>0.265</v>
      </c>
      <c r="K12" s="23">
        <v>0.265</v>
      </c>
      <c r="L12" s="23">
        <v>0.265</v>
      </c>
      <c r="M12" s="23">
        <v>0.265</v>
      </c>
      <c r="N12" s="23">
        <f aca="true" t="shared" si="2" ref="N12:S12">M12</f>
        <v>0.265</v>
      </c>
      <c r="O12" s="23">
        <f t="shared" si="2"/>
        <v>0.265</v>
      </c>
      <c r="P12" s="23">
        <f t="shared" si="2"/>
        <v>0.265</v>
      </c>
      <c r="Q12" s="23">
        <f t="shared" si="2"/>
        <v>0.265</v>
      </c>
      <c r="R12" s="23">
        <f t="shared" si="2"/>
        <v>0.265</v>
      </c>
      <c r="S12" s="23">
        <f t="shared" si="2"/>
        <v>0.265</v>
      </c>
    </row>
    <row r="13" spans="1:19" ht="15">
      <c r="A13" s="16"/>
      <c r="B13" s="16" t="s">
        <v>14</v>
      </c>
      <c r="C13" s="22">
        <f aca="true" t="shared" si="3" ref="C13:H13">C11*C12</f>
        <v>-108.90522286083336</v>
      </c>
      <c r="D13" s="22">
        <f t="shared" si="3"/>
        <v>-7453.625699881931</v>
      </c>
      <c r="E13" s="22">
        <f t="shared" si="3"/>
        <v>-8360.748245313604</v>
      </c>
      <c r="F13" s="22">
        <f t="shared" si="3"/>
        <v>892.877796999382</v>
      </c>
      <c r="G13" s="22">
        <f t="shared" si="3"/>
        <v>2521.5762711031584</v>
      </c>
      <c r="H13" s="22">
        <f t="shared" si="3"/>
        <v>2283.5507382224528</v>
      </c>
      <c r="I13" s="22">
        <f aca="true" t="shared" si="4" ref="I13:N13">I11*I12</f>
        <v>5617.374354248408</v>
      </c>
      <c r="J13" s="22">
        <f t="shared" si="4"/>
        <v>8202.445802328106</v>
      </c>
      <c r="K13" s="22">
        <f t="shared" si="4"/>
        <v>10312.588772256582</v>
      </c>
      <c r="L13" s="22">
        <f t="shared" si="4"/>
        <v>12151.058730776345</v>
      </c>
      <c r="M13" s="22">
        <f t="shared" si="4"/>
        <v>14168.850256322428</v>
      </c>
      <c r="N13" s="22">
        <f t="shared" si="4"/>
        <v>15942.837849233167</v>
      </c>
      <c r="O13" s="22">
        <f>O11*O12</f>
        <v>17492.525824119413</v>
      </c>
      <c r="P13" s="22">
        <f>P11*P12</f>
        <v>18835.858150423115</v>
      </c>
      <c r="Q13" s="22">
        <f>Q11*Q12</f>
        <v>19989.343280030876</v>
      </c>
      <c r="R13" s="22">
        <f>R11*R12</f>
        <v>20968.16898867837</v>
      </c>
      <c r="S13" s="22">
        <f>S11*S12</f>
        <v>21786.308030042426</v>
      </c>
    </row>
    <row r="14" spans="1:19" ht="15">
      <c r="A14" s="16"/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">
      <c r="A15" s="16"/>
      <c r="B15" s="19" t="s">
        <v>15</v>
      </c>
      <c r="C15" s="16"/>
      <c r="D15" s="16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">
      <c r="A16" s="16"/>
      <c r="B16" s="24" t="s">
        <v>31</v>
      </c>
      <c r="C16" s="25">
        <f>'Avg Nt Fix Ass &amp;UCC'!D111</f>
        <v>80119.31666666667</v>
      </c>
      <c r="D16" s="25">
        <f>'Avg Nt Fix Ass &amp;UCC'!E111</f>
        <v>471012.0936111111</v>
      </c>
      <c r="E16" s="25">
        <f>'Avg Nt Fix Ass &amp;UCC'!F111</f>
        <v>1024828.9190545594</v>
      </c>
      <c r="F16" s="25">
        <f>'Avg Nt Fix Ass &amp;UCC'!G111</f>
        <v>1691159.9497364527</v>
      </c>
      <c r="G16" s="25">
        <f>'Avg Nt Fix Ass &amp;UCC'!H111</f>
        <v>2640422.7531992793</v>
      </c>
      <c r="H16" s="25">
        <f>'Avg Nt Fix Ass &amp;UCC'!I111</f>
        <v>2597925.208392388</v>
      </c>
      <c r="I16" s="25">
        <f>'Avg Nt Fix Ass &amp;UCC'!J111</f>
        <v>2554965.226085498</v>
      </c>
      <c r="J16" s="25">
        <f>'Avg Nt Fix Ass &amp;UCC'!K111</f>
        <v>2447213.427278608</v>
      </c>
      <c r="K16" s="25">
        <f>'Avg Nt Fix Ass &amp;UCC'!L111</f>
        <v>2341108.2609472633</v>
      </c>
      <c r="L16" s="25">
        <f>'Avg Nt Fix Ass &amp;UCC'!M111</f>
        <v>2236649.178740373</v>
      </c>
      <c r="M16" s="25">
        <f>'Avg Nt Fix Ass &amp;UCC'!N111</f>
        <v>2132190.096533483</v>
      </c>
      <c r="N16" s="25">
        <f>'Avg Nt Fix Ass &amp;UCC'!O111</f>
        <v>2027731.014326592</v>
      </c>
      <c r="O16" s="25">
        <f>'Avg Nt Fix Ass &amp;UCC'!P111</f>
        <v>1923271.932119702</v>
      </c>
      <c r="P16" s="25">
        <f>'Avg Nt Fix Ass &amp;UCC'!Q111</f>
        <v>1818812.8499128115</v>
      </c>
      <c r="Q16" s="25">
        <f>'Avg Nt Fix Ass &amp;UCC'!R111</f>
        <v>1714353.7677059213</v>
      </c>
      <c r="R16" s="25">
        <f>'Avg Nt Fix Ass &amp;UCC'!S111</f>
        <v>1609894.6854990309</v>
      </c>
      <c r="S16" s="25">
        <f>'Avg Nt Fix Ass &amp;UCC'!T111</f>
        <v>1505435.6032921409</v>
      </c>
    </row>
    <row r="17" spans="1:19" ht="15">
      <c r="A17" s="16"/>
      <c r="B17" s="16" t="s">
        <v>16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</row>
    <row r="18" spans="1:19" ht="15">
      <c r="A18" s="16"/>
      <c r="B18" s="16" t="s">
        <v>17</v>
      </c>
      <c r="C18" s="22">
        <f aca="true" t="shared" si="5" ref="C18:H18">C16-C17</f>
        <v>80119.31666666667</v>
      </c>
      <c r="D18" s="22">
        <f t="shared" si="5"/>
        <v>471012.0936111111</v>
      </c>
      <c r="E18" s="22">
        <f t="shared" si="5"/>
        <v>1024828.9190545594</v>
      </c>
      <c r="F18" s="22">
        <f t="shared" si="5"/>
        <v>1691159.9497364527</v>
      </c>
      <c r="G18" s="22">
        <f t="shared" si="5"/>
        <v>2640422.7531992793</v>
      </c>
      <c r="H18" s="22">
        <f t="shared" si="5"/>
        <v>2597925.208392388</v>
      </c>
      <c r="I18" s="22">
        <f aca="true" t="shared" si="6" ref="I18:N18">I16-I17</f>
        <v>2554965.226085498</v>
      </c>
      <c r="J18" s="22">
        <f t="shared" si="6"/>
        <v>2447213.427278608</v>
      </c>
      <c r="K18" s="22">
        <f t="shared" si="6"/>
        <v>2341108.2609472633</v>
      </c>
      <c r="L18" s="22">
        <f t="shared" si="6"/>
        <v>2236649.178740373</v>
      </c>
      <c r="M18" s="22">
        <f t="shared" si="6"/>
        <v>2132190.096533483</v>
      </c>
      <c r="N18" s="22">
        <f t="shared" si="6"/>
        <v>2027731.014326592</v>
      </c>
      <c r="O18" s="22">
        <f>O16-O17</f>
        <v>1923271.932119702</v>
      </c>
      <c r="P18" s="22">
        <f>P16-P17</f>
        <v>1818812.8499128115</v>
      </c>
      <c r="Q18" s="22">
        <f>Q16-Q17</f>
        <v>1714353.7677059213</v>
      </c>
      <c r="R18" s="22">
        <f>R16-R17</f>
        <v>1609894.6854990309</v>
      </c>
      <c r="S18" s="22">
        <f>S16-S17</f>
        <v>1505435.6032921409</v>
      </c>
    </row>
    <row r="19" spans="1:19" ht="15">
      <c r="A19" s="16"/>
      <c r="B19" s="16" t="s">
        <v>18</v>
      </c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5">
      <c r="A20" s="16"/>
      <c r="B20" s="16" t="s">
        <v>19</v>
      </c>
      <c r="C20" s="29">
        <f aca="true" t="shared" si="7" ref="C20:H20">C18*C19</f>
        <v>0</v>
      </c>
      <c r="D20" s="29">
        <f t="shared" si="7"/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aca="true" t="shared" si="8" ref="I20:N20">I18*I19</f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8"/>
        <v>0</v>
      </c>
      <c r="O20" s="29">
        <f>O18*O19</f>
        <v>0</v>
      </c>
      <c r="P20" s="29">
        <f>P18*P19</f>
        <v>0</v>
      </c>
      <c r="Q20" s="29">
        <f>Q18*Q19</f>
        <v>0</v>
      </c>
      <c r="R20" s="29">
        <f>R18*R19</f>
        <v>0</v>
      </c>
      <c r="S20" s="29">
        <f>S18*S19</f>
        <v>0</v>
      </c>
    </row>
    <row r="21" spans="1:6" ht="15">
      <c r="A21" s="16"/>
      <c r="B21" s="16"/>
      <c r="C21" s="16"/>
      <c r="D21" s="16"/>
      <c r="E21" s="16"/>
      <c r="F21" s="17"/>
    </row>
    <row r="22" spans="1:6" ht="15">
      <c r="A22" s="16"/>
      <c r="B22" s="16"/>
      <c r="C22" s="16"/>
      <c r="D22" s="16"/>
      <c r="E22" s="16"/>
      <c r="F22" s="17"/>
    </row>
    <row r="23" spans="1:19" ht="15">
      <c r="A23" s="16"/>
      <c r="B23" s="30" t="s">
        <v>20</v>
      </c>
      <c r="C23" s="18">
        <v>2010</v>
      </c>
      <c r="D23" s="18">
        <v>2011</v>
      </c>
      <c r="E23" s="18">
        <v>2012</v>
      </c>
      <c r="F23" s="18">
        <v>2013</v>
      </c>
      <c r="G23" s="18">
        <v>2014</v>
      </c>
      <c r="H23" s="18">
        <v>2015</v>
      </c>
      <c r="I23" s="18">
        <v>2016</v>
      </c>
      <c r="J23" s="18">
        <v>2017</v>
      </c>
      <c r="K23" s="18">
        <v>2018</v>
      </c>
      <c r="L23" s="18">
        <v>2019</v>
      </c>
      <c r="M23" s="18">
        <v>2020</v>
      </c>
      <c r="N23" s="18">
        <v>2021</v>
      </c>
      <c r="O23" s="18">
        <v>2022</v>
      </c>
      <c r="P23" s="18">
        <v>2023</v>
      </c>
      <c r="Q23" s="18">
        <v>2024</v>
      </c>
      <c r="R23" s="18">
        <v>2025</v>
      </c>
      <c r="S23" s="18">
        <v>2026</v>
      </c>
    </row>
    <row r="24" spans="1:19" ht="15">
      <c r="A24" s="16"/>
      <c r="B24" s="16"/>
      <c r="C24" s="20" t="s">
        <v>21</v>
      </c>
      <c r="D24" s="20" t="s">
        <v>21</v>
      </c>
      <c r="E24" s="20" t="s">
        <v>21</v>
      </c>
      <c r="F24" s="20" t="s">
        <v>21</v>
      </c>
      <c r="G24" s="20" t="s">
        <v>21</v>
      </c>
      <c r="H24" s="20" t="s">
        <v>21</v>
      </c>
      <c r="I24" s="20" t="s">
        <v>21</v>
      </c>
      <c r="J24" s="20" t="s">
        <v>21</v>
      </c>
      <c r="K24" s="20" t="s">
        <v>21</v>
      </c>
      <c r="L24" s="20" t="s">
        <v>21</v>
      </c>
      <c r="M24" s="20" t="s">
        <v>21</v>
      </c>
      <c r="N24" s="20" t="s">
        <v>21</v>
      </c>
      <c r="O24" s="20" t="s">
        <v>21</v>
      </c>
      <c r="P24" s="20" t="s">
        <v>21</v>
      </c>
      <c r="Q24" s="20" t="s">
        <v>21</v>
      </c>
      <c r="R24" s="20" t="s">
        <v>21</v>
      </c>
      <c r="S24" s="20" t="s">
        <v>21</v>
      </c>
    </row>
    <row r="25" spans="1:19" ht="15">
      <c r="A25" s="16"/>
      <c r="B25" s="16" t="s">
        <v>22</v>
      </c>
      <c r="C25" s="21">
        <f aca="true" t="shared" si="9" ref="C25:H25">C13</f>
        <v>-108.90522286083336</v>
      </c>
      <c r="D25" s="21">
        <f t="shared" si="9"/>
        <v>-7453.625699881931</v>
      </c>
      <c r="E25" s="21">
        <f t="shared" si="9"/>
        <v>-8360.748245313604</v>
      </c>
      <c r="F25" s="21">
        <f t="shared" si="9"/>
        <v>892.877796999382</v>
      </c>
      <c r="G25" s="21">
        <f t="shared" si="9"/>
        <v>2521.5762711031584</v>
      </c>
      <c r="H25" s="21">
        <f t="shared" si="9"/>
        <v>2283.5507382224528</v>
      </c>
      <c r="I25" s="21">
        <f aca="true" t="shared" si="10" ref="I25:N25">I13</f>
        <v>5617.374354248408</v>
      </c>
      <c r="J25" s="21">
        <f t="shared" si="10"/>
        <v>8202.445802328106</v>
      </c>
      <c r="K25" s="21">
        <f t="shared" si="10"/>
        <v>10312.588772256582</v>
      </c>
      <c r="L25" s="21">
        <f t="shared" si="10"/>
        <v>12151.058730776345</v>
      </c>
      <c r="M25" s="21">
        <f t="shared" si="10"/>
        <v>14168.850256322428</v>
      </c>
      <c r="N25" s="21">
        <f t="shared" si="10"/>
        <v>15942.837849233167</v>
      </c>
      <c r="O25" s="21">
        <f>O13</f>
        <v>17492.525824119413</v>
      </c>
      <c r="P25" s="21">
        <f>P13</f>
        <v>18835.858150423115</v>
      </c>
      <c r="Q25" s="21">
        <f>Q13</f>
        <v>19989.343280030876</v>
      </c>
      <c r="R25" s="21">
        <f>R13</f>
        <v>20968.16898867837</v>
      </c>
      <c r="S25" s="21">
        <f>S13</f>
        <v>21786.308030042426</v>
      </c>
    </row>
    <row r="26" spans="1:19" ht="15">
      <c r="A26" s="16"/>
      <c r="B26" s="16" t="s">
        <v>23</v>
      </c>
      <c r="C26" s="21">
        <f aca="true" t="shared" si="11" ref="C26:H26">C20</f>
        <v>0</v>
      </c>
      <c r="D26" s="21">
        <f t="shared" si="11"/>
        <v>0</v>
      </c>
      <c r="E26" s="21">
        <f t="shared" si="11"/>
        <v>0</v>
      </c>
      <c r="F26" s="21">
        <f t="shared" si="11"/>
        <v>0</v>
      </c>
      <c r="G26" s="21">
        <f t="shared" si="11"/>
        <v>0</v>
      </c>
      <c r="H26" s="21">
        <f t="shared" si="11"/>
        <v>0</v>
      </c>
      <c r="I26" s="21">
        <f aca="true" t="shared" si="12" ref="I26:N26">I20</f>
        <v>0</v>
      </c>
      <c r="J26" s="21">
        <f t="shared" si="12"/>
        <v>0</v>
      </c>
      <c r="K26" s="21">
        <f t="shared" si="12"/>
        <v>0</v>
      </c>
      <c r="L26" s="21">
        <f t="shared" si="12"/>
        <v>0</v>
      </c>
      <c r="M26" s="21">
        <f t="shared" si="12"/>
        <v>0</v>
      </c>
      <c r="N26" s="21">
        <f t="shared" si="12"/>
        <v>0</v>
      </c>
      <c r="O26" s="21">
        <f>O20</f>
        <v>0</v>
      </c>
      <c r="P26" s="21">
        <f>P20</f>
        <v>0</v>
      </c>
      <c r="Q26" s="21">
        <f>Q20</f>
        <v>0</v>
      </c>
      <c r="R26" s="21">
        <f>R20</f>
        <v>0</v>
      </c>
      <c r="S26" s="21">
        <f>S20</f>
        <v>0</v>
      </c>
    </row>
    <row r="27" spans="1:19" ht="15">
      <c r="A27" s="16"/>
      <c r="B27" s="16" t="s">
        <v>24</v>
      </c>
      <c r="C27" s="22">
        <f aca="true" t="shared" si="13" ref="C27:H27">SUM(C25:C26)</f>
        <v>-108.90522286083336</v>
      </c>
      <c r="D27" s="22">
        <f t="shared" si="13"/>
        <v>-7453.625699881931</v>
      </c>
      <c r="E27" s="22">
        <f t="shared" si="13"/>
        <v>-8360.748245313604</v>
      </c>
      <c r="F27" s="22">
        <f t="shared" si="13"/>
        <v>892.877796999382</v>
      </c>
      <c r="G27" s="22">
        <f t="shared" si="13"/>
        <v>2521.5762711031584</v>
      </c>
      <c r="H27" s="22">
        <f t="shared" si="13"/>
        <v>2283.5507382224528</v>
      </c>
      <c r="I27" s="22">
        <f aca="true" t="shared" si="14" ref="I27:N27">SUM(I25:I26)</f>
        <v>5617.374354248408</v>
      </c>
      <c r="J27" s="22">
        <f t="shared" si="14"/>
        <v>8202.445802328106</v>
      </c>
      <c r="K27" s="22">
        <f t="shared" si="14"/>
        <v>10312.588772256582</v>
      </c>
      <c r="L27" s="22">
        <f t="shared" si="14"/>
        <v>12151.058730776345</v>
      </c>
      <c r="M27" s="22">
        <f t="shared" si="14"/>
        <v>14168.850256322428</v>
      </c>
      <c r="N27" s="22">
        <f t="shared" si="14"/>
        <v>15942.837849233167</v>
      </c>
      <c r="O27" s="22">
        <f>SUM(O25:O26)</f>
        <v>17492.525824119413</v>
      </c>
      <c r="P27" s="22">
        <f>SUM(P25:P26)</f>
        <v>18835.858150423115</v>
      </c>
      <c r="Q27" s="22">
        <f>SUM(Q25:Q26)</f>
        <v>19989.343280030876</v>
      </c>
      <c r="R27" s="22">
        <f>SUM(R25:R26)</f>
        <v>20968.16898867837</v>
      </c>
      <c r="S27" s="22">
        <f>SUM(S25:S26)</f>
        <v>21786.308030042426</v>
      </c>
    </row>
    <row r="28" spans="1:6" ht="15">
      <c r="A28" s="17"/>
      <c r="B28" s="17"/>
      <c r="C28" s="17"/>
      <c r="D28" s="17"/>
      <c r="E28" s="17"/>
      <c r="F28" s="17"/>
    </row>
    <row r="29" spans="1:6" ht="15">
      <c r="A29" s="17"/>
      <c r="B29" s="17"/>
      <c r="C29" s="20"/>
      <c r="D29" s="20"/>
      <c r="E29" s="20"/>
      <c r="F29" s="20"/>
    </row>
    <row r="30" spans="1:6" ht="15">
      <c r="A30" s="17"/>
      <c r="B30" s="17"/>
      <c r="C30" s="23"/>
      <c r="D30" s="23"/>
      <c r="E30" s="23"/>
      <c r="F30" s="23"/>
    </row>
    <row r="31" spans="1:19" ht="15">
      <c r="A31" s="17"/>
      <c r="B31" s="17"/>
      <c r="C31" s="18">
        <v>2010</v>
      </c>
      <c r="D31" s="18">
        <v>2011</v>
      </c>
      <c r="E31" s="18">
        <v>2012</v>
      </c>
      <c r="F31" s="18">
        <v>2013</v>
      </c>
      <c r="G31" s="18">
        <v>2014</v>
      </c>
      <c r="H31" s="18">
        <v>2015</v>
      </c>
      <c r="I31" s="18">
        <v>2016</v>
      </c>
      <c r="J31" s="18">
        <v>2017</v>
      </c>
      <c r="K31" s="18">
        <v>2018</v>
      </c>
      <c r="L31" s="18">
        <v>2019</v>
      </c>
      <c r="M31" s="18">
        <v>2020</v>
      </c>
      <c r="N31" s="18">
        <v>2021</v>
      </c>
      <c r="O31" s="18">
        <v>2022</v>
      </c>
      <c r="P31" s="18">
        <v>2023</v>
      </c>
      <c r="Q31" s="18">
        <v>2024</v>
      </c>
      <c r="R31" s="18">
        <v>2025</v>
      </c>
      <c r="S31" s="18">
        <v>2026</v>
      </c>
    </row>
    <row r="32" spans="1:19" ht="26.25">
      <c r="A32" s="17"/>
      <c r="B32" s="17"/>
      <c r="C32" s="31" t="s">
        <v>25</v>
      </c>
      <c r="D32" s="31" t="s">
        <v>25</v>
      </c>
      <c r="E32" s="31" t="s">
        <v>25</v>
      </c>
      <c r="F32" s="31" t="s">
        <v>25</v>
      </c>
      <c r="G32" s="31" t="s">
        <v>25</v>
      </c>
      <c r="H32" s="31" t="s">
        <v>25</v>
      </c>
      <c r="I32" s="31" t="s">
        <v>25</v>
      </c>
      <c r="J32" s="31" t="s">
        <v>25</v>
      </c>
      <c r="K32" s="31" t="s">
        <v>25</v>
      </c>
      <c r="L32" s="31" t="s">
        <v>25</v>
      </c>
      <c r="M32" s="31" t="s">
        <v>25</v>
      </c>
      <c r="N32" s="31" t="s">
        <v>25</v>
      </c>
      <c r="O32" s="31" t="s">
        <v>25</v>
      </c>
      <c r="P32" s="31" t="s">
        <v>25</v>
      </c>
      <c r="Q32" s="31" t="s">
        <v>25</v>
      </c>
      <c r="R32" s="31" t="s">
        <v>25</v>
      </c>
      <c r="S32" s="31" t="s">
        <v>25</v>
      </c>
    </row>
    <row r="33" spans="1:19" ht="15">
      <c r="A33" s="17"/>
      <c r="B33" s="16" t="s">
        <v>22</v>
      </c>
      <c r="C33" s="21">
        <f aca="true" t="shared" si="15" ref="C33:H33">C25/(1-C12)</f>
        <v>-151.7842827328688</v>
      </c>
      <c r="D33" s="21">
        <f t="shared" si="15"/>
        <v>-10388.328501577604</v>
      </c>
      <c r="E33" s="21">
        <f t="shared" si="15"/>
        <v>-11375.16768069878</v>
      </c>
      <c r="F33" s="21">
        <f t="shared" si="15"/>
        <v>1214.799723808683</v>
      </c>
      <c r="G33" s="21">
        <f t="shared" si="15"/>
        <v>3430.716015106338</v>
      </c>
      <c r="H33" s="21">
        <f t="shared" si="15"/>
        <v>3106.8717526836094</v>
      </c>
      <c r="I33" s="21">
        <f aca="true" t="shared" si="16" ref="I33:N33">I25/(1-I12)</f>
        <v>7642.686196256338</v>
      </c>
      <c r="J33" s="21">
        <f t="shared" si="16"/>
        <v>11159.790207249123</v>
      </c>
      <c r="K33" s="21">
        <f t="shared" si="16"/>
        <v>14030.733023478344</v>
      </c>
      <c r="L33" s="21">
        <f t="shared" si="16"/>
        <v>16532.052694933802</v>
      </c>
      <c r="M33" s="21">
        <f t="shared" si="16"/>
        <v>19277.34728751351</v>
      </c>
      <c r="N33" s="21">
        <f t="shared" si="16"/>
        <v>21690.935849296828</v>
      </c>
      <c r="O33" s="21">
        <f>O25/(1-O12)</f>
        <v>23799.354862747503</v>
      </c>
      <c r="P33" s="21">
        <f>P25/(1-P12)</f>
        <v>25627.01789173213</v>
      </c>
      <c r="Q33" s="21">
        <f>Q25/(1-Q12)</f>
        <v>27196.385415007997</v>
      </c>
      <c r="R33" s="21">
        <f>R25/(1-R12)</f>
        <v>28528.121073031798</v>
      </c>
      <c r="S33" s="21">
        <f>S25/(1-S12)</f>
        <v>29641.23541502371</v>
      </c>
    </row>
    <row r="34" spans="1:19" ht="15">
      <c r="A34" s="17"/>
      <c r="B34" s="16" t="s">
        <v>23</v>
      </c>
      <c r="C34" s="21">
        <f aca="true" t="shared" si="17" ref="C34:H34">C20</f>
        <v>0</v>
      </c>
      <c r="D34" s="21">
        <f t="shared" si="17"/>
        <v>0</v>
      </c>
      <c r="E34" s="21">
        <f t="shared" si="17"/>
        <v>0</v>
      </c>
      <c r="F34" s="21">
        <f t="shared" si="17"/>
        <v>0</v>
      </c>
      <c r="G34" s="21">
        <f t="shared" si="17"/>
        <v>0</v>
      </c>
      <c r="H34" s="21">
        <f t="shared" si="17"/>
        <v>0</v>
      </c>
      <c r="I34" s="21">
        <f aca="true" t="shared" si="18" ref="I34:N34">I20</f>
        <v>0</v>
      </c>
      <c r="J34" s="21">
        <f t="shared" si="18"/>
        <v>0</v>
      </c>
      <c r="K34" s="21">
        <f t="shared" si="18"/>
        <v>0</v>
      </c>
      <c r="L34" s="21">
        <f t="shared" si="18"/>
        <v>0</v>
      </c>
      <c r="M34" s="21">
        <f t="shared" si="18"/>
        <v>0</v>
      </c>
      <c r="N34" s="21">
        <f t="shared" si="18"/>
        <v>0</v>
      </c>
      <c r="O34" s="21">
        <f>O20</f>
        <v>0</v>
      </c>
      <c r="P34" s="21">
        <f>P20</f>
        <v>0</v>
      </c>
      <c r="Q34" s="21">
        <f>Q20</f>
        <v>0</v>
      </c>
      <c r="R34" s="21">
        <f>R20</f>
        <v>0</v>
      </c>
      <c r="S34" s="21">
        <f>S20</f>
        <v>0</v>
      </c>
    </row>
    <row r="35" spans="1:19" ht="15">
      <c r="A35" s="17"/>
      <c r="B35" s="16" t="s">
        <v>24</v>
      </c>
      <c r="C35" s="32">
        <f aca="true" t="shared" si="19" ref="C35:H35">SUM(C33:C34)</f>
        <v>-151.7842827328688</v>
      </c>
      <c r="D35" s="32">
        <f t="shared" si="19"/>
        <v>-10388.328501577604</v>
      </c>
      <c r="E35" s="32">
        <f t="shared" si="19"/>
        <v>-11375.16768069878</v>
      </c>
      <c r="F35" s="32">
        <f t="shared" si="19"/>
        <v>1214.799723808683</v>
      </c>
      <c r="G35" s="32">
        <f t="shared" si="19"/>
        <v>3430.716015106338</v>
      </c>
      <c r="H35" s="32">
        <f t="shared" si="19"/>
        <v>3106.8717526836094</v>
      </c>
      <c r="I35" s="32">
        <f aca="true" t="shared" si="20" ref="I35:N35">SUM(I33:I34)</f>
        <v>7642.686196256338</v>
      </c>
      <c r="J35" s="32">
        <f t="shared" si="20"/>
        <v>11159.790207249123</v>
      </c>
      <c r="K35" s="32">
        <f t="shared" si="20"/>
        <v>14030.733023478344</v>
      </c>
      <c r="L35" s="32">
        <f t="shared" si="20"/>
        <v>16532.052694933802</v>
      </c>
      <c r="M35" s="32">
        <f t="shared" si="20"/>
        <v>19277.34728751351</v>
      </c>
      <c r="N35" s="32">
        <f t="shared" si="20"/>
        <v>21690.935849296828</v>
      </c>
      <c r="O35" s="32">
        <f>SUM(O33:O34)</f>
        <v>23799.354862747503</v>
      </c>
      <c r="P35" s="32">
        <f>SUM(P33:P34)</f>
        <v>25627.01789173213</v>
      </c>
      <c r="Q35" s="32">
        <f>SUM(Q33:Q34)</f>
        <v>27196.385415007997</v>
      </c>
      <c r="R35" s="32">
        <f>SUM(R33:R34)</f>
        <v>28528.121073031798</v>
      </c>
      <c r="S35" s="32">
        <f>SUM(S33:S34)</f>
        <v>29641.23541502371</v>
      </c>
    </row>
  </sheetData>
  <sheetProtection formatColumns="0" select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0"/>
  <sheetViews>
    <sheetView view="pageBreakPreview" zoomScale="60" zoomScaleNormal="75" zoomScalePageLayoutView="0" workbookViewId="0" topLeftCell="A105">
      <selection activeCell="L163" sqref="L163"/>
    </sheetView>
  </sheetViews>
  <sheetFormatPr defaultColWidth="8.88671875" defaultRowHeight="15" outlineLevelRow="1"/>
  <cols>
    <col min="1" max="1" width="6.88671875" style="69" customWidth="1"/>
    <col min="2" max="2" width="34.3359375" style="15" customWidth="1"/>
    <col min="3" max="3" width="6.5546875" style="15" customWidth="1"/>
    <col min="4" max="4" width="12.3359375" style="34" bestFit="1" customWidth="1"/>
    <col min="5" max="6" width="13.6640625" style="34" bestFit="1" customWidth="1"/>
    <col min="7" max="7" width="13.21484375" style="34" customWidth="1"/>
    <col min="8" max="8" width="13.6640625" style="34" bestFit="1" customWidth="1"/>
    <col min="9" max="11" width="13.6640625" style="15" bestFit="1" customWidth="1"/>
    <col min="12" max="12" width="13.21484375" style="15" customWidth="1"/>
    <col min="13" max="14" width="13.6640625" style="15" bestFit="1" customWidth="1"/>
    <col min="15" max="20" width="10.4453125" style="15" customWidth="1"/>
    <col min="21" max="16384" width="8.88671875" style="15" customWidth="1"/>
  </cols>
  <sheetData>
    <row r="1" ht="18">
      <c r="B1" s="61" t="s">
        <v>50</v>
      </c>
    </row>
    <row r="2" ht="18">
      <c r="B2" s="61" t="s">
        <v>57</v>
      </c>
    </row>
    <row r="3" spans="1:8" ht="18">
      <c r="A3" s="70"/>
      <c r="B3" s="61" t="s">
        <v>58</v>
      </c>
      <c r="C3" s="37"/>
      <c r="D3" s="38"/>
      <c r="E3" s="38"/>
      <c r="F3" s="38"/>
      <c r="G3" s="38"/>
      <c r="H3" s="38"/>
    </row>
    <row r="4" spans="1:8" ht="18">
      <c r="A4" s="70"/>
      <c r="B4" s="59" t="s">
        <v>32</v>
      </c>
      <c r="C4" s="39"/>
      <c r="D4" s="38"/>
      <c r="E4" s="38"/>
      <c r="F4" s="38"/>
      <c r="G4" s="38"/>
      <c r="H4" s="38"/>
    </row>
    <row r="5" spans="1:8" ht="11.25" customHeight="1">
      <c r="A5" s="70"/>
      <c r="B5" s="33"/>
      <c r="C5" s="39"/>
      <c r="D5" s="38"/>
      <c r="E5" s="38"/>
      <c r="F5" s="38"/>
      <c r="G5" s="38"/>
      <c r="H5" s="38"/>
    </row>
    <row r="6" spans="1:20" ht="15">
      <c r="A6" s="70"/>
      <c r="B6" s="37"/>
      <c r="C6" s="37"/>
      <c r="D6" s="40">
        <v>2010</v>
      </c>
      <c r="E6" s="40">
        <v>2011</v>
      </c>
      <c r="F6" s="40">
        <v>2012</v>
      </c>
      <c r="G6" s="40">
        <v>2013</v>
      </c>
      <c r="H6" s="40">
        <v>2014</v>
      </c>
      <c r="I6" s="40">
        <v>2015</v>
      </c>
      <c r="J6" s="40">
        <v>2016</v>
      </c>
      <c r="K6" s="40">
        <v>2017</v>
      </c>
      <c r="L6" s="40">
        <v>2018</v>
      </c>
      <c r="M6" s="40">
        <v>2019</v>
      </c>
      <c r="N6" s="40">
        <v>2020</v>
      </c>
      <c r="O6" s="40">
        <v>2021</v>
      </c>
      <c r="P6" s="40">
        <v>2022</v>
      </c>
      <c r="Q6" s="40">
        <v>2023</v>
      </c>
      <c r="R6" s="40">
        <v>2024</v>
      </c>
      <c r="S6" s="40">
        <v>2025</v>
      </c>
      <c r="T6" s="40">
        <v>2026</v>
      </c>
    </row>
    <row r="7" spans="1:8" ht="15">
      <c r="A7" s="70">
        <v>1818</v>
      </c>
      <c r="B7" s="39" t="s">
        <v>66</v>
      </c>
      <c r="C7" s="39"/>
      <c r="D7" s="42"/>
      <c r="E7" s="42"/>
      <c r="F7" s="42"/>
      <c r="G7" s="42"/>
      <c r="H7" s="42"/>
    </row>
    <row r="8" spans="1:10" ht="15">
      <c r="A8" s="70"/>
      <c r="B8" s="37"/>
      <c r="C8" s="37" t="s">
        <v>59</v>
      </c>
      <c r="D8" s="38"/>
      <c r="E8" s="38"/>
      <c r="F8" s="38"/>
      <c r="G8" s="38"/>
      <c r="H8" s="38"/>
      <c r="J8" s="35"/>
    </row>
    <row r="9" spans="1:20" ht="15">
      <c r="A9" s="70"/>
      <c r="B9" s="43" t="s">
        <v>26</v>
      </c>
      <c r="C9" s="43"/>
      <c r="D9" s="44">
        <v>0</v>
      </c>
      <c r="E9" s="44">
        <f aca="true" t="shared" si="0" ref="E9:O9">D11</f>
        <v>30624</v>
      </c>
      <c r="F9" s="44">
        <f t="shared" si="0"/>
        <v>165213</v>
      </c>
      <c r="G9" s="44">
        <f t="shared" si="0"/>
        <v>466517.64385888673</v>
      </c>
      <c r="H9" s="44">
        <f t="shared" si="0"/>
        <v>885216.6127998037</v>
      </c>
      <c r="I9" s="44">
        <f t="shared" si="0"/>
        <v>1316371.3099092154</v>
      </c>
      <c r="J9" s="44">
        <f t="shared" si="0"/>
        <v>1316371.3099092154</v>
      </c>
      <c r="K9" s="44">
        <f t="shared" si="0"/>
        <v>1316371.3099092154</v>
      </c>
      <c r="L9" s="44">
        <f t="shared" si="0"/>
        <v>1316371.3099092154</v>
      </c>
      <c r="M9" s="44">
        <f t="shared" si="0"/>
        <v>1316371.3099092154</v>
      </c>
      <c r="N9" s="44">
        <f>M11</f>
        <v>1316371.3099092154</v>
      </c>
      <c r="O9" s="44">
        <f t="shared" si="0"/>
        <v>1316371.3099092154</v>
      </c>
      <c r="P9" s="44">
        <f>O11</f>
        <v>1316371.3099092154</v>
      </c>
      <c r="Q9" s="44">
        <f>P11</f>
        <v>1316371.3099092154</v>
      </c>
      <c r="R9" s="44">
        <f>Q11</f>
        <v>1316371.3099092154</v>
      </c>
      <c r="S9" s="44">
        <f>R11</f>
        <v>1316371.3099092154</v>
      </c>
      <c r="T9" s="44">
        <f>S11</f>
        <v>1316371.3099092154</v>
      </c>
    </row>
    <row r="10" spans="1:20" ht="15">
      <c r="A10" s="70"/>
      <c r="B10" s="43" t="s">
        <v>44</v>
      </c>
      <c r="C10" s="43"/>
      <c r="D10" s="46">
        <v>30624</v>
      </c>
      <c r="E10" s="46">
        <v>134589</v>
      </c>
      <c r="F10" s="46">
        <v>301304.64385888673</v>
      </c>
      <c r="G10" s="46">
        <v>418698.96894091694</v>
      </c>
      <c r="H10" s="46">
        <v>431154.69710941176</v>
      </c>
      <c r="I10" s="46">
        <v>0</v>
      </c>
      <c r="J10" s="46">
        <v>0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5">
      <c r="A11" s="70"/>
      <c r="B11" s="43" t="s">
        <v>27</v>
      </c>
      <c r="C11" s="43"/>
      <c r="D11" s="44">
        <f aca="true" t="shared" si="1" ref="D11:I11">SUM(D9:D10)</f>
        <v>30624</v>
      </c>
      <c r="E11" s="44">
        <f t="shared" si="1"/>
        <v>165213</v>
      </c>
      <c r="F11" s="44">
        <f t="shared" si="1"/>
        <v>466517.64385888673</v>
      </c>
      <c r="G11" s="44">
        <f t="shared" si="1"/>
        <v>885216.6127998037</v>
      </c>
      <c r="H11" s="44">
        <f t="shared" si="1"/>
        <v>1316371.3099092154</v>
      </c>
      <c r="I11" s="44">
        <f t="shared" si="1"/>
        <v>1316371.3099092154</v>
      </c>
      <c r="J11" s="44">
        <f>SUM(J9:J10)</f>
        <v>1316371.3099092154</v>
      </c>
      <c r="K11" s="44">
        <f>SUM(K9:K10)</f>
        <v>1316371.3099092154</v>
      </c>
      <c r="L11" s="44">
        <f>SUM(L9:L10)</f>
        <v>1316371.3099092154</v>
      </c>
      <c r="M11" s="44">
        <f>SUM(M9:M10)</f>
        <v>1316371.3099092154</v>
      </c>
      <c r="N11" s="44">
        <f>SUM(N9:N10)</f>
        <v>1316371.3099092154</v>
      </c>
      <c r="O11" s="44">
        <f>SUM(O9:O10)</f>
        <v>1316371.3099092154</v>
      </c>
      <c r="P11" s="44">
        <f>SUM(P9:P10)</f>
        <v>1316371.3099092154</v>
      </c>
      <c r="Q11" s="44">
        <f>SUM(Q9:Q10)</f>
        <v>1316371.3099092154</v>
      </c>
      <c r="R11" s="44">
        <f>SUM(R9:R10)</f>
        <v>1316371.3099092154</v>
      </c>
      <c r="S11" s="44">
        <f>SUM(S9:S10)</f>
        <v>1316371.3099092154</v>
      </c>
      <c r="T11" s="44">
        <f>SUM(T9:T10)</f>
        <v>1316371.3099092154</v>
      </c>
    </row>
    <row r="12" spans="1:20" ht="15">
      <c r="A12" s="70"/>
      <c r="B12" s="43"/>
      <c r="C12" s="43"/>
      <c r="D12" s="48"/>
      <c r="E12" s="48"/>
      <c r="F12" s="48"/>
      <c r="G12" s="48"/>
      <c r="H12" s="4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15">
      <c r="A13" s="70"/>
      <c r="B13" s="43" t="s">
        <v>28</v>
      </c>
      <c r="C13" s="43"/>
      <c r="D13" s="44">
        <v>0</v>
      </c>
      <c r="E13" s="44">
        <f aca="true" t="shared" si="2" ref="E13:N13">D16</f>
        <v>382.8</v>
      </c>
      <c r="F13" s="44">
        <f t="shared" si="2"/>
        <v>2830.7625</v>
      </c>
      <c r="G13" s="44">
        <f t="shared" si="2"/>
        <v>10727.395548236083</v>
      </c>
      <c r="H13" s="44">
        <f t="shared" si="2"/>
        <v>27624.073756469712</v>
      </c>
      <c r="I13" s="44">
        <f t="shared" si="2"/>
        <v>55143.92279033245</v>
      </c>
      <c r="J13" s="44">
        <f t="shared" si="2"/>
        <v>88053.20553806284</v>
      </c>
      <c r="K13" s="44">
        <f t="shared" si="2"/>
        <v>120962.48828579322</v>
      </c>
      <c r="L13" s="44">
        <f t="shared" si="2"/>
        <v>153871.7710335236</v>
      </c>
      <c r="M13" s="44">
        <f t="shared" si="2"/>
        <v>186781.05378125398</v>
      </c>
      <c r="N13" s="44">
        <f t="shared" si="2"/>
        <v>219690.33652898436</v>
      </c>
      <c r="O13" s="44">
        <f>N16</f>
        <v>252599.61927671474</v>
      </c>
      <c r="P13" s="44">
        <f>O16</f>
        <v>285508.9020244451</v>
      </c>
      <c r="Q13" s="44">
        <f>P16</f>
        <v>318418.1847721755</v>
      </c>
      <c r="R13" s="44">
        <f>Q16</f>
        <v>351327.4675199059</v>
      </c>
      <c r="S13" s="44">
        <f>R16</f>
        <v>384236.75026763626</v>
      </c>
      <c r="T13" s="44">
        <f>S16</f>
        <v>417146.03301536664</v>
      </c>
    </row>
    <row r="14" spans="1:20" ht="15">
      <c r="A14" s="70"/>
      <c r="B14" s="43" t="s">
        <v>45</v>
      </c>
      <c r="C14" s="50">
        <v>40</v>
      </c>
      <c r="D14" s="49">
        <f aca="true" t="shared" si="3" ref="D14:I14">D10/$C14/2</f>
        <v>382.8</v>
      </c>
      <c r="E14" s="49">
        <f>E10/$C14/2</f>
        <v>1682.3625</v>
      </c>
      <c r="F14" s="49">
        <f t="shared" si="3"/>
        <v>3766.3080482360842</v>
      </c>
      <c r="G14" s="49">
        <f t="shared" si="3"/>
        <v>5233.737111761462</v>
      </c>
      <c r="H14" s="49">
        <f t="shared" si="3"/>
        <v>5389.433713867647</v>
      </c>
      <c r="I14" s="49">
        <f t="shared" si="3"/>
        <v>0</v>
      </c>
      <c r="J14" s="49">
        <f aca="true" t="shared" si="4" ref="J14:O14">J10/$C14/2</f>
        <v>0</v>
      </c>
      <c r="K14" s="49">
        <f t="shared" si="4"/>
        <v>0</v>
      </c>
      <c r="L14" s="49">
        <f t="shared" si="4"/>
        <v>0</v>
      </c>
      <c r="M14" s="49">
        <f t="shared" si="4"/>
        <v>0</v>
      </c>
      <c r="N14" s="49">
        <f t="shared" si="4"/>
        <v>0</v>
      </c>
      <c r="O14" s="49">
        <f t="shared" si="4"/>
        <v>0</v>
      </c>
      <c r="P14" s="49">
        <f>P10/$C14/2</f>
        <v>0</v>
      </c>
      <c r="Q14" s="49">
        <f>Q10/$C14/2</f>
        <v>0</v>
      </c>
      <c r="R14" s="49">
        <f>R10/$C14/2</f>
        <v>0</v>
      </c>
      <c r="S14" s="49">
        <f>S10/$C14/2</f>
        <v>0</v>
      </c>
      <c r="T14" s="49">
        <f>T10/$C14/2</f>
        <v>0</v>
      </c>
    </row>
    <row r="15" spans="1:20" ht="15">
      <c r="A15" s="70"/>
      <c r="B15" s="43" t="s">
        <v>46</v>
      </c>
      <c r="C15" s="50">
        <v>40</v>
      </c>
      <c r="D15" s="49">
        <f aca="true" t="shared" si="5" ref="D15:I15">D9/$C15</f>
        <v>0</v>
      </c>
      <c r="E15" s="49">
        <f t="shared" si="5"/>
        <v>765.6</v>
      </c>
      <c r="F15" s="49">
        <f t="shared" si="5"/>
        <v>4130.325</v>
      </c>
      <c r="G15" s="49">
        <f>G9/$C15</f>
        <v>11662.941096472168</v>
      </c>
      <c r="H15" s="49">
        <f t="shared" si="5"/>
        <v>22130.415319995092</v>
      </c>
      <c r="I15" s="49">
        <f t="shared" si="5"/>
        <v>32909.28274773039</v>
      </c>
      <c r="J15" s="49">
        <f>J9/$C15</f>
        <v>32909.28274773039</v>
      </c>
      <c r="K15" s="49">
        <f>K9/$C15</f>
        <v>32909.28274773039</v>
      </c>
      <c r="L15" s="49">
        <f>L9/$C15</f>
        <v>32909.28274773039</v>
      </c>
      <c r="M15" s="49">
        <f>M9/$C15</f>
        <v>32909.28274773039</v>
      </c>
      <c r="N15" s="49">
        <f>N9/$C15</f>
        <v>32909.28274773039</v>
      </c>
      <c r="O15" s="49">
        <f>O9/$C15</f>
        <v>32909.28274773039</v>
      </c>
      <c r="P15" s="49">
        <f>P9/$C15</f>
        <v>32909.28274773039</v>
      </c>
      <c r="Q15" s="49">
        <f>Q9/$C15</f>
        <v>32909.28274773039</v>
      </c>
      <c r="R15" s="49">
        <f>R9/$C15</f>
        <v>32909.28274773039</v>
      </c>
      <c r="S15" s="49">
        <f>S9/$C15</f>
        <v>32909.28274773039</v>
      </c>
      <c r="T15" s="49">
        <f>T9/$C15</f>
        <v>32909.28274773039</v>
      </c>
    </row>
    <row r="16" spans="1:20" ht="15">
      <c r="A16" s="70"/>
      <c r="B16" s="43" t="s">
        <v>29</v>
      </c>
      <c r="C16" s="43"/>
      <c r="D16" s="44">
        <f aca="true" t="shared" si="6" ref="D16:I16">SUM(D13:D15)</f>
        <v>382.8</v>
      </c>
      <c r="E16" s="44">
        <f t="shared" si="6"/>
        <v>2830.7625</v>
      </c>
      <c r="F16" s="44">
        <f t="shared" si="6"/>
        <v>10727.395548236083</v>
      </c>
      <c r="G16" s="44">
        <f t="shared" si="6"/>
        <v>27624.073756469712</v>
      </c>
      <c r="H16" s="44">
        <f t="shared" si="6"/>
        <v>55143.92279033245</v>
      </c>
      <c r="I16" s="44">
        <f t="shared" si="6"/>
        <v>88053.20553806284</v>
      </c>
      <c r="J16" s="44">
        <f>SUM(J13:J15)</f>
        <v>120962.48828579322</v>
      </c>
      <c r="K16" s="44">
        <f>SUM(K13:K15)</f>
        <v>153871.7710335236</v>
      </c>
      <c r="L16" s="44">
        <f>SUM(L13:L15)</f>
        <v>186781.05378125398</v>
      </c>
      <c r="M16" s="44">
        <f>SUM(M13:M15)</f>
        <v>219690.33652898436</v>
      </c>
      <c r="N16" s="44">
        <f>SUM(N13:N15)</f>
        <v>252599.61927671474</v>
      </c>
      <c r="O16" s="44">
        <f>SUM(O13:O15)</f>
        <v>285508.9020244451</v>
      </c>
      <c r="P16" s="44">
        <f>SUM(P13:P15)</f>
        <v>318418.1847721755</v>
      </c>
      <c r="Q16" s="44">
        <f>SUM(Q13:Q15)</f>
        <v>351327.4675199059</v>
      </c>
      <c r="R16" s="44">
        <f>SUM(R13:R15)</f>
        <v>384236.75026763626</v>
      </c>
      <c r="S16" s="44">
        <f>SUM(S13:S15)</f>
        <v>417146.03301536664</v>
      </c>
      <c r="T16" s="44">
        <f>SUM(T13:T15)</f>
        <v>450055.315763097</v>
      </c>
    </row>
    <row r="17" spans="1:20" ht="15">
      <c r="A17" s="70"/>
      <c r="B17" s="43"/>
      <c r="C17" s="43"/>
      <c r="D17" s="51"/>
      <c r="E17" s="51"/>
      <c r="F17" s="51"/>
      <c r="G17" s="51"/>
      <c r="H17" s="4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5">
      <c r="A18" s="70"/>
      <c r="B18" s="43" t="s">
        <v>30</v>
      </c>
      <c r="C18" s="43"/>
      <c r="D18" s="49">
        <f aca="true" t="shared" si="7" ref="D18:I18">D9-D13</f>
        <v>0</v>
      </c>
      <c r="E18" s="49">
        <f t="shared" si="7"/>
        <v>30241.2</v>
      </c>
      <c r="F18" s="49">
        <f t="shared" si="7"/>
        <v>162382.2375</v>
      </c>
      <c r="G18" s="49">
        <f>G9-G13</f>
        <v>455790.24831065064</v>
      </c>
      <c r="H18" s="49">
        <f t="shared" si="7"/>
        <v>857592.539043334</v>
      </c>
      <c r="I18" s="49">
        <f t="shared" si="7"/>
        <v>1261227.387118883</v>
      </c>
      <c r="J18" s="49">
        <f>J9-J13</f>
        <v>1228318.1043711526</v>
      </c>
      <c r="K18" s="49">
        <f>K9-K13</f>
        <v>1195408.8216234222</v>
      </c>
      <c r="L18" s="49">
        <f>L9-L13</f>
        <v>1162499.5388756918</v>
      </c>
      <c r="M18" s="49">
        <f>M9-M13</f>
        <v>1129590.2561279614</v>
      </c>
      <c r="N18" s="49">
        <f>N9-N13</f>
        <v>1096680.973380231</v>
      </c>
      <c r="O18" s="49">
        <f>O9-O13</f>
        <v>1063771.6906325007</v>
      </c>
      <c r="P18" s="49">
        <f>P9-P13</f>
        <v>1030862.4078847703</v>
      </c>
      <c r="Q18" s="49">
        <f>Q9-Q13</f>
        <v>997953.1251370399</v>
      </c>
      <c r="R18" s="49">
        <f>R9-R13</f>
        <v>965043.8423893095</v>
      </c>
      <c r="S18" s="49">
        <f>S9-S13</f>
        <v>932134.5596415792</v>
      </c>
      <c r="T18" s="49">
        <f>T9-T13</f>
        <v>899225.2768938488</v>
      </c>
    </row>
    <row r="19" spans="1:20" ht="15">
      <c r="A19" s="70"/>
      <c r="B19" s="43" t="s">
        <v>31</v>
      </c>
      <c r="C19" s="43"/>
      <c r="D19" s="44">
        <f aca="true" t="shared" si="8" ref="D19:I19">D11-D16</f>
        <v>30241.2</v>
      </c>
      <c r="E19" s="44">
        <f t="shared" si="8"/>
        <v>162382.2375</v>
      </c>
      <c r="F19" s="44">
        <f t="shared" si="8"/>
        <v>455790.24831065064</v>
      </c>
      <c r="G19" s="44">
        <f>G11-G16</f>
        <v>857592.539043334</v>
      </c>
      <c r="H19" s="44">
        <f t="shared" si="8"/>
        <v>1261227.387118883</v>
      </c>
      <c r="I19" s="44">
        <f t="shared" si="8"/>
        <v>1228318.1043711526</v>
      </c>
      <c r="J19" s="44">
        <f aca="true" t="shared" si="9" ref="J19:O19">J11-J16</f>
        <v>1195408.8216234222</v>
      </c>
      <c r="K19" s="44">
        <f t="shared" si="9"/>
        <v>1162499.5388756918</v>
      </c>
      <c r="L19" s="44">
        <f t="shared" si="9"/>
        <v>1129590.2561279614</v>
      </c>
      <c r="M19" s="44">
        <f t="shared" si="9"/>
        <v>1096680.973380231</v>
      </c>
      <c r="N19" s="44">
        <f t="shared" si="9"/>
        <v>1063771.6906325007</v>
      </c>
      <c r="O19" s="44">
        <f t="shared" si="9"/>
        <v>1030862.4078847703</v>
      </c>
      <c r="P19" s="44">
        <f>P11-P16</f>
        <v>997953.1251370399</v>
      </c>
      <c r="Q19" s="44">
        <f>Q11-Q16</f>
        <v>965043.8423893095</v>
      </c>
      <c r="R19" s="44">
        <f>R11-R16</f>
        <v>932134.5596415792</v>
      </c>
      <c r="S19" s="44">
        <f>S11-S16</f>
        <v>899225.2768938488</v>
      </c>
      <c r="T19" s="44">
        <f>T11-T16</f>
        <v>866315.9941461184</v>
      </c>
    </row>
    <row r="20" spans="1:20" ht="15.75" thickBot="1">
      <c r="A20" s="70"/>
      <c r="B20" s="43" t="s">
        <v>32</v>
      </c>
      <c r="C20" s="43"/>
      <c r="D20" s="52">
        <f aca="true" t="shared" si="10" ref="D20:I20">SUM(D18:D19)/2</f>
        <v>15120.6</v>
      </c>
      <c r="E20" s="52">
        <f t="shared" si="10"/>
        <v>96311.71875</v>
      </c>
      <c r="F20" s="52">
        <f t="shared" si="10"/>
        <v>309086.2429053253</v>
      </c>
      <c r="G20" s="52">
        <f t="shared" si="10"/>
        <v>656691.3936769923</v>
      </c>
      <c r="H20" s="52">
        <f t="shared" si="10"/>
        <v>1059409.9630811084</v>
      </c>
      <c r="I20" s="52">
        <f t="shared" si="10"/>
        <v>1244772.7457450177</v>
      </c>
      <c r="J20" s="52">
        <f>SUM(J18:J19)/2</f>
        <v>1211863.4629972875</v>
      </c>
      <c r="K20" s="52">
        <f>SUM(K18:K19)/2</f>
        <v>1178954.180249557</v>
      </c>
      <c r="L20" s="52">
        <f>SUM(L18:L19)/2</f>
        <v>1146044.8975018268</v>
      </c>
      <c r="M20" s="52">
        <f>SUM(M18:M19)/2</f>
        <v>1113135.6147540961</v>
      </c>
      <c r="N20" s="52">
        <f>SUM(N18:N19)/2</f>
        <v>1080226.332006366</v>
      </c>
      <c r="O20" s="52">
        <f>SUM(O18:O19)/2</f>
        <v>1047317.0492586355</v>
      </c>
      <c r="P20" s="52">
        <f>SUM(P18:P19)/2</f>
        <v>1014407.7665109051</v>
      </c>
      <c r="Q20" s="52">
        <f>SUM(Q18:Q19)/2</f>
        <v>981498.4837631747</v>
      </c>
      <c r="R20" s="52">
        <f>SUM(R18:R19)/2</f>
        <v>948589.2010154444</v>
      </c>
      <c r="S20" s="52">
        <f>SUM(S18:S19)/2</f>
        <v>915679.918267714</v>
      </c>
      <c r="T20" s="52">
        <f>SUM(T18:T19)/2</f>
        <v>882770.6355199836</v>
      </c>
    </row>
    <row r="21" spans="1:8" ht="15">
      <c r="A21" s="70"/>
      <c r="B21" s="37"/>
      <c r="C21" s="37"/>
      <c r="D21" s="45"/>
      <c r="E21" s="45"/>
      <c r="F21" s="45"/>
      <c r="G21" s="45"/>
      <c r="H21" s="45"/>
    </row>
    <row r="22" spans="1:8" ht="15">
      <c r="A22" s="70"/>
      <c r="B22" s="37"/>
      <c r="C22" s="37"/>
      <c r="D22" s="42"/>
      <c r="E22" s="42"/>
      <c r="F22" s="42"/>
      <c r="G22" s="42"/>
      <c r="H22" s="42"/>
    </row>
    <row r="23" spans="1:20" ht="15">
      <c r="A23" s="70"/>
      <c r="B23" s="37"/>
      <c r="C23" s="37"/>
      <c r="D23" s="40">
        <v>2010</v>
      </c>
      <c r="E23" s="40">
        <v>2011</v>
      </c>
      <c r="F23" s="40">
        <v>2012</v>
      </c>
      <c r="G23" s="40">
        <v>2013</v>
      </c>
      <c r="H23" s="40">
        <v>2014</v>
      </c>
      <c r="I23" s="40">
        <v>2015</v>
      </c>
      <c r="J23" s="40">
        <v>2016</v>
      </c>
      <c r="K23" s="40">
        <v>2017</v>
      </c>
      <c r="L23" s="40">
        <v>2018</v>
      </c>
      <c r="M23" s="40">
        <v>2019</v>
      </c>
      <c r="N23" s="40">
        <v>2020</v>
      </c>
      <c r="O23" s="40">
        <v>2021</v>
      </c>
      <c r="P23" s="40">
        <v>2022</v>
      </c>
      <c r="Q23" s="40">
        <v>2023</v>
      </c>
      <c r="R23" s="40">
        <v>2024</v>
      </c>
      <c r="S23" s="40">
        <v>2025</v>
      </c>
      <c r="T23" s="40">
        <v>2026</v>
      </c>
    </row>
    <row r="24" spans="1:8" ht="15">
      <c r="A24" s="70">
        <v>1925</v>
      </c>
      <c r="B24" s="39" t="s">
        <v>49</v>
      </c>
      <c r="C24" s="39"/>
      <c r="D24" s="42"/>
      <c r="E24" s="42"/>
      <c r="F24" s="42"/>
      <c r="G24" s="42"/>
      <c r="H24" s="42"/>
    </row>
    <row r="25" spans="1:8" ht="15">
      <c r="A25" s="70"/>
      <c r="B25" s="37"/>
      <c r="C25" s="37"/>
      <c r="D25" s="38"/>
      <c r="E25" s="38"/>
      <c r="F25" s="38"/>
      <c r="G25" s="38"/>
      <c r="H25" s="38"/>
    </row>
    <row r="26" spans="1:20" ht="15">
      <c r="A26" s="70"/>
      <c r="B26" s="37" t="s">
        <v>26</v>
      </c>
      <c r="C26" s="37"/>
      <c r="D26" s="53">
        <v>0</v>
      </c>
      <c r="E26" s="53">
        <f aca="true" t="shared" si="11" ref="E26:O26">D28</f>
        <v>795</v>
      </c>
      <c r="F26" s="53">
        <f t="shared" si="11"/>
        <v>71358</v>
      </c>
      <c r="G26" s="53">
        <f t="shared" si="11"/>
        <v>102441.26886521225</v>
      </c>
      <c r="H26" s="53">
        <f t="shared" si="11"/>
        <v>102441.26886521225</v>
      </c>
      <c r="I26" s="53">
        <f t="shared" si="11"/>
        <v>115612.13526521224</v>
      </c>
      <c r="J26" s="53">
        <f t="shared" si="11"/>
        <v>115612.13526521224</v>
      </c>
      <c r="K26" s="53">
        <f t="shared" si="11"/>
        <v>115612.13526521224</v>
      </c>
      <c r="L26" s="53">
        <f t="shared" si="11"/>
        <v>115612.13526521224</v>
      </c>
      <c r="M26" s="53">
        <f t="shared" si="11"/>
        <v>115612.13526521224</v>
      </c>
      <c r="N26" s="53">
        <f t="shared" si="11"/>
        <v>115612.13526521224</v>
      </c>
      <c r="O26" s="53">
        <f t="shared" si="11"/>
        <v>115612.13526521224</v>
      </c>
      <c r="P26" s="53">
        <f>O28</f>
        <v>115612.13526521224</v>
      </c>
      <c r="Q26" s="53">
        <f>P28</f>
        <v>115612.13526521224</v>
      </c>
      <c r="R26" s="53">
        <f>Q28</f>
        <v>115612.13526521224</v>
      </c>
      <c r="S26" s="53">
        <f>R28</f>
        <v>115612.13526521224</v>
      </c>
      <c r="T26" s="53">
        <f>S28</f>
        <v>115612.13526521224</v>
      </c>
    </row>
    <row r="27" spans="1:20" ht="15">
      <c r="A27" s="70"/>
      <c r="B27" s="37" t="s">
        <v>44</v>
      </c>
      <c r="C27" s="37"/>
      <c r="D27" s="46">
        <v>795</v>
      </c>
      <c r="E27" s="46">
        <v>70563</v>
      </c>
      <c r="F27" s="46">
        <v>31083.268865212238</v>
      </c>
      <c r="G27" s="46">
        <v>0</v>
      </c>
      <c r="H27" s="46">
        <v>13170.8664</v>
      </c>
      <c r="I27" s="46">
        <v>0</v>
      </c>
      <c r="J27" s="46">
        <v>0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5">
      <c r="A28" s="70"/>
      <c r="B28" s="37" t="s">
        <v>27</v>
      </c>
      <c r="C28" s="37"/>
      <c r="D28" s="53">
        <f aca="true" t="shared" si="12" ref="D28:I28">SUM(D26:D27)</f>
        <v>795</v>
      </c>
      <c r="E28" s="53">
        <f t="shared" si="12"/>
        <v>71358</v>
      </c>
      <c r="F28" s="53">
        <f t="shared" si="12"/>
        <v>102441.26886521225</v>
      </c>
      <c r="G28" s="53">
        <f t="shared" si="12"/>
        <v>102441.26886521225</v>
      </c>
      <c r="H28" s="53">
        <f t="shared" si="12"/>
        <v>115612.13526521224</v>
      </c>
      <c r="I28" s="53">
        <f t="shared" si="12"/>
        <v>115612.13526521224</v>
      </c>
      <c r="J28" s="53">
        <f aca="true" t="shared" si="13" ref="J28:O28">SUM(J26:J27)</f>
        <v>115612.13526521224</v>
      </c>
      <c r="K28" s="53">
        <f t="shared" si="13"/>
        <v>115612.13526521224</v>
      </c>
      <c r="L28" s="53">
        <f t="shared" si="13"/>
        <v>115612.13526521224</v>
      </c>
      <c r="M28" s="53">
        <f t="shared" si="13"/>
        <v>115612.13526521224</v>
      </c>
      <c r="N28" s="53">
        <f t="shared" si="13"/>
        <v>115612.13526521224</v>
      </c>
      <c r="O28" s="53">
        <f t="shared" si="13"/>
        <v>115612.13526521224</v>
      </c>
      <c r="P28" s="53">
        <f>SUM(P26:P27)</f>
        <v>115612.13526521224</v>
      </c>
      <c r="Q28" s="53">
        <f>SUM(Q26:Q27)</f>
        <v>115612.13526521224</v>
      </c>
      <c r="R28" s="53">
        <f>SUM(R26:R27)</f>
        <v>115612.13526521224</v>
      </c>
      <c r="S28" s="53">
        <f>SUM(S26:S27)</f>
        <v>115612.13526521224</v>
      </c>
      <c r="T28" s="53">
        <f>SUM(T26:T27)</f>
        <v>115612.13526521224</v>
      </c>
    </row>
    <row r="29" spans="1:8" ht="15">
      <c r="A29" s="70"/>
      <c r="B29" s="37"/>
      <c r="C29" s="37"/>
      <c r="D29" s="45"/>
      <c r="E29" s="45"/>
      <c r="F29" s="45"/>
      <c r="G29" s="45"/>
      <c r="H29" s="38"/>
    </row>
    <row r="30" spans="1:20" ht="15">
      <c r="A30" s="70"/>
      <c r="B30" s="37" t="s">
        <v>28</v>
      </c>
      <c r="C30" s="37"/>
      <c r="D30" s="53">
        <v>0</v>
      </c>
      <c r="E30" s="53">
        <f aca="true" t="shared" si="14" ref="E30:O30">D33</f>
        <v>99.375</v>
      </c>
      <c r="F30" s="53">
        <f t="shared" si="14"/>
        <v>9118.5</v>
      </c>
      <c r="G30" s="53">
        <f t="shared" si="14"/>
        <v>30843.40860815153</v>
      </c>
      <c r="H30" s="53">
        <f t="shared" si="14"/>
        <v>56453.725824454596</v>
      </c>
      <c r="I30" s="53">
        <f t="shared" si="14"/>
        <v>83710.40134075766</v>
      </c>
      <c r="J30" s="53">
        <f t="shared" si="14"/>
        <v>103495.11794075766</v>
      </c>
      <c r="K30" s="53">
        <f t="shared" si="14"/>
        <v>110673.33454075766</v>
      </c>
      <c r="L30" s="53">
        <f t="shared" si="14"/>
        <v>113966.05114075766</v>
      </c>
      <c r="M30" s="53">
        <f t="shared" si="14"/>
        <v>115612.13526521224</v>
      </c>
      <c r="N30" s="53">
        <f t="shared" si="14"/>
        <v>115612.13526521224</v>
      </c>
      <c r="O30" s="53">
        <f t="shared" si="14"/>
        <v>115612.13526521224</v>
      </c>
      <c r="P30" s="53">
        <f>O33</f>
        <v>115612.13526521224</v>
      </c>
      <c r="Q30" s="53">
        <f>P33</f>
        <v>115612.13526521224</v>
      </c>
      <c r="R30" s="53">
        <f>Q33</f>
        <v>115612.13526521224</v>
      </c>
      <c r="S30" s="53">
        <f>R33</f>
        <v>115612.13526521224</v>
      </c>
      <c r="T30" s="53">
        <f>S33</f>
        <v>115612.13526521224</v>
      </c>
    </row>
    <row r="31" spans="1:20" ht="15">
      <c r="A31" s="70"/>
      <c r="B31" s="43" t="s">
        <v>45</v>
      </c>
      <c r="C31" s="50">
        <v>4</v>
      </c>
      <c r="D31" s="49">
        <f>D27/$C31/2</f>
        <v>99.375</v>
      </c>
      <c r="E31" s="49">
        <f>E27/$C31/2</f>
        <v>8820.375</v>
      </c>
      <c r="F31" s="49">
        <f>F27/$C31/2</f>
        <v>3885.4086081515297</v>
      </c>
      <c r="G31" s="49">
        <f>G27/$C31/2</f>
        <v>0</v>
      </c>
      <c r="H31" s="49">
        <f>H27/$C31/2</f>
        <v>1646.3583</v>
      </c>
      <c r="I31" s="49">
        <f aca="true" t="shared" si="15" ref="I31:N31">I27/$C31/2</f>
        <v>0</v>
      </c>
      <c r="J31" s="49">
        <f t="shared" si="15"/>
        <v>0</v>
      </c>
      <c r="K31" s="49">
        <f t="shared" si="15"/>
        <v>0</v>
      </c>
      <c r="L31" s="49">
        <f t="shared" si="15"/>
        <v>0</v>
      </c>
      <c r="M31" s="49">
        <f t="shared" si="15"/>
        <v>0</v>
      </c>
      <c r="N31" s="49">
        <f t="shared" si="15"/>
        <v>0</v>
      </c>
      <c r="O31" s="49">
        <f>O27/$C31/2</f>
        <v>0</v>
      </c>
      <c r="P31" s="49"/>
      <c r="Q31" s="49"/>
      <c r="R31" s="49"/>
      <c r="S31" s="49"/>
      <c r="T31" s="49"/>
    </row>
    <row r="32" spans="1:20" ht="15">
      <c r="A32" s="70"/>
      <c r="B32" s="43" t="s">
        <v>46</v>
      </c>
      <c r="C32" s="50">
        <v>4</v>
      </c>
      <c r="D32" s="49">
        <f>D26/$C32</f>
        <v>0</v>
      </c>
      <c r="E32" s="49">
        <f>E26/$C32</f>
        <v>198.75</v>
      </c>
      <c r="F32" s="49">
        <f>F26/$C32</f>
        <v>17839.5</v>
      </c>
      <c r="G32" s="49">
        <f>G26/$C32</f>
        <v>25610.31721630306</v>
      </c>
      <c r="H32" s="49">
        <f>H26/$C32</f>
        <v>25610.31721630306</v>
      </c>
      <c r="I32" s="130">
        <f>8721+7771+H27/4</f>
        <v>19784.7166</v>
      </c>
      <c r="J32" s="130">
        <f>3885.5+H27/4</f>
        <v>7178.2166</v>
      </c>
      <c r="K32" s="130">
        <f>H27/4</f>
        <v>3292.7166</v>
      </c>
      <c r="L32" s="49">
        <f>K36</f>
        <v>1646.0841244545882</v>
      </c>
      <c r="M32" s="49">
        <v>0</v>
      </c>
      <c r="N32" s="49">
        <v>0</v>
      </c>
      <c r="O32" s="49">
        <v>0</v>
      </c>
      <c r="P32" s="49"/>
      <c r="Q32" s="49"/>
      <c r="R32" s="49"/>
      <c r="S32" s="49"/>
      <c r="T32" s="49"/>
    </row>
    <row r="33" spans="1:20" ht="15">
      <c r="A33" s="70"/>
      <c r="B33" s="37" t="s">
        <v>29</v>
      </c>
      <c r="C33" s="37"/>
      <c r="D33" s="53">
        <f aca="true" t="shared" si="16" ref="D33:I33">SUM(D30:D32)</f>
        <v>99.375</v>
      </c>
      <c r="E33" s="53">
        <f t="shared" si="16"/>
        <v>9118.5</v>
      </c>
      <c r="F33" s="53">
        <f t="shared" si="16"/>
        <v>30843.40860815153</v>
      </c>
      <c r="G33" s="53">
        <f t="shared" si="16"/>
        <v>56453.725824454596</v>
      </c>
      <c r="H33" s="53">
        <f t="shared" si="16"/>
        <v>83710.40134075766</v>
      </c>
      <c r="I33" s="53">
        <f t="shared" si="16"/>
        <v>103495.11794075766</v>
      </c>
      <c r="J33" s="53">
        <f aca="true" t="shared" si="17" ref="J33:O33">SUM(J30:J32)</f>
        <v>110673.33454075766</v>
      </c>
      <c r="K33" s="53">
        <f t="shared" si="17"/>
        <v>113966.05114075766</v>
      </c>
      <c r="L33" s="53">
        <f t="shared" si="17"/>
        <v>115612.13526521224</v>
      </c>
      <c r="M33" s="53">
        <f t="shared" si="17"/>
        <v>115612.13526521224</v>
      </c>
      <c r="N33" s="53">
        <f t="shared" si="17"/>
        <v>115612.13526521224</v>
      </c>
      <c r="O33" s="53">
        <f t="shared" si="17"/>
        <v>115612.13526521224</v>
      </c>
      <c r="P33" s="53">
        <f>SUM(P30:P32)</f>
        <v>115612.13526521224</v>
      </c>
      <c r="Q33" s="53">
        <f>SUM(Q30:Q32)</f>
        <v>115612.13526521224</v>
      </c>
      <c r="R33" s="53">
        <f>SUM(R30:R32)</f>
        <v>115612.13526521224</v>
      </c>
      <c r="S33" s="53">
        <f>SUM(S30:S32)</f>
        <v>115612.13526521224</v>
      </c>
      <c r="T33" s="53">
        <f>SUM(T30:T32)</f>
        <v>115612.13526521224</v>
      </c>
    </row>
    <row r="34" spans="1:20" ht="15">
      <c r="A34" s="70"/>
      <c r="B34" s="37"/>
      <c r="C34" s="3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pans="1:20" ht="15">
      <c r="A35" s="70"/>
      <c r="B35" s="37" t="s">
        <v>30</v>
      </c>
      <c r="C35" s="37"/>
      <c r="D35" s="38">
        <f>D26-D30</f>
        <v>0</v>
      </c>
      <c r="E35" s="38">
        <f>E26-E30</f>
        <v>695.625</v>
      </c>
      <c r="F35" s="38">
        <f>F26-F30</f>
        <v>62239.5</v>
      </c>
      <c r="G35" s="38">
        <f>G26-G30</f>
        <v>71597.86025706072</v>
      </c>
      <c r="H35" s="38">
        <f>H26-H30</f>
        <v>45987.54304075765</v>
      </c>
      <c r="I35" s="38">
        <f aca="true" t="shared" si="18" ref="I35:N35">I26-I30</f>
        <v>31901.733924454587</v>
      </c>
      <c r="J35" s="38">
        <f t="shared" si="18"/>
        <v>12117.017324454588</v>
      </c>
      <c r="K35" s="38">
        <f t="shared" si="18"/>
        <v>4938.800724454588</v>
      </c>
      <c r="L35" s="38">
        <f>L26-L30</f>
        <v>1646.0841244545882</v>
      </c>
      <c r="M35" s="38">
        <f t="shared" si="18"/>
        <v>0</v>
      </c>
      <c r="N35" s="38">
        <f t="shared" si="18"/>
        <v>0</v>
      </c>
      <c r="O35" s="38">
        <f>O26-O30</f>
        <v>0</v>
      </c>
      <c r="P35" s="38"/>
      <c r="Q35" s="38"/>
      <c r="R35" s="38"/>
      <c r="S35" s="38"/>
      <c r="T35" s="38"/>
    </row>
    <row r="36" spans="1:20" ht="15">
      <c r="A36" s="70"/>
      <c r="B36" s="37" t="s">
        <v>31</v>
      </c>
      <c r="C36" s="37"/>
      <c r="D36" s="53">
        <f>D28-D33</f>
        <v>695.625</v>
      </c>
      <c r="E36" s="53">
        <f>E28-E33</f>
        <v>62239.5</v>
      </c>
      <c r="F36" s="53">
        <f>F28-F33</f>
        <v>71597.86025706072</v>
      </c>
      <c r="G36" s="53">
        <f>G28-G33</f>
        <v>45987.54304075765</v>
      </c>
      <c r="H36" s="53">
        <f>H28-H33</f>
        <v>31901.733924454587</v>
      </c>
      <c r="I36" s="53">
        <f aca="true" t="shared" si="19" ref="I36:N36">I28-I33</f>
        <v>12117.017324454588</v>
      </c>
      <c r="J36" s="53">
        <f>J28-J33</f>
        <v>4938.800724454588</v>
      </c>
      <c r="K36" s="53">
        <f t="shared" si="19"/>
        <v>1646.0841244545882</v>
      </c>
      <c r="L36" s="53">
        <f t="shared" si="19"/>
        <v>0</v>
      </c>
      <c r="M36" s="53">
        <f t="shared" si="19"/>
        <v>0</v>
      </c>
      <c r="N36" s="53">
        <f t="shared" si="19"/>
        <v>0</v>
      </c>
      <c r="O36" s="53">
        <f>O28-O33</f>
        <v>0</v>
      </c>
      <c r="P36" s="53"/>
      <c r="Q36" s="53"/>
      <c r="R36" s="53"/>
      <c r="S36" s="53"/>
      <c r="T36" s="53"/>
    </row>
    <row r="37" spans="1:20" ht="15.75" thickBot="1">
      <c r="A37" s="70"/>
      <c r="B37" s="37" t="s">
        <v>32</v>
      </c>
      <c r="C37" s="37"/>
      <c r="D37" s="54">
        <f aca="true" t="shared" si="20" ref="D37:I37">SUM(D35:D36)/2</f>
        <v>347.8125</v>
      </c>
      <c r="E37" s="54">
        <f t="shared" si="20"/>
        <v>31467.5625</v>
      </c>
      <c r="F37" s="54">
        <f t="shared" si="20"/>
        <v>66918.68012853037</v>
      </c>
      <c r="G37" s="54">
        <f t="shared" si="20"/>
        <v>58792.701648909184</v>
      </c>
      <c r="H37" s="54">
        <f t="shared" si="20"/>
        <v>38944.63848260612</v>
      </c>
      <c r="I37" s="54">
        <f t="shared" si="20"/>
        <v>22009.375624454588</v>
      </c>
      <c r="J37" s="54">
        <f aca="true" t="shared" si="21" ref="J37:O37">SUM(J35:J36)/2</f>
        <v>8527.909024454588</v>
      </c>
      <c r="K37" s="54">
        <f t="shared" si="21"/>
        <v>3292.442424454588</v>
      </c>
      <c r="L37" s="54">
        <f t="shared" si="21"/>
        <v>823.0420622272941</v>
      </c>
      <c r="M37" s="54">
        <f t="shared" si="21"/>
        <v>0</v>
      </c>
      <c r="N37" s="54">
        <f t="shared" si="21"/>
        <v>0</v>
      </c>
      <c r="O37" s="54">
        <f t="shared" si="21"/>
        <v>0</v>
      </c>
      <c r="P37" s="54"/>
      <c r="Q37" s="54"/>
      <c r="R37" s="54"/>
      <c r="S37" s="54"/>
      <c r="T37" s="54"/>
    </row>
    <row r="38" spans="1:8" ht="15">
      <c r="A38" s="70"/>
      <c r="B38" s="37"/>
      <c r="C38" s="37"/>
      <c r="D38" s="38"/>
      <c r="E38" s="38"/>
      <c r="F38" s="38"/>
      <c r="G38" s="38"/>
      <c r="H38" s="38"/>
    </row>
    <row r="39" spans="1:8" ht="15">
      <c r="A39" s="70"/>
      <c r="B39" s="37"/>
      <c r="C39" s="37"/>
      <c r="D39" s="38"/>
      <c r="E39" s="38"/>
      <c r="F39" s="38"/>
      <c r="G39" s="38"/>
      <c r="H39" s="38"/>
    </row>
    <row r="40" spans="1:20" ht="15">
      <c r="A40" s="70"/>
      <c r="B40" s="37"/>
      <c r="C40" s="37"/>
      <c r="D40" s="40">
        <v>2010</v>
      </c>
      <c r="E40" s="40">
        <v>2011</v>
      </c>
      <c r="F40" s="40">
        <v>2012</v>
      </c>
      <c r="G40" s="40">
        <v>2013</v>
      </c>
      <c r="H40" s="40">
        <v>2014</v>
      </c>
      <c r="I40" s="40">
        <v>2015</v>
      </c>
      <c r="J40" s="40">
        <v>2016</v>
      </c>
      <c r="K40" s="40">
        <v>2017</v>
      </c>
      <c r="L40" s="40">
        <v>2018</v>
      </c>
      <c r="M40" s="40">
        <v>2019</v>
      </c>
      <c r="N40" s="40">
        <v>2020</v>
      </c>
      <c r="O40" s="40">
        <v>2021</v>
      </c>
      <c r="P40" s="40">
        <v>2022</v>
      </c>
      <c r="Q40" s="40">
        <v>2023</v>
      </c>
      <c r="R40" s="40">
        <v>2024</v>
      </c>
      <c r="S40" s="40">
        <v>2025</v>
      </c>
      <c r="T40" s="40">
        <v>2026</v>
      </c>
    </row>
    <row r="41" spans="1:8" ht="15">
      <c r="A41" s="70">
        <v>1981</v>
      </c>
      <c r="B41" s="71" t="s">
        <v>62</v>
      </c>
      <c r="C41" s="39"/>
      <c r="D41" s="42"/>
      <c r="E41" s="42"/>
      <c r="F41" s="42"/>
      <c r="G41" s="42"/>
      <c r="H41" s="42"/>
    </row>
    <row r="42" spans="1:8" ht="15">
      <c r="A42" s="70"/>
      <c r="B42" s="37"/>
      <c r="C42" s="37"/>
      <c r="D42" s="38"/>
      <c r="E42" s="38"/>
      <c r="F42" s="38"/>
      <c r="G42" s="38"/>
      <c r="H42" s="38"/>
    </row>
    <row r="43" spans="1:20" ht="15">
      <c r="A43" s="70"/>
      <c r="B43" s="37" t="s">
        <v>26</v>
      </c>
      <c r="C43" s="37"/>
      <c r="D43" s="53">
        <v>0</v>
      </c>
      <c r="E43" s="53">
        <f aca="true" t="shared" si="22" ref="E43:O43">D45</f>
        <v>27778</v>
      </c>
      <c r="F43" s="53">
        <f t="shared" si="22"/>
        <v>134226</v>
      </c>
      <c r="G43" s="53">
        <f t="shared" si="22"/>
        <v>215957.58234187588</v>
      </c>
      <c r="H43" s="53">
        <f t="shared" si="22"/>
        <v>246682.43336246719</v>
      </c>
      <c r="I43" s="53">
        <f t="shared" si="22"/>
        <v>451389.38145121036</v>
      </c>
      <c r="J43" s="53">
        <f t="shared" si="22"/>
        <v>451389.38145121036</v>
      </c>
      <c r="K43" s="53">
        <f t="shared" si="22"/>
        <v>451389.38145121036</v>
      </c>
      <c r="L43" s="53">
        <f t="shared" si="22"/>
        <v>451389.38145121036</v>
      </c>
      <c r="M43" s="53">
        <f t="shared" si="22"/>
        <v>451389.38145121036</v>
      </c>
      <c r="N43" s="53">
        <f t="shared" si="22"/>
        <v>451389.38145121036</v>
      </c>
      <c r="O43" s="53">
        <f t="shared" si="22"/>
        <v>451389.38145121036</v>
      </c>
      <c r="P43" s="53">
        <f>O45</f>
        <v>451389.38145121036</v>
      </c>
      <c r="Q43" s="53">
        <f>P45</f>
        <v>451389.38145121036</v>
      </c>
      <c r="R43" s="53">
        <f>Q45</f>
        <v>451389.38145121036</v>
      </c>
      <c r="S43" s="53">
        <f>R45</f>
        <v>451389.38145121036</v>
      </c>
      <c r="T43" s="53">
        <f>S45</f>
        <v>451389.38145121036</v>
      </c>
    </row>
    <row r="44" spans="1:20" ht="15">
      <c r="A44" s="70"/>
      <c r="B44" s="37" t="s">
        <v>44</v>
      </c>
      <c r="C44" s="37"/>
      <c r="D44" s="46">
        <v>27778</v>
      </c>
      <c r="E44" s="46">
        <v>106448</v>
      </c>
      <c r="F44" s="46">
        <v>81731.58234187587</v>
      </c>
      <c r="G44" s="46">
        <v>30724.85102059131</v>
      </c>
      <c r="H44" s="46">
        <v>204706.94808874317</v>
      </c>
      <c r="I44" s="46">
        <v>0</v>
      </c>
      <c r="J44" s="46">
        <v>0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ht="15">
      <c r="A45" s="70"/>
      <c r="B45" s="37" t="s">
        <v>27</v>
      </c>
      <c r="C45" s="37"/>
      <c r="D45" s="53">
        <f aca="true" t="shared" si="23" ref="D45:I45">SUM(D43:D44)</f>
        <v>27778</v>
      </c>
      <c r="E45" s="53">
        <f t="shared" si="23"/>
        <v>134226</v>
      </c>
      <c r="F45" s="53">
        <f t="shared" si="23"/>
        <v>215957.58234187588</v>
      </c>
      <c r="G45" s="53">
        <f t="shared" si="23"/>
        <v>246682.43336246719</v>
      </c>
      <c r="H45" s="53">
        <f t="shared" si="23"/>
        <v>451389.38145121036</v>
      </c>
      <c r="I45" s="53">
        <f t="shared" si="23"/>
        <v>451389.38145121036</v>
      </c>
      <c r="J45" s="53">
        <f aca="true" t="shared" si="24" ref="J45:O45">SUM(J43:J44)</f>
        <v>451389.38145121036</v>
      </c>
      <c r="K45" s="53">
        <f t="shared" si="24"/>
        <v>451389.38145121036</v>
      </c>
      <c r="L45" s="53">
        <f t="shared" si="24"/>
        <v>451389.38145121036</v>
      </c>
      <c r="M45" s="53">
        <f t="shared" si="24"/>
        <v>451389.38145121036</v>
      </c>
      <c r="N45" s="53">
        <f t="shared" si="24"/>
        <v>451389.38145121036</v>
      </c>
      <c r="O45" s="53">
        <f t="shared" si="24"/>
        <v>451389.38145121036</v>
      </c>
      <c r="P45" s="53">
        <f>SUM(P43:P44)</f>
        <v>451389.38145121036</v>
      </c>
      <c r="Q45" s="53">
        <f>SUM(Q43:Q44)</f>
        <v>451389.38145121036</v>
      </c>
      <c r="R45" s="53">
        <f>SUM(R43:R44)</f>
        <v>451389.38145121036</v>
      </c>
      <c r="S45" s="53">
        <f>SUM(S43:S44)</f>
        <v>451389.38145121036</v>
      </c>
      <c r="T45" s="53">
        <f>SUM(T43:T44)</f>
        <v>451389.38145121036</v>
      </c>
    </row>
    <row r="46" spans="1:8" ht="15">
      <c r="A46" s="70"/>
      <c r="B46" s="37"/>
      <c r="C46" s="37"/>
      <c r="D46" s="45"/>
      <c r="E46" s="45"/>
      <c r="F46" s="45"/>
      <c r="G46" s="45"/>
      <c r="H46" s="38"/>
    </row>
    <row r="47" spans="1:20" ht="15">
      <c r="A47" s="70"/>
      <c r="B47" s="37" t="s">
        <v>28</v>
      </c>
      <c r="C47" s="37"/>
      <c r="D47" s="53">
        <v>0</v>
      </c>
      <c r="E47" s="53">
        <f aca="true" t="shared" si="25" ref="E47:O47">D50</f>
        <v>925.9333333333333</v>
      </c>
      <c r="F47" s="53">
        <f t="shared" si="25"/>
        <v>6326.066666666667</v>
      </c>
      <c r="G47" s="53">
        <f t="shared" si="25"/>
        <v>17998.852744729193</v>
      </c>
      <c r="H47" s="53">
        <f t="shared" si="25"/>
        <v>33420.18660154063</v>
      </c>
      <c r="I47" s="53">
        <f t="shared" si="25"/>
        <v>56689.247095329876</v>
      </c>
      <c r="J47" s="53">
        <f t="shared" si="25"/>
        <v>86781.87252541057</v>
      </c>
      <c r="K47" s="53">
        <f t="shared" si="25"/>
        <v>116874.49795549126</v>
      </c>
      <c r="L47" s="53">
        <f t="shared" si="25"/>
        <v>146967.12338557193</v>
      </c>
      <c r="M47" s="53">
        <f t="shared" si="25"/>
        <v>177059.74881565262</v>
      </c>
      <c r="N47" s="53">
        <f t="shared" si="25"/>
        <v>207152.3742457333</v>
      </c>
      <c r="O47" s="53">
        <f t="shared" si="25"/>
        <v>237244.999675814</v>
      </c>
      <c r="P47" s="53">
        <f>O50</f>
        <v>267337.6251058947</v>
      </c>
      <c r="Q47" s="53">
        <f>P50</f>
        <v>297430.2505359754</v>
      </c>
      <c r="R47" s="53">
        <f>Q50</f>
        <v>327522.8759660561</v>
      </c>
      <c r="S47" s="53">
        <f>R50</f>
        <v>357615.50139613677</v>
      </c>
      <c r="T47" s="53">
        <f>S50</f>
        <v>387708.12682621746</v>
      </c>
    </row>
    <row r="48" spans="1:20" ht="15">
      <c r="A48" s="70"/>
      <c r="B48" s="43" t="s">
        <v>45</v>
      </c>
      <c r="C48" s="50">
        <v>15</v>
      </c>
      <c r="D48" s="49">
        <f aca="true" t="shared" si="26" ref="D48:I48">D44/$C48/2</f>
        <v>925.9333333333333</v>
      </c>
      <c r="E48" s="49">
        <f t="shared" si="26"/>
        <v>3548.266666666667</v>
      </c>
      <c r="F48" s="49">
        <f t="shared" si="26"/>
        <v>2724.3860780625287</v>
      </c>
      <c r="G48" s="49">
        <f t="shared" si="26"/>
        <v>1024.1617006863771</v>
      </c>
      <c r="H48" s="49">
        <f t="shared" si="26"/>
        <v>6823.564936291439</v>
      </c>
      <c r="I48" s="49">
        <f t="shared" si="26"/>
        <v>0</v>
      </c>
      <c r="J48" s="49">
        <f aca="true" t="shared" si="27" ref="J48:O48">J44/$C48/2</f>
        <v>0</v>
      </c>
      <c r="K48" s="49">
        <f t="shared" si="27"/>
        <v>0</v>
      </c>
      <c r="L48" s="49">
        <f t="shared" si="27"/>
        <v>0</v>
      </c>
      <c r="M48" s="49">
        <f t="shared" si="27"/>
        <v>0</v>
      </c>
      <c r="N48" s="49">
        <f t="shared" si="27"/>
        <v>0</v>
      </c>
      <c r="O48" s="49">
        <f t="shared" si="27"/>
        <v>0</v>
      </c>
      <c r="P48" s="49">
        <f>P44/$C48/2</f>
        <v>0</v>
      </c>
      <c r="Q48" s="49">
        <f>Q44/$C48/2</f>
        <v>0</v>
      </c>
      <c r="R48" s="49">
        <f>R44/$C48/2</f>
        <v>0</v>
      </c>
      <c r="S48" s="49">
        <f>S44/$C48/2</f>
        <v>0</v>
      </c>
      <c r="T48" s="49">
        <f>T44/$C48/2</f>
        <v>0</v>
      </c>
    </row>
    <row r="49" spans="1:20" ht="15">
      <c r="A49" s="70"/>
      <c r="B49" s="43" t="s">
        <v>46</v>
      </c>
      <c r="C49" s="50">
        <v>15</v>
      </c>
      <c r="D49" s="49">
        <f aca="true" t="shared" si="28" ref="D49:I49">D43/$C49</f>
        <v>0</v>
      </c>
      <c r="E49" s="49">
        <f t="shared" si="28"/>
        <v>1851.8666666666666</v>
      </c>
      <c r="F49" s="49">
        <f t="shared" si="28"/>
        <v>8948.4</v>
      </c>
      <c r="G49" s="49">
        <f t="shared" si="28"/>
        <v>14397.172156125058</v>
      </c>
      <c r="H49" s="49">
        <f t="shared" si="28"/>
        <v>16445.495557497812</v>
      </c>
      <c r="I49" s="49">
        <f t="shared" si="28"/>
        <v>30092.62543008069</v>
      </c>
      <c r="J49" s="49">
        <f aca="true" t="shared" si="29" ref="J49:O49">J43/$C49</f>
        <v>30092.62543008069</v>
      </c>
      <c r="K49" s="49">
        <f t="shared" si="29"/>
        <v>30092.62543008069</v>
      </c>
      <c r="L49" s="49">
        <f t="shared" si="29"/>
        <v>30092.62543008069</v>
      </c>
      <c r="M49" s="49">
        <f t="shared" si="29"/>
        <v>30092.62543008069</v>
      </c>
      <c r="N49" s="49">
        <f t="shared" si="29"/>
        <v>30092.62543008069</v>
      </c>
      <c r="O49" s="49">
        <f t="shared" si="29"/>
        <v>30092.62543008069</v>
      </c>
      <c r="P49" s="49">
        <f>P43/$C49</f>
        <v>30092.62543008069</v>
      </c>
      <c r="Q49" s="49">
        <f>Q43/$C49</f>
        <v>30092.62543008069</v>
      </c>
      <c r="R49" s="49">
        <f>R43/$C49</f>
        <v>30092.62543008069</v>
      </c>
      <c r="S49" s="49">
        <f>S43/$C49</f>
        <v>30092.62543008069</v>
      </c>
      <c r="T49" s="49">
        <f>T43/$C49</f>
        <v>30092.62543008069</v>
      </c>
    </row>
    <row r="50" spans="1:20" ht="15">
      <c r="A50" s="70"/>
      <c r="B50" s="37" t="s">
        <v>29</v>
      </c>
      <c r="C50" s="37"/>
      <c r="D50" s="53">
        <f aca="true" t="shared" si="30" ref="D50:I50">SUM(D47:D49)</f>
        <v>925.9333333333333</v>
      </c>
      <c r="E50" s="53">
        <f t="shared" si="30"/>
        <v>6326.066666666667</v>
      </c>
      <c r="F50" s="53">
        <f t="shared" si="30"/>
        <v>17998.852744729193</v>
      </c>
      <c r="G50" s="53">
        <f t="shared" si="30"/>
        <v>33420.18660154063</v>
      </c>
      <c r="H50" s="53">
        <f t="shared" si="30"/>
        <v>56689.247095329876</v>
      </c>
      <c r="I50" s="53">
        <f t="shared" si="30"/>
        <v>86781.87252541057</v>
      </c>
      <c r="J50" s="53">
        <f aca="true" t="shared" si="31" ref="J50:O50">SUM(J47:J49)</f>
        <v>116874.49795549126</v>
      </c>
      <c r="K50" s="53">
        <f t="shared" si="31"/>
        <v>146967.12338557193</v>
      </c>
      <c r="L50" s="53">
        <f t="shared" si="31"/>
        <v>177059.74881565262</v>
      </c>
      <c r="M50" s="53">
        <f t="shared" si="31"/>
        <v>207152.3742457333</v>
      </c>
      <c r="N50" s="53">
        <f t="shared" si="31"/>
        <v>237244.999675814</v>
      </c>
      <c r="O50" s="53">
        <f t="shared" si="31"/>
        <v>267337.6251058947</v>
      </c>
      <c r="P50" s="53">
        <f>SUM(P47:P49)</f>
        <v>297430.2505359754</v>
      </c>
      <c r="Q50" s="53">
        <f>SUM(Q47:Q49)</f>
        <v>327522.8759660561</v>
      </c>
      <c r="R50" s="53">
        <f>SUM(R47:R49)</f>
        <v>357615.50139613677</v>
      </c>
      <c r="S50" s="53">
        <f>SUM(S47:S49)</f>
        <v>387708.12682621746</v>
      </c>
      <c r="T50" s="53">
        <f>SUM(T47:T49)</f>
        <v>417800.75225629815</v>
      </c>
    </row>
    <row r="51" spans="1:20" ht="15">
      <c r="A51" s="70"/>
      <c r="B51" s="37"/>
      <c r="C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>
      <c r="A52" s="70"/>
      <c r="B52" s="37" t="s">
        <v>30</v>
      </c>
      <c r="C52" s="37"/>
      <c r="D52" s="38">
        <f aca="true" t="shared" si="32" ref="D52:I52">D43-D47</f>
        <v>0</v>
      </c>
      <c r="E52" s="38">
        <f t="shared" si="32"/>
        <v>26852.066666666666</v>
      </c>
      <c r="F52" s="38">
        <f t="shared" si="32"/>
        <v>127899.93333333333</v>
      </c>
      <c r="G52" s="38">
        <f t="shared" si="32"/>
        <v>197958.72959714668</v>
      </c>
      <c r="H52" s="38">
        <f t="shared" si="32"/>
        <v>213262.24676092656</v>
      </c>
      <c r="I52" s="38">
        <f t="shared" si="32"/>
        <v>394700.1343558805</v>
      </c>
      <c r="J52" s="38">
        <f aca="true" t="shared" si="33" ref="J52:O52">J43-J47</f>
        <v>364607.5089257998</v>
      </c>
      <c r="K52" s="38">
        <f t="shared" si="33"/>
        <v>334514.8834957191</v>
      </c>
      <c r="L52" s="38">
        <f t="shared" si="33"/>
        <v>304422.2580656384</v>
      </c>
      <c r="M52" s="38">
        <f t="shared" si="33"/>
        <v>274329.63263555773</v>
      </c>
      <c r="N52" s="38">
        <f t="shared" si="33"/>
        <v>244237.00720547704</v>
      </c>
      <c r="O52" s="38">
        <f t="shared" si="33"/>
        <v>214144.38177539635</v>
      </c>
      <c r="P52" s="38">
        <f>P43-P47</f>
        <v>184051.75634531566</v>
      </c>
      <c r="Q52" s="38">
        <f>Q43-Q47</f>
        <v>153959.13091523497</v>
      </c>
      <c r="R52" s="38">
        <f>R43-R47</f>
        <v>123866.50548515428</v>
      </c>
      <c r="S52" s="38">
        <f>S43-S47</f>
        <v>93773.88005507359</v>
      </c>
      <c r="T52" s="38">
        <f>T43-T47</f>
        <v>63681.2546249929</v>
      </c>
    </row>
    <row r="53" spans="1:20" ht="15">
      <c r="A53" s="70"/>
      <c r="B53" s="37" t="s">
        <v>31</v>
      </c>
      <c r="C53" s="37"/>
      <c r="D53" s="53">
        <f aca="true" t="shared" si="34" ref="D53:I53">D45-D50</f>
        <v>26852.066666666666</v>
      </c>
      <c r="E53" s="53">
        <f t="shared" si="34"/>
        <v>127899.93333333333</v>
      </c>
      <c r="F53" s="53">
        <f t="shared" si="34"/>
        <v>197958.72959714668</v>
      </c>
      <c r="G53" s="53">
        <f t="shared" si="34"/>
        <v>213262.24676092656</v>
      </c>
      <c r="H53" s="53">
        <f t="shared" si="34"/>
        <v>394700.1343558805</v>
      </c>
      <c r="I53" s="53">
        <f t="shared" si="34"/>
        <v>364607.5089257998</v>
      </c>
      <c r="J53" s="53">
        <f aca="true" t="shared" si="35" ref="J53:O53">J45-J50</f>
        <v>334514.8834957191</v>
      </c>
      <c r="K53" s="53">
        <f t="shared" si="35"/>
        <v>304422.2580656384</v>
      </c>
      <c r="L53" s="53">
        <f t="shared" si="35"/>
        <v>274329.63263555773</v>
      </c>
      <c r="M53" s="53">
        <f t="shared" si="35"/>
        <v>244237.00720547704</v>
      </c>
      <c r="N53" s="53">
        <f t="shared" si="35"/>
        <v>214144.38177539635</v>
      </c>
      <c r="O53" s="53">
        <f t="shared" si="35"/>
        <v>184051.75634531566</v>
      </c>
      <c r="P53" s="53">
        <f>P45-P50</f>
        <v>153959.13091523497</v>
      </c>
      <c r="Q53" s="53">
        <f>Q45-Q50</f>
        <v>123866.50548515428</v>
      </c>
      <c r="R53" s="53">
        <f>R45-R50</f>
        <v>93773.88005507359</v>
      </c>
      <c r="S53" s="53">
        <f>S45-S50</f>
        <v>63681.2546249929</v>
      </c>
      <c r="T53" s="53">
        <f>T45-T50</f>
        <v>33588.62919491221</v>
      </c>
    </row>
    <row r="54" spans="1:20" ht="15.75" thickBot="1">
      <c r="A54" s="70"/>
      <c r="B54" s="37" t="s">
        <v>32</v>
      </c>
      <c r="C54" s="37"/>
      <c r="D54" s="54">
        <f aca="true" t="shared" si="36" ref="D54:I54">SUM(D52:D53)/2</f>
        <v>13426.033333333333</v>
      </c>
      <c r="E54" s="54">
        <f t="shared" si="36"/>
        <v>77376</v>
      </c>
      <c r="F54" s="54">
        <f t="shared" si="36"/>
        <v>162929.33146524001</v>
      </c>
      <c r="G54" s="54">
        <f t="shared" si="36"/>
        <v>205610.48817903662</v>
      </c>
      <c r="H54" s="54">
        <f t="shared" si="36"/>
        <v>303981.1905584035</v>
      </c>
      <c r="I54" s="54">
        <f t="shared" si="36"/>
        <v>379653.82164084015</v>
      </c>
      <c r="J54" s="54">
        <f aca="true" t="shared" si="37" ref="J54:O54">SUM(J52:J53)/2</f>
        <v>349561.19621075946</v>
      </c>
      <c r="K54" s="54">
        <f t="shared" si="37"/>
        <v>319468.57078067877</v>
      </c>
      <c r="L54" s="54">
        <f t="shared" si="37"/>
        <v>289375.9453505981</v>
      </c>
      <c r="M54" s="54">
        <f t="shared" si="37"/>
        <v>259283.3199205174</v>
      </c>
      <c r="N54" s="54">
        <f t="shared" si="37"/>
        <v>229190.6944904367</v>
      </c>
      <c r="O54" s="54">
        <f t="shared" si="37"/>
        <v>199098.069060356</v>
      </c>
      <c r="P54" s="54">
        <f>SUM(P52:P53)/2</f>
        <v>169005.44363027532</v>
      </c>
      <c r="Q54" s="54">
        <f>SUM(Q52:Q53)/2</f>
        <v>138912.81820019463</v>
      </c>
      <c r="R54" s="54">
        <f>SUM(R52:R53)/2</f>
        <v>108820.19277011394</v>
      </c>
      <c r="S54" s="54">
        <f>SUM(S52:S53)/2</f>
        <v>78727.56734003325</v>
      </c>
      <c r="T54" s="54">
        <f>SUM(T52:T53)/2</f>
        <v>48634.941909952555</v>
      </c>
    </row>
    <row r="55" spans="1:8" ht="15">
      <c r="A55" s="70"/>
      <c r="B55" s="37"/>
      <c r="C55" s="37"/>
      <c r="D55" s="38"/>
      <c r="E55" s="38"/>
      <c r="F55" s="38"/>
      <c r="G55" s="38"/>
      <c r="H55" s="38"/>
    </row>
    <row r="56" spans="1:8" ht="15">
      <c r="A56" s="70"/>
      <c r="B56" s="37"/>
      <c r="C56" s="37"/>
      <c r="D56" s="38"/>
      <c r="E56" s="38"/>
      <c r="F56" s="38"/>
      <c r="G56" s="38"/>
      <c r="H56" s="38"/>
    </row>
    <row r="57" spans="1:20" ht="15">
      <c r="A57" s="70"/>
      <c r="B57" s="37"/>
      <c r="C57" s="37"/>
      <c r="D57" s="40">
        <v>2010</v>
      </c>
      <c r="E57" s="40">
        <v>2011</v>
      </c>
      <c r="F57" s="40">
        <v>2012</v>
      </c>
      <c r="G57" s="40">
        <v>2013</v>
      </c>
      <c r="H57" s="40">
        <v>2014</v>
      </c>
      <c r="I57" s="40">
        <v>2015</v>
      </c>
      <c r="J57" s="40">
        <v>2016</v>
      </c>
      <c r="K57" s="40">
        <v>2017</v>
      </c>
      <c r="L57" s="40">
        <v>2018</v>
      </c>
      <c r="M57" s="40">
        <v>2019</v>
      </c>
      <c r="N57" s="40">
        <v>2020</v>
      </c>
      <c r="O57" s="40">
        <v>2021</v>
      </c>
      <c r="P57" s="40">
        <v>2022</v>
      </c>
      <c r="Q57" s="40">
        <v>2023</v>
      </c>
      <c r="R57" s="40">
        <v>2024</v>
      </c>
      <c r="S57" s="40">
        <v>2025</v>
      </c>
      <c r="T57" s="40">
        <v>2026</v>
      </c>
    </row>
    <row r="58" spans="1:8" ht="15">
      <c r="A58" s="70">
        <v>1822</v>
      </c>
      <c r="B58" s="39" t="s">
        <v>54</v>
      </c>
      <c r="C58" s="39"/>
      <c r="D58" s="42"/>
      <c r="E58" s="42"/>
      <c r="F58" s="42"/>
      <c r="G58" s="42"/>
      <c r="H58" s="42"/>
    </row>
    <row r="59" spans="1:8" ht="15">
      <c r="A59" s="70"/>
      <c r="B59" s="37"/>
      <c r="C59" s="37"/>
      <c r="D59" s="38"/>
      <c r="E59" s="38"/>
      <c r="F59" s="38"/>
      <c r="G59" s="38"/>
      <c r="H59" s="38"/>
    </row>
    <row r="60" spans="1:20" ht="15">
      <c r="A60" s="70"/>
      <c r="B60" s="37" t="s">
        <v>26</v>
      </c>
      <c r="C60" s="37"/>
      <c r="D60" s="53">
        <v>0</v>
      </c>
      <c r="E60" s="53">
        <f aca="true" t="shared" si="38" ref="E60:O60">D62</f>
        <v>22903</v>
      </c>
      <c r="F60" s="53">
        <f t="shared" si="38"/>
        <v>110667</v>
      </c>
      <c r="G60" s="53">
        <f t="shared" si="38"/>
        <v>178047.11924409258</v>
      </c>
      <c r="H60" s="53">
        <f t="shared" si="38"/>
        <v>203379.00657754994</v>
      </c>
      <c r="I60" s="53">
        <f t="shared" si="38"/>
        <v>434743.72816078353</v>
      </c>
      <c r="J60" s="53">
        <f t="shared" si="38"/>
        <v>511227.7681607835</v>
      </c>
      <c r="K60" s="53">
        <f t="shared" si="38"/>
        <v>578230.0281607835</v>
      </c>
      <c r="L60" s="53">
        <f t="shared" si="38"/>
        <v>578230.0281607835</v>
      </c>
      <c r="M60" s="53">
        <f t="shared" si="38"/>
        <v>578230.0281607835</v>
      </c>
      <c r="N60" s="53">
        <f t="shared" si="38"/>
        <v>578230.0281607835</v>
      </c>
      <c r="O60" s="53">
        <f t="shared" si="38"/>
        <v>578230.0281607835</v>
      </c>
      <c r="P60" s="53">
        <f>O62</f>
        <v>578230.0281607835</v>
      </c>
      <c r="Q60" s="53">
        <f>P62</f>
        <v>578230.0281607835</v>
      </c>
      <c r="R60" s="53">
        <f>Q62</f>
        <v>578230.0281607835</v>
      </c>
      <c r="S60" s="53">
        <f>R62</f>
        <v>578230.0281607835</v>
      </c>
      <c r="T60" s="53">
        <f>S62</f>
        <v>578230.0281607835</v>
      </c>
    </row>
    <row r="61" spans="1:20" ht="15">
      <c r="A61" s="70"/>
      <c r="B61" s="37" t="s">
        <v>44</v>
      </c>
      <c r="C61" s="37"/>
      <c r="D61" s="46">
        <v>22903</v>
      </c>
      <c r="E61" s="46">
        <v>87764</v>
      </c>
      <c r="F61" s="46">
        <v>67380.11924409258</v>
      </c>
      <c r="G61" s="46">
        <v>25331.88733345736</v>
      </c>
      <c r="H61" s="46">
        <v>231364.72158323362</v>
      </c>
      <c r="I61" s="46">
        <v>76484.04</v>
      </c>
      <c r="J61" s="46">
        <v>67002.26</v>
      </c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0" ht="15">
      <c r="A62" s="70"/>
      <c r="B62" s="37" t="s">
        <v>27</v>
      </c>
      <c r="C62" s="37"/>
      <c r="D62" s="53">
        <f aca="true" t="shared" si="39" ref="D62:I62">SUM(D60:D61)</f>
        <v>22903</v>
      </c>
      <c r="E62" s="53">
        <f t="shared" si="39"/>
        <v>110667</v>
      </c>
      <c r="F62" s="53">
        <f t="shared" si="39"/>
        <v>178047.11924409258</v>
      </c>
      <c r="G62" s="53">
        <f t="shared" si="39"/>
        <v>203379.00657754994</v>
      </c>
      <c r="H62" s="53">
        <f t="shared" si="39"/>
        <v>434743.72816078353</v>
      </c>
      <c r="I62" s="53">
        <f t="shared" si="39"/>
        <v>511227.7681607835</v>
      </c>
      <c r="J62" s="53">
        <f aca="true" t="shared" si="40" ref="J62:O62">SUM(J60:J61)</f>
        <v>578230.0281607835</v>
      </c>
      <c r="K62" s="53">
        <f t="shared" si="40"/>
        <v>578230.0281607835</v>
      </c>
      <c r="L62" s="53">
        <f t="shared" si="40"/>
        <v>578230.0281607835</v>
      </c>
      <c r="M62" s="53">
        <f t="shared" si="40"/>
        <v>578230.0281607835</v>
      </c>
      <c r="N62" s="53">
        <f t="shared" si="40"/>
        <v>578230.0281607835</v>
      </c>
      <c r="O62" s="53">
        <f t="shared" si="40"/>
        <v>578230.0281607835</v>
      </c>
      <c r="P62" s="53">
        <f>SUM(P60:P61)</f>
        <v>578230.0281607835</v>
      </c>
      <c r="Q62" s="53">
        <f>SUM(Q60:Q61)</f>
        <v>578230.0281607835</v>
      </c>
      <c r="R62" s="53">
        <f>SUM(R60:R61)</f>
        <v>578230.0281607835</v>
      </c>
      <c r="S62" s="53">
        <f>SUM(S60:S61)</f>
        <v>578230.0281607835</v>
      </c>
      <c r="T62" s="53">
        <f>SUM(T60:T61)</f>
        <v>578230.0281607835</v>
      </c>
    </row>
    <row r="63" spans="1:8" ht="15">
      <c r="A63" s="70"/>
      <c r="B63" s="37"/>
      <c r="C63" s="37"/>
      <c r="D63" s="45"/>
      <c r="E63" s="45"/>
      <c r="F63" s="45"/>
      <c r="G63" s="45"/>
      <c r="H63" s="38"/>
    </row>
    <row r="64" spans="1:20" ht="15">
      <c r="A64" s="70"/>
      <c r="B64" s="37" t="s">
        <v>28</v>
      </c>
      <c r="C64" s="37"/>
      <c r="D64" s="53">
        <f aca="true" t="shared" si="41" ref="D64:I64">C67</f>
        <v>0</v>
      </c>
      <c r="E64" s="53">
        <f t="shared" si="41"/>
        <v>572.575</v>
      </c>
      <c r="F64" s="53">
        <f t="shared" si="41"/>
        <v>3911.8250000000003</v>
      </c>
      <c r="G64" s="53">
        <f t="shared" si="41"/>
        <v>11129.677981102315</v>
      </c>
      <c r="H64" s="53">
        <f t="shared" si="41"/>
        <v>20665.331126643378</v>
      </c>
      <c r="I64" s="53">
        <f t="shared" si="41"/>
        <v>36618.399495101716</v>
      </c>
      <c r="J64" s="53">
        <f aca="true" t="shared" si="42" ref="J64:O64">I67</f>
        <v>60267.68690314089</v>
      </c>
      <c r="K64" s="53">
        <f t="shared" si="42"/>
        <v>87504.13181118006</v>
      </c>
      <c r="L64" s="53">
        <f t="shared" si="42"/>
        <v>116415.63321921923</v>
      </c>
      <c r="M64" s="53">
        <f t="shared" si="42"/>
        <v>145327.1346272584</v>
      </c>
      <c r="N64" s="53">
        <f t="shared" si="42"/>
        <v>174238.6360352976</v>
      </c>
      <c r="O64" s="53">
        <f t="shared" si="42"/>
        <v>203150.13744333677</v>
      </c>
      <c r="P64" s="53">
        <f>O67</f>
        <v>232061.63885137596</v>
      </c>
      <c r="Q64" s="53">
        <f>P67</f>
        <v>260973.14025941514</v>
      </c>
      <c r="R64" s="53">
        <f>Q67</f>
        <v>289884.6416674543</v>
      </c>
      <c r="S64" s="53">
        <f>R67</f>
        <v>318796.1430754935</v>
      </c>
      <c r="T64" s="53">
        <f>S67</f>
        <v>347707.6444835327</v>
      </c>
    </row>
    <row r="65" spans="1:20" ht="15">
      <c r="A65" s="70"/>
      <c r="B65" s="43" t="s">
        <v>45</v>
      </c>
      <c r="C65" s="50">
        <v>20</v>
      </c>
      <c r="D65" s="49">
        <f aca="true" t="shared" si="43" ref="D65:I65">D61/$C65/2</f>
        <v>572.575</v>
      </c>
      <c r="E65" s="49">
        <f t="shared" si="43"/>
        <v>2194.1</v>
      </c>
      <c r="F65" s="49">
        <f t="shared" si="43"/>
        <v>1684.5029811023146</v>
      </c>
      <c r="G65" s="49">
        <f t="shared" si="43"/>
        <v>633.2971833364339</v>
      </c>
      <c r="H65" s="49">
        <f t="shared" si="43"/>
        <v>5784.118039580841</v>
      </c>
      <c r="I65" s="49">
        <f t="shared" si="43"/>
        <v>1912.1009999999999</v>
      </c>
      <c r="J65" s="49">
        <f aca="true" t="shared" si="44" ref="J65:O65">J61/$C65/2</f>
        <v>1675.0565</v>
      </c>
      <c r="K65" s="49">
        <f t="shared" si="44"/>
        <v>0</v>
      </c>
      <c r="L65" s="49">
        <f t="shared" si="44"/>
        <v>0</v>
      </c>
      <c r="M65" s="49">
        <f t="shared" si="44"/>
        <v>0</v>
      </c>
      <c r="N65" s="49">
        <f t="shared" si="44"/>
        <v>0</v>
      </c>
      <c r="O65" s="49">
        <f t="shared" si="44"/>
        <v>0</v>
      </c>
      <c r="P65" s="49">
        <f>P61/$C65/2</f>
        <v>0</v>
      </c>
      <c r="Q65" s="49">
        <f>Q61/$C65/2</f>
        <v>0</v>
      </c>
      <c r="R65" s="49">
        <f>R61/$C65/2</f>
        <v>0</v>
      </c>
      <c r="S65" s="49">
        <f>S61/$C65/2</f>
        <v>0</v>
      </c>
      <c r="T65" s="49">
        <f>T61/$C65/2</f>
        <v>0</v>
      </c>
    </row>
    <row r="66" spans="1:20" ht="15">
      <c r="A66" s="70"/>
      <c r="B66" s="43" t="s">
        <v>46</v>
      </c>
      <c r="C66" s="50">
        <v>20</v>
      </c>
      <c r="D66" s="49">
        <f aca="true" t="shared" si="45" ref="D66:I66">D60/$C66</f>
        <v>0</v>
      </c>
      <c r="E66" s="49">
        <f t="shared" si="45"/>
        <v>1145.15</v>
      </c>
      <c r="F66" s="49">
        <f t="shared" si="45"/>
        <v>5533.35</v>
      </c>
      <c r="G66" s="49">
        <f t="shared" si="45"/>
        <v>8902.355962204629</v>
      </c>
      <c r="H66" s="49">
        <f t="shared" si="45"/>
        <v>10168.950328877498</v>
      </c>
      <c r="I66" s="49">
        <f t="shared" si="45"/>
        <v>21737.186408039175</v>
      </c>
      <c r="J66" s="49">
        <f aca="true" t="shared" si="46" ref="J66:O66">J60/$C66</f>
        <v>25561.388408039176</v>
      </c>
      <c r="K66" s="49">
        <f t="shared" si="46"/>
        <v>28911.501408039174</v>
      </c>
      <c r="L66" s="49">
        <f t="shared" si="46"/>
        <v>28911.501408039174</v>
      </c>
      <c r="M66" s="49">
        <f t="shared" si="46"/>
        <v>28911.501408039174</v>
      </c>
      <c r="N66" s="49">
        <f t="shared" si="46"/>
        <v>28911.501408039174</v>
      </c>
      <c r="O66" s="49">
        <f t="shared" si="46"/>
        <v>28911.501408039174</v>
      </c>
      <c r="P66" s="49">
        <f>P60/$C66</f>
        <v>28911.501408039174</v>
      </c>
      <c r="Q66" s="49">
        <f>Q60/$C66</f>
        <v>28911.501408039174</v>
      </c>
      <c r="R66" s="49">
        <f>R60/$C66</f>
        <v>28911.501408039174</v>
      </c>
      <c r="S66" s="49">
        <f>S60/$C66</f>
        <v>28911.501408039174</v>
      </c>
      <c r="T66" s="49">
        <f>T60/$C66</f>
        <v>28911.501408039174</v>
      </c>
    </row>
    <row r="67" spans="1:20" ht="15">
      <c r="A67" s="70"/>
      <c r="B67" s="37" t="s">
        <v>29</v>
      </c>
      <c r="C67" s="37"/>
      <c r="D67" s="53">
        <f aca="true" t="shared" si="47" ref="D67:I67">SUM(D64:D66)</f>
        <v>572.575</v>
      </c>
      <c r="E67" s="53">
        <f t="shared" si="47"/>
        <v>3911.8250000000003</v>
      </c>
      <c r="F67" s="53">
        <f t="shared" si="47"/>
        <v>11129.677981102315</v>
      </c>
      <c r="G67" s="53">
        <f t="shared" si="47"/>
        <v>20665.331126643378</v>
      </c>
      <c r="H67" s="53">
        <f t="shared" si="47"/>
        <v>36618.399495101716</v>
      </c>
      <c r="I67" s="53">
        <f t="shared" si="47"/>
        <v>60267.68690314089</v>
      </c>
      <c r="J67" s="53">
        <f aca="true" t="shared" si="48" ref="J67:O67">SUM(J64:J66)</f>
        <v>87504.13181118006</v>
      </c>
      <c r="K67" s="53">
        <f t="shared" si="48"/>
        <v>116415.63321921923</v>
      </c>
      <c r="L67" s="53">
        <f t="shared" si="48"/>
        <v>145327.1346272584</v>
      </c>
      <c r="M67" s="53">
        <f t="shared" si="48"/>
        <v>174238.6360352976</v>
      </c>
      <c r="N67" s="53">
        <f t="shared" si="48"/>
        <v>203150.13744333677</v>
      </c>
      <c r="O67" s="53">
        <f t="shared" si="48"/>
        <v>232061.63885137596</v>
      </c>
      <c r="P67" s="53">
        <f>SUM(P64:P66)</f>
        <v>260973.14025941514</v>
      </c>
      <c r="Q67" s="53">
        <f>SUM(Q64:Q66)</f>
        <v>289884.6416674543</v>
      </c>
      <c r="R67" s="53">
        <f>SUM(R64:R66)</f>
        <v>318796.1430754935</v>
      </c>
      <c r="S67" s="53">
        <f>SUM(S64:S66)</f>
        <v>347707.6444835327</v>
      </c>
      <c r="T67" s="53">
        <f>SUM(T64:T66)</f>
        <v>376619.1458915719</v>
      </c>
    </row>
    <row r="68" spans="1:20" ht="15">
      <c r="A68" s="70"/>
      <c r="B68" s="37"/>
      <c r="C68" s="3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">
      <c r="A69" s="70"/>
      <c r="B69" s="37" t="s">
        <v>30</v>
      </c>
      <c r="C69" s="37"/>
      <c r="D69" s="38">
        <f aca="true" t="shared" si="49" ref="D69:I69">D60-D64</f>
        <v>0</v>
      </c>
      <c r="E69" s="38">
        <f t="shared" si="49"/>
        <v>22330.425</v>
      </c>
      <c r="F69" s="38">
        <f t="shared" si="49"/>
        <v>106755.175</v>
      </c>
      <c r="G69" s="38">
        <f t="shared" si="49"/>
        <v>166917.44126299027</v>
      </c>
      <c r="H69" s="38">
        <f t="shared" si="49"/>
        <v>182713.67545090656</v>
      </c>
      <c r="I69" s="38">
        <f t="shared" si="49"/>
        <v>398125.3286656818</v>
      </c>
      <c r="J69" s="38">
        <f aca="true" t="shared" si="50" ref="J69:O69">J60-J64</f>
        <v>450960.0812576426</v>
      </c>
      <c r="K69" s="38">
        <f t="shared" si="50"/>
        <v>490725.8963496034</v>
      </c>
      <c r="L69" s="38">
        <f t="shared" si="50"/>
        <v>461814.39494156424</v>
      </c>
      <c r="M69" s="38">
        <f t="shared" si="50"/>
        <v>432902.89353352506</v>
      </c>
      <c r="N69" s="38">
        <f t="shared" si="50"/>
        <v>403991.3921254859</v>
      </c>
      <c r="O69" s="38">
        <f t="shared" si="50"/>
        <v>375079.8907174467</v>
      </c>
      <c r="P69" s="38">
        <f>P60-P64</f>
        <v>346168.3893094075</v>
      </c>
      <c r="Q69" s="38">
        <f>Q60-Q64</f>
        <v>317256.8879013683</v>
      </c>
      <c r="R69" s="38">
        <f>R60-R64</f>
        <v>288345.38649332913</v>
      </c>
      <c r="S69" s="38">
        <f>S60-S64</f>
        <v>259433.88508528995</v>
      </c>
      <c r="T69" s="38">
        <f>T60-T64</f>
        <v>230522.38367725076</v>
      </c>
    </row>
    <row r="70" spans="1:20" ht="15">
      <c r="A70" s="70"/>
      <c r="B70" s="37" t="s">
        <v>31</v>
      </c>
      <c r="C70" s="37"/>
      <c r="D70" s="53">
        <f aca="true" t="shared" si="51" ref="D70:I70">D62-D67</f>
        <v>22330.425</v>
      </c>
      <c r="E70" s="53">
        <f t="shared" si="51"/>
        <v>106755.175</v>
      </c>
      <c r="F70" s="53">
        <f t="shared" si="51"/>
        <v>166917.44126299027</v>
      </c>
      <c r="G70" s="53">
        <f t="shared" si="51"/>
        <v>182713.67545090656</v>
      </c>
      <c r="H70" s="53">
        <f t="shared" si="51"/>
        <v>398125.3286656818</v>
      </c>
      <c r="I70" s="53">
        <f t="shared" si="51"/>
        <v>450960.0812576426</v>
      </c>
      <c r="J70" s="53">
        <f aca="true" t="shared" si="52" ref="J70:O70">J62-J67</f>
        <v>490725.8963496034</v>
      </c>
      <c r="K70" s="53">
        <f t="shared" si="52"/>
        <v>461814.39494156424</v>
      </c>
      <c r="L70" s="53">
        <f t="shared" si="52"/>
        <v>432902.89353352506</v>
      </c>
      <c r="M70" s="53">
        <f t="shared" si="52"/>
        <v>403991.3921254859</v>
      </c>
      <c r="N70" s="53">
        <f t="shared" si="52"/>
        <v>375079.8907174467</v>
      </c>
      <c r="O70" s="53">
        <f t="shared" si="52"/>
        <v>346168.3893094075</v>
      </c>
      <c r="P70" s="53">
        <f>P62-P67</f>
        <v>317256.8879013683</v>
      </c>
      <c r="Q70" s="53">
        <f>Q62-Q67</f>
        <v>288345.38649332913</v>
      </c>
      <c r="R70" s="53">
        <f>R62-R67</f>
        <v>259433.88508528995</v>
      </c>
      <c r="S70" s="53">
        <f>S62-S67</f>
        <v>230522.38367725076</v>
      </c>
      <c r="T70" s="53">
        <f>T62-T67</f>
        <v>201610.88226921158</v>
      </c>
    </row>
    <row r="71" spans="1:20" ht="15.75" thickBot="1">
      <c r="A71" s="70"/>
      <c r="B71" s="37" t="s">
        <v>32</v>
      </c>
      <c r="C71" s="37"/>
      <c r="D71" s="54">
        <f aca="true" t="shared" si="53" ref="D71:I71">SUM(D69:D70)/2</f>
        <v>11165.2125</v>
      </c>
      <c r="E71" s="54">
        <f t="shared" si="53"/>
        <v>64542.8</v>
      </c>
      <c r="F71" s="54">
        <f t="shared" si="53"/>
        <v>136836.30813149514</v>
      </c>
      <c r="G71" s="54">
        <f t="shared" si="53"/>
        <v>174815.55835694843</v>
      </c>
      <c r="H71" s="54">
        <f t="shared" si="53"/>
        <v>290419.5020582942</v>
      </c>
      <c r="I71" s="54">
        <f t="shared" si="53"/>
        <v>424542.7049616622</v>
      </c>
      <c r="J71" s="54">
        <f aca="true" t="shared" si="54" ref="J71:O71">SUM(J69:J70)/2</f>
        <v>470842.988803623</v>
      </c>
      <c r="K71" s="54">
        <f t="shared" si="54"/>
        <v>476270.14564558386</v>
      </c>
      <c r="L71" s="54">
        <f t="shared" si="54"/>
        <v>447358.6442375446</v>
      </c>
      <c r="M71" s="54">
        <f t="shared" si="54"/>
        <v>418447.1428295055</v>
      </c>
      <c r="N71" s="54">
        <f t="shared" si="54"/>
        <v>389535.64142146625</v>
      </c>
      <c r="O71" s="54">
        <f t="shared" si="54"/>
        <v>360624.1400134271</v>
      </c>
      <c r="P71" s="54">
        <f>SUM(P69:P70)/2</f>
        <v>331712.6386053879</v>
      </c>
      <c r="Q71" s="54">
        <f>SUM(Q69:Q70)/2</f>
        <v>302801.13719734875</v>
      </c>
      <c r="R71" s="54">
        <f>SUM(R69:R70)/2</f>
        <v>273889.6357893095</v>
      </c>
      <c r="S71" s="54">
        <f>SUM(S69:S70)/2</f>
        <v>244978.13438127036</v>
      </c>
      <c r="T71" s="54">
        <f>SUM(T69:T70)/2</f>
        <v>216066.63297323117</v>
      </c>
    </row>
    <row r="72" spans="1:8" ht="15">
      <c r="A72" s="70"/>
      <c r="B72" s="37"/>
      <c r="C72" s="37"/>
      <c r="D72" s="38"/>
      <c r="E72" s="38"/>
      <c r="F72" s="38"/>
      <c r="G72" s="38"/>
      <c r="H72" s="38"/>
    </row>
    <row r="73" spans="1:8" ht="15">
      <c r="A73" s="70"/>
      <c r="B73" s="37"/>
      <c r="C73" s="37"/>
      <c r="D73" s="38"/>
      <c r="E73" s="38"/>
      <c r="F73" s="38"/>
      <c r="G73" s="38"/>
      <c r="H73" s="38"/>
    </row>
    <row r="74" spans="1:20" ht="15">
      <c r="A74" s="70"/>
      <c r="B74" s="37"/>
      <c r="C74" s="37"/>
      <c r="D74" s="40">
        <v>2010</v>
      </c>
      <c r="E74" s="40">
        <v>2011</v>
      </c>
      <c r="F74" s="40">
        <v>2012</v>
      </c>
      <c r="G74" s="40">
        <v>2013</v>
      </c>
      <c r="H74" s="40">
        <v>2014</v>
      </c>
      <c r="I74" s="40">
        <v>2015</v>
      </c>
      <c r="J74" s="40">
        <v>2016</v>
      </c>
      <c r="K74" s="40">
        <v>2017</v>
      </c>
      <c r="L74" s="40">
        <v>2018</v>
      </c>
      <c r="M74" s="40">
        <v>2019</v>
      </c>
      <c r="N74" s="40">
        <v>2020</v>
      </c>
      <c r="O74" s="40">
        <v>2021</v>
      </c>
      <c r="P74" s="40">
        <v>2022</v>
      </c>
      <c r="Q74" s="40">
        <v>2023</v>
      </c>
      <c r="R74" s="40">
        <v>2024</v>
      </c>
      <c r="S74" s="40">
        <v>2025</v>
      </c>
      <c r="T74" s="40">
        <v>2026</v>
      </c>
    </row>
    <row r="75" spans="1:8" ht="15">
      <c r="A75" s="70">
        <v>1912</v>
      </c>
      <c r="B75" s="39" t="s">
        <v>55</v>
      </c>
      <c r="C75" s="39"/>
      <c r="D75" s="42"/>
      <c r="E75" s="42"/>
      <c r="F75" s="42"/>
      <c r="G75" s="42"/>
      <c r="H75" s="42"/>
    </row>
    <row r="76" spans="1:8" ht="15">
      <c r="A76" s="70"/>
      <c r="B76" s="37"/>
      <c r="C76" s="37"/>
      <c r="D76" s="38"/>
      <c r="E76" s="38"/>
      <c r="F76" s="38"/>
      <c r="G76" s="38"/>
      <c r="H76" s="38"/>
    </row>
    <row r="77" spans="1:20" ht="15">
      <c r="A77" s="70"/>
      <c r="B77" s="37" t="s">
        <v>26</v>
      </c>
      <c r="C77" s="37"/>
      <c r="D77" s="53">
        <v>0</v>
      </c>
      <c r="E77" s="53">
        <f aca="true" t="shared" si="55" ref="E77:O77">D79</f>
        <v>0</v>
      </c>
      <c r="F77" s="53">
        <f t="shared" si="55"/>
        <v>1873</v>
      </c>
      <c r="G77" s="53">
        <f t="shared" si="55"/>
        <v>1873</v>
      </c>
      <c r="H77" s="53">
        <f t="shared" si="55"/>
        <v>43701.992753426486</v>
      </c>
      <c r="I77" s="53">
        <f t="shared" si="55"/>
        <v>82005.38524976507</v>
      </c>
      <c r="J77" s="53">
        <f t="shared" si="55"/>
        <v>82005.38524976507</v>
      </c>
      <c r="K77" s="53">
        <f t="shared" si="55"/>
        <v>82005.38524976507</v>
      </c>
      <c r="L77" s="53">
        <f t="shared" si="55"/>
        <v>82005.38524976507</v>
      </c>
      <c r="M77" s="53">
        <f t="shared" si="55"/>
        <v>82005.38524976507</v>
      </c>
      <c r="N77" s="53">
        <f t="shared" si="55"/>
        <v>82005.38524976507</v>
      </c>
      <c r="O77" s="53">
        <f t="shared" si="55"/>
        <v>82005.38524976507</v>
      </c>
      <c r="P77" s="53">
        <f>O79</f>
        <v>82005.38524976507</v>
      </c>
      <c r="Q77" s="53">
        <f>P79</f>
        <v>82005.38524976507</v>
      </c>
      <c r="R77" s="53">
        <f>Q79</f>
        <v>82005.38524976507</v>
      </c>
      <c r="S77" s="53">
        <f>R79</f>
        <v>82005.38524976507</v>
      </c>
      <c r="T77" s="53">
        <f>S79</f>
        <v>82005.38524976507</v>
      </c>
    </row>
    <row r="78" spans="1:20" ht="15">
      <c r="A78" s="70"/>
      <c r="B78" s="37" t="s">
        <v>44</v>
      </c>
      <c r="C78" s="37"/>
      <c r="D78" s="46">
        <v>0</v>
      </c>
      <c r="E78" s="46">
        <v>1873</v>
      </c>
      <c r="F78" s="46">
        <v>0</v>
      </c>
      <c r="G78" s="46">
        <v>41828.992753426486</v>
      </c>
      <c r="H78" s="46">
        <v>38303.39249633858</v>
      </c>
      <c r="I78" s="46">
        <v>0</v>
      </c>
      <c r="J78" s="46">
        <v>0</v>
      </c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ht="15">
      <c r="A79" s="70"/>
      <c r="B79" s="37" t="s">
        <v>27</v>
      </c>
      <c r="C79" s="37"/>
      <c r="D79" s="53">
        <f aca="true" t="shared" si="56" ref="D79:I79">SUM(D77:D78)</f>
        <v>0</v>
      </c>
      <c r="E79" s="53">
        <f t="shared" si="56"/>
        <v>1873</v>
      </c>
      <c r="F79" s="53">
        <f t="shared" si="56"/>
        <v>1873</v>
      </c>
      <c r="G79" s="53">
        <f t="shared" si="56"/>
        <v>43701.992753426486</v>
      </c>
      <c r="H79" s="53">
        <f t="shared" si="56"/>
        <v>82005.38524976507</v>
      </c>
      <c r="I79" s="53">
        <f t="shared" si="56"/>
        <v>82005.38524976507</v>
      </c>
      <c r="J79" s="53">
        <f aca="true" t="shared" si="57" ref="J79:O79">SUM(J77:J78)</f>
        <v>82005.38524976507</v>
      </c>
      <c r="K79" s="53">
        <f t="shared" si="57"/>
        <v>82005.38524976507</v>
      </c>
      <c r="L79" s="53">
        <f t="shared" si="57"/>
        <v>82005.38524976507</v>
      </c>
      <c r="M79" s="53">
        <f t="shared" si="57"/>
        <v>82005.38524976507</v>
      </c>
      <c r="N79" s="53">
        <f t="shared" si="57"/>
        <v>82005.38524976507</v>
      </c>
      <c r="O79" s="53">
        <f t="shared" si="57"/>
        <v>82005.38524976507</v>
      </c>
      <c r="P79" s="53">
        <f>SUM(P77:P78)</f>
        <v>82005.38524976507</v>
      </c>
      <c r="Q79" s="53">
        <f>SUM(Q77:Q78)</f>
        <v>82005.38524976507</v>
      </c>
      <c r="R79" s="53">
        <f>SUM(R77:R78)</f>
        <v>82005.38524976507</v>
      </c>
      <c r="S79" s="53">
        <f>SUM(S77:S78)</f>
        <v>82005.38524976507</v>
      </c>
      <c r="T79" s="53">
        <f>SUM(T77:T78)</f>
        <v>82005.38524976507</v>
      </c>
    </row>
    <row r="80" spans="1:8" ht="15">
      <c r="A80" s="70"/>
      <c r="B80" s="37"/>
      <c r="C80" s="37"/>
      <c r="D80" s="45"/>
      <c r="E80" s="45"/>
      <c r="F80" s="45"/>
      <c r="G80" s="45"/>
      <c r="H80" s="38"/>
    </row>
    <row r="81" spans="1:20" ht="15">
      <c r="A81" s="70"/>
      <c r="B81" s="37" t="s">
        <v>28</v>
      </c>
      <c r="C81" s="37"/>
      <c r="D81" s="53">
        <f aca="true" t="shared" si="58" ref="D81:I81">C84</f>
        <v>0</v>
      </c>
      <c r="E81" s="53">
        <f t="shared" si="58"/>
        <v>0</v>
      </c>
      <c r="F81" s="53">
        <f t="shared" si="58"/>
        <v>18.73</v>
      </c>
      <c r="G81" s="53">
        <f t="shared" si="58"/>
        <v>56.19</v>
      </c>
      <c r="H81" s="53">
        <f t="shared" si="58"/>
        <v>511.9399275342648</v>
      </c>
      <c r="I81" s="53">
        <f t="shared" si="58"/>
        <v>1769.0137075661803</v>
      </c>
      <c r="J81" s="53">
        <f aca="true" t="shared" si="59" ref="J81:O81">I84</f>
        <v>3409.1214125614815</v>
      </c>
      <c r="K81" s="53">
        <f t="shared" si="59"/>
        <v>5049.2291175567825</v>
      </c>
      <c r="L81" s="53">
        <f t="shared" si="59"/>
        <v>6689.3368225520835</v>
      </c>
      <c r="M81" s="53">
        <f t="shared" si="59"/>
        <v>8329.444527547384</v>
      </c>
      <c r="N81" s="53">
        <f t="shared" si="59"/>
        <v>9969.552232542686</v>
      </c>
      <c r="O81" s="53">
        <f t="shared" si="59"/>
        <v>11609.659937537988</v>
      </c>
      <c r="P81" s="53">
        <f>O84</f>
        <v>13249.76764253329</v>
      </c>
      <c r="Q81" s="53">
        <f>P84</f>
        <v>14889.875347528592</v>
      </c>
      <c r="R81" s="53">
        <f>Q84</f>
        <v>16529.983052523894</v>
      </c>
      <c r="S81" s="53">
        <f>R84</f>
        <v>18170.090757519196</v>
      </c>
      <c r="T81" s="53">
        <f>S84</f>
        <v>19810.198462514498</v>
      </c>
    </row>
    <row r="82" spans="1:20" ht="15">
      <c r="A82" s="70"/>
      <c r="B82" s="43" t="s">
        <v>45</v>
      </c>
      <c r="C82" s="50">
        <v>50</v>
      </c>
      <c r="D82" s="49">
        <f aca="true" t="shared" si="60" ref="D82:I82">D78/$C82/2</f>
        <v>0</v>
      </c>
      <c r="E82" s="49">
        <f t="shared" si="60"/>
        <v>18.73</v>
      </c>
      <c r="F82" s="49">
        <f t="shared" si="60"/>
        <v>0</v>
      </c>
      <c r="G82" s="49">
        <f t="shared" si="60"/>
        <v>418.28992753426485</v>
      </c>
      <c r="H82" s="49">
        <f t="shared" si="60"/>
        <v>383.0339249633858</v>
      </c>
      <c r="I82" s="49">
        <f t="shared" si="60"/>
        <v>0</v>
      </c>
      <c r="J82" s="49">
        <f aca="true" t="shared" si="61" ref="J82:O82">J78/$C82/2</f>
        <v>0</v>
      </c>
      <c r="K82" s="49">
        <f t="shared" si="61"/>
        <v>0</v>
      </c>
      <c r="L82" s="49">
        <f t="shared" si="61"/>
        <v>0</v>
      </c>
      <c r="M82" s="49">
        <f t="shared" si="61"/>
        <v>0</v>
      </c>
      <c r="N82" s="49">
        <f t="shared" si="61"/>
        <v>0</v>
      </c>
      <c r="O82" s="49">
        <f t="shared" si="61"/>
        <v>0</v>
      </c>
      <c r="P82" s="49">
        <f>P78/$C82/2</f>
        <v>0</v>
      </c>
      <c r="Q82" s="49">
        <f>Q78/$C82/2</f>
        <v>0</v>
      </c>
      <c r="R82" s="49">
        <f>R78/$C82/2</f>
        <v>0</v>
      </c>
      <c r="S82" s="49">
        <f>S78/$C82/2</f>
        <v>0</v>
      </c>
      <c r="T82" s="49">
        <f>T78/$C82/2</f>
        <v>0</v>
      </c>
    </row>
    <row r="83" spans="1:20" ht="15">
      <c r="A83" s="70"/>
      <c r="B83" s="43" t="s">
        <v>46</v>
      </c>
      <c r="C83" s="50">
        <v>50</v>
      </c>
      <c r="D83" s="49">
        <f aca="true" t="shared" si="62" ref="D83:I83">D77/$C83</f>
        <v>0</v>
      </c>
      <c r="E83" s="49">
        <f t="shared" si="62"/>
        <v>0</v>
      </c>
      <c r="F83" s="49">
        <f t="shared" si="62"/>
        <v>37.46</v>
      </c>
      <c r="G83" s="49">
        <f t="shared" si="62"/>
        <v>37.46</v>
      </c>
      <c r="H83" s="49">
        <f t="shared" si="62"/>
        <v>874.0398550685297</v>
      </c>
      <c r="I83" s="49">
        <f t="shared" si="62"/>
        <v>1640.1077049953012</v>
      </c>
      <c r="J83" s="49">
        <f aca="true" t="shared" si="63" ref="J83:O83">J77/$C83</f>
        <v>1640.1077049953012</v>
      </c>
      <c r="K83" s="49">
        <f t="shared" si="63"/>
        <v>1640.1077049953012</v>
      </c>
      <c r="L83" s="49">
        <f t="shared" si="63"/>
        <v>1640.1077049953012</v>
      </c>
      <c r="M83" s="49">
        <f t="shared" si="63"/>
        <v>1640.1077049953012</v>
      </c>
      <c r="N83" s="49">
        <f t="shared" si="63"/>
        <v>1640.1077049953012</v>
      </c>
      <c r="O83" s="49">
        <f t="shared" si="63"/>
        <v>1640.1077049953012</v>
      </c>
      <c r="P83" s="49">
        <f>P77/$C83</f>
        <v>1640.1077049953012</v>
      </c>
      <c r="Q83" s="49">
        <f>Q77/$C83</f>
        <v>1640.1077049953012</v>
      </c>
      <c r="R83" s="49">
        <f>R77/$C83</f>
        <v>1640.1077049953012</v>
      </c>
      <c r="S83" s="49">
        <f>S77/$C83</f>
        <v>1640.1077049953012</v>
      </c>
      <c r="T83" s="49">
        <f>T77/$C83</f>
        <v>1640.1077049953012</v>
      </c>
    </row>
    <row r="84" spans="1:20" ht="15">
      <c r="A84" s="70"/>
      <c r="B84" s="37" t="s">
        <v>29</v>
      </c>
      <c r="C84" s="37"/>
      <c r="D84" s="53">
        <f aca="true" t="shared" si="64" ref="D84:I84">SUM(D81:D83)</f>
        <v>0</v>
      </c>
      <c r="E84" s="53">
        <f t="shared" si="64"/>
        <v>18.73</v>
      </c>
      <c r="F84" s="53">
        <f t="shared" si="64"/>
        <v>56.19</v>
      </c>
      <c r="G84" s="53">
        <f t="shared" si="64"/>
        <v>511.9399275342648</v>
      </c>
      <c r="H84" s="53">
        <f t="shared" si="64"/>
        <v>1769.0137075661803</v>
      </c>
      <c r="I84" s="53">
        <f t="shared" si="64"/>
        <v>3409.1214125614815</v>
      </c>
      <c r="J84" s="53">
        <f aca="true" t="shared" si="65" ref="J84:O84">SUM(J81:J83)</f>
        <v>5049.2291175567825</v>
      </c>
      <c r="K84" s="53">
        <f t="shared" si="65"/>
        <v>6689.3368225520835</v>
      </c>
      <c r="L84" s="53">
        <f t="shared" si="65"/>
        <v>8329.444527547384</v>
      </c>
      <c r="M84" s="53">
        <f t="shared" si="65"/>
        <v>9969.552232542686</v>
      </c>
      <c r="N84" s="53">
        <f t="shared" si="65"/>
        <v>11609.659937537988</v>
      </c>
      <c r="O84" s="53">
        <f t="shared" si="65"/>
        <v>13249.76764253329</v>
      </c>
      <c r="P84" s="53">
        <f>SUM(P81:P83)</f>
        <v>14889.875347528592</v>
      </c>
      <c r="Q84" s="53">
        <f>SUM(Q81:Q83)</f>
        <v>16529.983052523894</v>
      </c>
      <c r="R84" s="53">
        <f>SUM(R81:R83)</f>
        <v>18170.090757519196</v>
      </c>
      <c r="S84" s="53">
        <f>SUM(S81:S83)</f>
        <v>19810.198462514498</v>
      </c>
      <c r="T84" s="53">
        <f>SUM(T81:T83)</f>
        <v>21450.3061675098</v>
      </c>
    </row>
    <row r="85" spans="1:20" ht="15">
      <c r="A85" s="70"/>
      <c r="B85" s="37"/>
      <c r="C85" s="3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">
      <c r="A86" s="70"/>
      <c r="B86" s="37" t="s">
        <v>30</v>
      </c>
      <c r="C86" s="37"/>
      <c r="D86" s="38">
        <f aca="true" t="shared" si="66" ref="D86:I86">D77-D81</f>
        <v>0</v>
      </c>
      <c r="E86" s="38">
        <f t="shared" si="66"/>
        <v>0</v>
      </c>
      <c r="F86" s="38">
        <f t="shared" si="66"/>
        <v>1854.27</v>
      </c>
      <c r="G86" s="38">
        <f t="shared" si="66"/>
        <v>1816.81</v>
      </c>
      <c r="H86" s="38">
        <f t="shared" si="66"/>
        <v>43190.05282589222</v>
      </c>
      <c r="I86" s="38">
        <f t="shared" si="66"/>
        <v>80236.37154219889</v>
      </c>
      <c r="J86" s="38">
        <f aca="true" t="shared" si="67" ref="J86:O86">J77-J81</f>
        <v>78596.26383720359</v>
      </c>
      <c r="K86" s="38">
        <f t="shared" si="67"/>
        <v>76956.15613220829</v>
      </c>
      <c r="L86" s="38">
        <f t="shared" si="67"/>
        <v>75316.04842721298</v>
      </c>
      <c r="M86" s="38">
        <f t="shared" si="67"/>
        <v>73675.94072221768</v>
      </c>
      <c r="N86" s="38">
        <f t="shared" si="67"/>
        <v>72035.83301722238</v>
      </c>
      <c r="O86" s="38">
        <f t="shared" si="67"/>
        <v>70395.72531222708</v>
      </c>
      <c r="P86" s="38">
        <f>P77-P81</f>
        <v>68755.61760723178</v>
      </c>
      <c r="Q86" s="38">
        <f>Q77-Q81</f>
        <v>67115.50990223647</v>
      </c>
      <c r="R86" s="38">
        <f>R77-R81</f>
        <v>65475.40219724117</v>
      </c>
      <c r="S86" s="38">
        <f>S77-S81</f>
        <v>63835.29449224587</v>
      </c>
      <c r="T86" s="38">
        <f>T77-T81</f>
        <v>62195.18678725057</v>
      </c>
    </row>
    <row r="87" spans="1:20" ht="15">
      <c r="A87" s="70"/>
      <c r="B87" s="37" t="s">
        <v>31</v>
      </c>
      <c r="C87" s="37"/>
      <c r="D87" s="53">
        <f aca="true" t="shared" si="68" ref="D87:I87">D79-D84</f>
        <v>0</v>
      </c>
      <c r="E87" s="53">
        <f t="shared" si="68"/>
        <v>1854.27</v>
      </c>
      <c r="F87" s="53">
        <f t="shared" si="68"/>
        <v>1816.81</v>
      </c>
      <c r="G87" s="53">
        <f t="shared" si="68"/>
        <v>43190.05282589222</v>
      </c>
      <c r="H87" s="53">
        <f t="shared" si="68"/>
        <v>80236.37154219889</v>
      </c>
      <c r="I87" s="53">
        <f t="shared" si="68"/>
        <v>78596.26383720359</v>
      </c>
      <c r="J87" s="53">
        <f aca="true" t="shared" si="69" ref="J87:O87">J79-J84</f>
        <v>76956.15613220829</v>
      </c>
      <c r="K87" s="53">
        <f t="shared" si="69"/>
        <v>75316.04842721298</v>
      </c>
      <c r="L87" s="53">
        <f t="shared" si="69"/>
        <v>73675.94072221768</v>
      </c>
      <c r="M87" s="53">
        <f t="shared" si="69"/>
        <v>72035.83301722238</v>
      </c>
      <c r="N87" s="53">
        <f t="shared" si="69"/>
        <v>70395.72531222708</v>
      </c>
      <c r="O87" s="53">
        <f t="shared" si="69"/>
        <v>68755.61760723178</v>
      </c>
      <c r="P87" s="53">
        <f>P79-P84</f>
        <v>67115.50990223647</v>
      </c>
      <c r="Q87" s="53">
        <f>Q79-Q84</f>
        <v>65475.40219724117</v>
      </c>
      <c r="R87" s="53">
        <f>R79-R84</f>
        <v>63835.29449224587</v>
      </c>
      <c r="S87" s="53">
        <f>S79-S84</f>
        <v>62195.18678725057</v>
      </c>
      <c r="T87" s="53">
        <f>T79-T84</f>
        <v>60555.079082255266</v>
      </c>
    </row>
    <row r="88" spans="1:20" ht="15.75" thickBot="1">
      <c r="A88" s="70"/>
      <c r="B88" s="37" t="s">
        <v>32</v>
      </c>
      <c r="C88" s="37"/>
      <c r="D88" s="54">
        <f aca="true" t="shared" si="70" ref="D88:I88">SUM(D86:D87)/2</f>
        <v>0</v>
      </c>
      <c r="E88" s="54">
        <f t="shared" si="70"/>
        <v>927.135</v>
      </c>
      <c r="F88" s="54">
        <f t="shared" si="70"/>
        <v>1835.54</v>
      </c>
      <c r="G88" s="54">
        <f t="shared" si="70"/>
        <v>22503.43141294611</v>
      </c>
      <c r="H88" s="54">
        <f t="shared" si="70"/>
        <v>61713.21218404555</v>
      </c>
      <c r="I88" s="54">
        <f t="shared" si="70"/>
        <v>79416.31768970125</v>
      </c>
      <c r="J88" s="54">
        <f aca="true" t="shared" si="71" ref="J88:O88">SUM(J86:J87)/2</f>
        <v>77776.20998470593</v>
      </c>
      <c r="K88" s="54">
        <f t="shared" si="71"/>
        <v>76136.10227971064</v>
      </c>
      <c r="L88" s="54">
        <f t="shared" si="71"/>
        <v>74495.99457471533</v>
      </c>
      <c r="M88" s="54">
        <f t="shared" si="71"/>
        <v>72855.88686972004</v>
      </c>
      <c r="N88" s="54">
        <f t="shared" si="71"/>
        <v>71215.77916472472</v>
      </c>
      <c r="O88" s="54">
        <f t="shared" si="71"/>
        <v>69575.67145972943</v>
      </c>
      <c r="P88" s="54">
        <f>SUM(P86:P87)/2</f>
        <v>67935.56375473412</v>
      </c>
      <c r="Q88" s="54">
        <f>SUM(Q86:Q87)/2</f>
        <v>66295.45604973883</v>
      </c>
      <c r="R88" s="54">
        <f>SUM(R86:R87)/2</f>
        <v>64655.34834474352</v>
      </c>
      <c r="S88" s="54">
        <f>SUM(S86:S87)/2</f>
        <v>63015.24063974822</v>
      </c>
      <c r="T88" s="54">
        <f>SUM(T86:T87)/2</f>
        <v>61375.13293475292</v>
      </c>
    </row>
    <row r="89" spans="1:8" ht="15">
      <c r="A89" s="70"/>
      <c r="B89" s="37"/>
      <c r="C89" s="37"/>
      <c r="D89" s="38"/>
      <c r="E89" s="38"/>
      <c r="F89" s="38"/>
      <c r="G89" s="38"/>
      <c r="H89" s="38"/>
    </row>
    <row r="90" spans="1:8" ht="15">
      <c r="A90" s="70"/>
      <c r="B90" s="37"/>
      <c r="C90" s="37"/>
      <c r="D90" s="38"/>
      <c r="E90" s="38"/>
      <c r="F90" s="38"/>
      <c r="G90" s="38"/>
      <c r="H90" s="38"/>
    </row>
    <row r="91" spans="1:20" ht="15">
      <c r="A91" s="70"/>
      <c r="B91" s="37"/>
      <c r="C91" s="37"/>
      <c r="D91" s="40">
        <v>2010</v>
      </c>
      <c r="E91" s="40">
        <v>2011</v>
      </c>
      <c r="F91" s="40">
        <v>2012</v>
      </c>
      <c r="G91" s="40">
        <v>2013</v>
      </c>
      <c r="H91" s="40">
        <v>2014</v>
      </c>
      <c r="I91" s="40">
        <v>2015</v>
      </c>
      <c r="J91" s="40">
        <v>2016</v>
      </c>
      <c r="K91" s="40">
        <v>2017</v>
      </c>
      <c r="L91" s="40">
        <v>2018</v>
      </c>
      <c r="M91" s="40">
        <v>2019</v>
      </c>
      <c r="N91" s="40">
        <v>2020</v>
      </c>
      <c r="O91" s="40">
        <v>2021</v>
      </c>
      <c r="P91" s="40">
        <v>2022</v>
      </c>
      <c r="Q91" s="40">
        <v>2023</v>
      </c>
      <c r="R91" s="40">
        <v>2024</v>
      </c>
      <c r="S91" s="40">
        <v>2025</v>
      </c>
      <c r="T91" s="40">
        <v>2026</v>
      </c>
    </row>
    <row r="92" spans="1:8" ht="15">
      <c r="A92" s="70">
        <v>1845</v>
      </c>
      <c r="B92" s="39" t="s">
        <v>63</v>
      </c>
      <c r="C92" s="39"/>
      <c r="D92" s="42"/>
      <c r="E92" s="42"/>
      <c r="F92" s="42"/>
      <c r="G92" s="42"/>
      <c r="H92" s="42"/>
    </row>
    <row r="93" spans="1:8" ht="15">
      <c r="A93" s="70"/>
      <c r="B93" s="37"/>
      <c r="C93" s="37"/>
      <c r="D93" s="38"/>
      <c r="E93" s="38"/>
      <c r="F93" s="38"/>
      <c r="G93" s="38"/>
      <c r="H93" s="38"/>
    </row>
    <row r="94" spans="1:20" ht="15">
      <c r="A94" s="70"/>
      <c r="B94" s="37" t="s">
        <v>26</v>
      </c>
      <c r="C94" s="37"/>
      <c r="D94" s="53">
        <v>0</v>
      </c>
      <c r="E94" s="53">
        <f aca="true" t="shared" si="72" ref="E94:O94">D96</f>
        <v>0</v>
      </c>
      <c r="F94" s="53">
        <f t="shared" si="72"/>
        <v>9992</v>
      </c>
      <c r="G94" s="53">
        <f t="shared" si="72"/>
        <v>132441.4456899325</v>
      </c>
      <c r="H94" s="53">
        <f t="shared" si="72"/>
        <v>355529.40704154037</v>
      </c>
      <c r="I94" s="53">
        <f t="shared" si="72"/>
        <v>490750.421222013</v>
      </c>
      <c r="J94" s="53">
        <f t="shared" si="72"/>
        <v>490750.421222013</v>
      </c>
      <c r="K94" s="53">
        <f t="shared" si="72"/>
        <v>490750.421222013</v>
      </c>
      <c r="L94" s="53">
        <f t="shared" si="72"/>
        <v>490750.421222013</v>
      </c>
      <c r="M94" s="53">
        <f t="shared" si="72"/>
        <v>490750.421222013</v>
      </c>
      <c r="N94" s="53">
        <f t="shared" si="72"/>
        <v>490750.421222013</v>
      </c>
      <c r="O94" s="53">
        <f t="shared" si="72"/>
        <v>490750.421222013</v>
      </c>
      <c r="P94" s="53">
        <f>O96</f>
        <v>490750.421222013</v>
      </c>
      <c r="Q94" s="53">
        <f>P96</f>
        <v>490750.421222013</v>
      </c>
      <c r="R94" s="53">
        <f>Q96</f>
        <v>490750.421222013</v>
      </c>
      <c r="S94" s="53">
        <f>R96</f>
        <v>490750.421222013</v>
      </c>
      <c r="T94" s="53">
        <f>S96</f>
        <v>490750.421222013</v>
      </c>
    </row>
    <row r="95" spans="1:20" ht="15">
      <c r="A95" s="70"/>
      <c r="B95" s="37" t="s">
        <v>44</v>
      </c>
      <c r="C95" s="37"/>
      <c r="D95" s="46">
        <v>0</v>
      </c>
      <c r="E95" s="46">
        <v>9992</v>
      </c>
      <c r="F95" s="46">
        <v>122449.44568993252</v>
      </c>
      <c r="G95" s="46">
        <v>223087.9613516079</v>
      </c>
      <c r="H95" s="46">
        <v>135221.01418047264</v>
      </c>
      <c r="I95" s="46">
        <v>0</v>
      </c>
      <c r="J95" s="46">
        <v>0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5">
      <c r="A96" s="70"/>
      <c r="B96" s="37" t="s">
        <v>27</v>
      </c>
      <c r="C96" s="37"/>
      <c r="D96" s="53">
        <f aca="true" t="shared" si="73" ref="D96:I96">SUM(D94:D95)</f>
        <v>0</v>
      </c>
      <c r="E96" s="53">
        <f t="shared" si="73"/>
        <v>9992</v>
      </c>
      <c r="F96" s="53">
        <f t="shared" si="73"/>
        <v>132441.4456899325</v>
      </c>
      <c r="G96" s="53">
        <f t="shared" si="73"/>
        <v>355529.40704154037</v>
      </c>
      <c r="H96" s="53">
        <f t="shared" si="73"/>
        <v>490750.421222013</v>
      </c>
      <c r="I96" s="53">
        <f t="shared" si="73"/>
        <v>490750.421222013</v>
      </c>
      <c r="J96" s="53">
        <f aca="true" t="shared" si="74" ref="J96:O96">SUM(J94:J95)</f>
        <v>490750.421222013</v>
      </c>
      <c r="K96" s="53">
        <f t="shared" si="74"/>
        <v>490750.421222013</v>
      </c>
      <c r="L96" s="53">
        <f t="shared" si="74"/>
        <v>490750.421222013</v>
      </c>
      <c r="M96" s="53">
        <f t="shared" si="74"/>
        <v>490750.421222013</v>
      </c>
      <c r="N96" s="53">
        <f t="shared" si="74"/>
        <v>490750.421222013</v>
      </c>
      <c r="O96" s="53">
        <f t="shared" si="74"/>
        <v>490750.421222013</v>
      </c>
      <c r="P96" s="53">
        <f>SUM(P94:P95)</f>
        <v>490750.421222013</v>
      </c>
      <c r="Q96" s="53">
        <f>SUM(Q94:Q95)</f>
        <v>490750.421222013</v>
      </c>
      <c r="R96" s="53">
        <f>SUM(R94:R95)</f>
        <v>490750.421222013</v>
      </c>
      <c r="S96" s="53">
        <f>SUM(S94:S95)</f>
        <v>490750.421222013</v>
      </c>
      <c r="T96" s="53">
        <f>SUM(T94:T95)</f>
        <v>490750.421222013</v>
      </c>
    </row>
    <row r="97" spans="1:8" ht="15">
      <c r="A97" s="70"/>
      <c r="B97" s="37"/>
      <c r="C97" s="37"/>
      <c r="D97" s="45"/>
      <c r="E97" s="45"/>
      <c r="F97" s="45"/>
      <c r="G97" s="45"/>
      <c r="H97" s="38"/>
    </row>
    <row r="98" spans="1:20" ht="15">
      <c r="A98" s="70"/>
      <c r="B98" s="37" t="s">
        <v>28</v>
      </c>
      <c r="C98" s="37"/>
      <c r="D98" s="53">
        <v>0</v>
      </c>
      <c r="E98" s="53">
        <f aca="true" t="shared" si="75" ref="E98:O98">D101</f>
        <v>0</v>
      </c>
      <c r="F98" s="53">
        <f t="shared" si="75"/>
        <v>111.02222222222223</v>
      </c>
      <c r="G98" s="53">
        <f t="shared" si="75"/>
        <v>1693.6160632214724</v>
      </c>
      <c r="H98" s="53">
        <f t="shared" si="75"/>
        <v>7115.514426904505</v>
      </c>
      <c r="I98" s="53">
        <f t="shared" si="75"/>
        <v>16518.623629832873</v>
      </c>
      <c r="J98" s="53">
        <f t="shared" si="75"/>
        <v>27424.18854587761</v>
      </c>
      <c r="K98" s="53">
        <f t="shared" si="75"/>
        <v>38329.753461922344</v>
      </c>
      <c r="L98" s="53">
        <f t="shared" si="75"/>
        <v>49235.31837796708</v>
      </c>
      <c r="M98" s="53">
        <f t="shared" si="75"/>
        <v>60140.883294011815</v>
      </c>
      <c r="N98" s="53">
        <f t="shared" si="75"/>
        <v>71046.44821005655</v>
      </c>
      <c r="O98" s="53">
        <f t="shared" si="75"/>
        <v>81952.01312610129</v>
      </c>
      <c r="P98" s="53">
        <f>O101</f>
        <v>92857.57804214602</v>
      </c>
      <c r="Q98" s="53">
        <f>P101</f>
        <v>103763.14295819076</v>
      </c>
      <c r="R98" s="53">
        <f>Q101</f>
        <v>114668.7078742355</v>
      </c>
      <c r="S98" s="53">
        <f>R101</f>
        <v>125574.27279028023</v>
      </c>
      <c r="T98" s="53">
        <f>S101</f>
        <v>136479.83770632496</v>
      </c>
    </row>
    <row r="99" spans="1:20" ht="15">
      <c r="A99" s="70"/>
      <c r="B99" s="43" t="s">
        <v>45</v>
      </c>
      <c r="C99" s="50">
        <v>45</v>
      </c>
      <c r="D99" s="49">
        <f aca="true" t="shared" si="76" ref="D99:I99">D95/$C99/2</f>
        <v>0</v>
      </c>
      <c r="E99" s="49">
        <f t="shared" si="76"/>
        <v>111.02222222222223</v>
      </c>
      <c r="F99" s="49">
        <f t="shared" si="76"/>
        <v>1360.5493965548058</v>
      </c>
      <c r="G99" s="49">
        <f t="shared" si="76"/>
        <v>2478.755126128977</v>
      </c>
      <c r="H99" s="49">
        <f t="shared" si="76"/>
        <v>1502.4557131163626</v>
      </c>
      <c r="I99" s="49">
        <f t="shared" si="76"/>
        <v>0</v>
      </c>
      <c r="J99" s="49">
        <f aca="true" t="shared" si="77" ref="J99:O99">J95/$C99/2</f>
        <v>0</v>
      </c>
      <c r="K99" s="49">
        <f t="shared" si="77"/>
        <v>0</v>
      </c>
      <c r="L99" s="49">
        <f t="shared" si="77"/>
        <v>0</v>
      </c>
      <c r="M99" s="49">
        <f t="shared" si="77"/>
        <v>0</v>
      </c>
      <c r="N99" s="49">
        <f t="shared" si="77"/>
        <v>0</v>
      </c>
      <c r="O99" s="49">
        <f t="shared" si="77"/>
        <v>0</v>
      </c>
      <c r="P99" s="49">
        <f>P95/$C99/2</f>
        <v>0</v>
      </c>
      <c r="Q99" s="49">
        <f>Q95/$C99/2</f>
        <v>0</v>
      </c>
      <c r="R99" s="49">
        <f>R95/$C99/2</f>
        <v>0</v>
      </c>
      <c r="S99" s="49">
        <f>S95/$C99/2</f>
        <v>0</v>
      </c>
      <c r="T99" s="49">
        <f>T95/$C99/2</f>
        <v>0</v>
      </c>
    </row>
    <row r="100" spans="1:20" ht="15">
      <c r="A100" s="70"/>
      <c r="B100" s="43" t="s">
        <v>46</v>
      </c>
      <c r="C100" s="50">
        <v>45</v>
      </c>
      <c r="D100" s="49">
        <f aca="true" t="shared" si="78" ref="D100:I100">D94/$C100</f>
        <v>0</v>
      </c>
      <c r="E100" s="49">
        <f t="shared" si="78"/>
        <v>0</v>
      </c>
      <c r="F100" s="49">
        <f t="shared" si="78"/>
        <v>222.04444444444445</v>
      </c>
      <c r="G100" s="49">
        <f t="shared" si="78"/>
        <v>2943.1432375540558</v>
      </c>
      <c r="H100" s="49">
        <f t="shared" si="78"/>
        <v>7900.653489812008</v>
      </c>
      <c r="I100" s="49">
        <f t="shared" si="78"/>
        <v>10905.564916044734</v>
      </c>
      <c r="J100" s="49">
        <f aca="true" t="shared" si="79" ref="J100:O100">J94/$C100</f>
        <v>10905.564916044734</v>
      </c>
      <c r="K100" s="49">
        <f t="shared" si="79"/>
        <v>10905.564916044734</v>
      </c>
      <c r="L100" s="49">
        <f t="shared" si="79"/>
        <v>10905.564916044734</v>
      </c>
      <c r="M100" s="49">
        <f t="shared" si="79"/>
        <v>10905.564916044734</v>
      </c>
      <c r="N100" s="49">
        <f t="shared" si="79"/>
        <v>10905.564916044734</v>
      </c>
      <c r="O100" s="49">
        <f t="shared" si="79"/>
        <v>10905.564916044734</v>
      </c>
      <c r="P100" s="49">
        <f>P94/$C100</f>
        <v>10905.564916044734</v>
      </c>
      <c r="Q100" s="49">
        <f>Q94/$C100</f>
        <v>10905.564916044734</v>
      </c>
      <c r="R100" s="49">
        <f>R94/$C100</f>
        <v>10905.564916044734</v>
      </c>
      <c r="S100" s="49">
        <f>S94/$C100</f>
        <v>10905.564916044734</v>
      </c>
      <c r="T100" s="49">
        <f>T94/$C100</f>
        <v>10905.564916044734</v>
      </c>
    </row>
    <row r="101" spans="1:20" ht="15">
      <c r="A101" s="70"/>
      <c r="B101" s="37" t="s">
        <v>29</v>
      </c>
      <c r="C101" s="37"/>
      <c r="D101" s="53">
        <f aca="true" t="shared" si="80" ref="D101:I101">SUM(D98:D100)</f>
        <v>0</v>
      </c>
      <c r="E101" s="53">
        <f t="shared" si="80"/>
        <v>111.02222222222223</v>
      </c>
      <c r="F101" s="53">
        <f t="shared" si="80"/>
        <v>1693.6160632214724</v>
      </c>
      <c r="G101" s="53">
        <f t="shared" si="80"/>
        <v>7115.514426904505</v>
      </c>
      <c r="H101" s="53">
        <f t="shared" si="80"/>
        <v>16518.623629832873</v>
      </c>
      <c r="I101" s="53">
        <f t="shared" si="80"/>
        <v>27424.18854587761</v>
      </c>
      <c r="J101" s="53">
        <f aca="true" t="shared" si="81" ref="J101:O101">SUM(J98:J100)</f>
        <v>38329.753461922344</v>
      </c>
      <c r="K101" s="53">
        <f t="shared" si="81"/>
        <v>49235.31837796708</v>
      </c>
      <c r="L101" s="53">
        <f t="shared" si="81"/>
        <v>60140.883294011815</v>
      </c>
      <c r="M101" s="53">
        <f t="shared" si="81"/>
        <v>71046.44821005655</v>
      </c>
      <c r="N101" s="53">
        <f t="shared" si="81"/>
        <v>81952.01312610129</v>
      </c>
      <c r="O101" s="53">
        <f t="shared" si="81"/>
        <v>92857.57804214602</v>
      </c>
      <c r="P101" s="53">
        <f>SUM(P98:P100)</f>
        <v>103763.14295819076</v>
      </c>
      <c r="Q101" s="53">
        <f>SUM(Q98:Q100)</f>
        <v>114668.7078742355</v>
      </c>
      <c r="R101" s="53">
        <f>SUM(R98:R100)</f>
        <v>125574.27279028023</v>
      </c>
      <c r="S101" s="53">
        <f>SUM(S98:S100)</f>
        <v>136479.83770632496</v>
      </c>
      <c r="T101" s="53">
        <f>SUM(T98:T100)</f>
        <v>147385.4026223697</v>
      </c>
    </row>
    <row r="102" spans="1:20" ht="15">
      <c r="A102" s="70"/>
      <c r="B102" s="37"/>
      <c r="C102" s="37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1:20" ht="15">
      <c r="A103" s="70"/>
      <c r="B103" s="37" t="s">
        <v>30</v>
      </c>
      <c r="C103" s="37"/>
      <c r="D103" s="38">
        <f aca="true" t="shared" si="82" ref="D103:I103">D94-D98</f>
        <v>0</v>
      </c>
      <c r="E103" s="38">
        <f t="shared" si="82"/>
        <v>0</v>
      </c>
      <c r="F103" s="38">
        <f t="shared" si="82"/>
        <v>9880.977777777778</v>
      </c>
      <c r="G103" s="38">
        <f t="shared" si="82"/>
        <v>130747.82962671103</v>
      </c>
      <c r="H103" s="38">
        <f t="shared" si="82"/>
        <v>348413.8926146359</v>
      </c>
      <c r="I103" s="38">
        <f t="shared" si="82"/>
        <v>474231.79759218014</v>
      </c>
      <c r="J103" s="38">
        <f aca="true" t="shared" si="83" ref="J103:O103">J94-J98</f>
        <v>463326.2326761354</v>
      </c>
      <c r="K103" s="38">
        <f t="shared" si="83"/>
        <v>452420.66776009067</v>
      </c>
      <c r="L103" s="38">
        <f t="shared" si="83"/>
        <v>441515.10284404596</v>
      </c>
      <c r="M103" s="38">
        <f t="shared" si="83"/>
        <v>430609.5379280012</v>
      </c>
      <c r="N103" s="38">
        <f t="shared" si="83"/>
        <v>419703.97301195643</v>
      </c>
      <c r="O103" s="38">
        <f t="shared" si="83"/>
        <v>408798.4080959117</v>
      </c>
      <c r="P103" s="38">
        <f>P94-P98</f>
        <v>397892.843179867</v>
      </c>
      <c r="Q103" s="38">
        <f>Q94-Q98</f>
        <v>386987.27826382226</v>
      </c>
      <c r="R103" s="38">
        <f>R94-R98</f>
        <v>376081.7133477775</v>
      </c>
      <c r="S103" s="38">
        <f>S94-S98</f>
        <v>365176.1484317328</v>
      </c>
      <c r="T103" s="38">
        <f>T94-T98</f>
        <v>354270.5835156881</v>
      </c>
    </row>
    <row r="104" spans="1:20" ht="15">
      <c r="A104" s="70"/>
      <c r="B104" s="37" t="s">
        <v>31</v>
      </c>
      <c r="C104" s="37"/>
      <c r="D104" s="53">
        <f aca="true" t="shared" si="84" ref="D104:I104">D96-D101</f>
        <v>0</v>
      </c>
      <c r="E104" s="53">
        <f t="shared" si="84"/>
        <v>9880.977777777778</v>
      </c>
      <c r="F104" s="53">
        <f t="shared" si="84"/>
        <v>130747.82962671103</v>
      </c>
      <c r="G104" s="53">
        <f t="shared" si="84"/>
        <v>348413.8926146359</v>
      </c>
      <c r="H104" s="53">
        <f t="shared" si="84"/>
        <v>474231.79759218014</v>
      </c>
      <c r="I104" s="53">
        <f t="shared" si="84"/>
        <v>463326.2326761354</v>
      </c>
      <c r="J104" s="53">
        <f aca="true" t="shared" si="85" ref="J104:O104">J96-J101</f>
        <v>452420.66776009067</v>
      </c>
      <c r="K104" s="53">
        <f t="shared" si="85"/>
        <v>441515.10284404596</v>
      </c>
      <c r="L104" s="53">
        <f t="shared" si="85"/>
        <v>430609.5379280012</v>
      </c>
      <c r="M104" s="53">
        <f t="shared" si="85"/>
        <v>419703.97301195643</v>
      </c>
      <c r="N104" s="53">
        <f t="shared" si="85"/>
        <v>408798.4080959117</v>
      </c>
      <c r="O104" s="53">
        <f t="shared" si="85"/>
        <v>397892.843179867</v>
      </c>
      <c r="P104" s="53">
        <f>P96-P101</f>
        <v>386987.27826382226</v>
      </c>
      <c r="Q104" s="53">
        <f>Q96-Q101</f>
        <v>376081.7133477775</v>
      </c>
      <c r="R104" s="53">
        <f>R96-R101</f>
        <v>365176.1484317328</v>
      </c>
      <c r="S104" s="53">
        <f>S96-S101</f>
        <v>354270.5835156881</v>
      </c>
      <c r="T104" s="53">
        <f>T96-T101</f>
        <v>343365.0185996433</v>
      </c>
    </row>
    <row r="105" spans="1:20" ht="15.75" thickBot="1">
      <c r="A105" s="70"/>
      <c r="B105" s="37" t="s">
        <v>32</v>
      </c>
      <c r="C105" s="37"/>
      <c r="D105" s="54">
        <f aca="true" t="shared" si="86" ref="D105:I105">SUM(D103:D104)/2</f>
        <v>0</v>
      </c>
      <c r="E105" s="54">
        <f t="shared" si="86"/>
        <v>4940.488888888889</v>
      </c>
      <c r="F105" s="54">
        <f t="shared" si="86"/>
        <v>70314.4037022444</v>
      </c>
      <c r="G105" s="54">
        <f t="shared" si="86"/>
        <v>239580.86112067345</v>
      </c>
      <c r="H105" s="54">
        <f t="shared" si="86"/>
        <v>411322.845103408</v>
      </c>
      <c r="I105" s="54">
        <f t="shared" si="86"/>
        <v>468779.01513415773</v>
      </c>
      <c r="J105" s="54">
        <f aca="true" t="shared" si="87" ref="J105:O105">SUM(J103:J104)/2</f>
        <v>457873.450218113</v>
      </c>
      <c r="K105" s="54">
        <f t="shared" si="87"/>
        <v>446967.8853020683</v>
      </c>
      <c r="L105" s="54">
        <f t="shared" si="87"/>
        <v>436062.3203860236</v>
      </c>
      <c r="M105" s="54">
        <f t="shared" si="87"/>
        <v>425156.7554699788</v>
      </c>
      <c r="N105" s="54">
        <f t="shared" si="87"/>
        <v>414251.1905539341</v>
      </c>
      <c r="O105" s="54">
        <f t="shared" si="87"/>
        <v>403345.6256378894</v>
      </c>
      <c r="P105" s="54">
        <f>SUM(P103:P104)/2</f>
        <v>392440.06072184467</v>
      </c>
      <c r="Q105" s="54">
        <f>SUM(Q103:Q104)/2</f>
        <v>381534.49580579984</v>
      </c>
      <c r="R105" s="54">
        <f>SUM(R103:R104)/2</f>
        <v>370628.93088975514</v>
      </c>
      <c r="S105" s="54">
        <f>SUM(S103:S104)/2</f>
        <v>359723.36597371043</v>
      </c>
      <c r="T105" s="54">
        <f>SUM(T103:T104)/2</f>
        <v>348817.8010576657</v>
      </c>
    </row>
    <row r="106" spans="1:20" ht="15">
      <c r="A106" s="70"/>
      <c r="B106" s="37"/>
      <c r="C106" s="37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</row>
    <row r="107" spans="1:20" ht="15">
      <c r="A107" s="70"/>
      <c r="B107" s="39" t="s">
        <v>65</v>
      </c>
      <c r="C107" s="37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</row>
    <row r="108" spans="1:20" s="68" customFormat="1" ht="15">
      <c r="A108" s="70"/>
      <c r="B108" s="72" t="s">
        <v>61</v>
      </c>
      <c r="C108" s="39"/>
      <c r="D108" s="73">
        <f>+D10+D27+D44+D61+D78+D95</f>
        <v>82100</v>
      </c>
      <c r="E108" s="73">
        <f aca="true" t="shared" si="88" ref="E108:N108">+E10+E27+E44+E61+E78+E95</f>
        <v>411229</v>
      </c>
      <c r="F108" s="73">
        <f t="shared" si="88"/>
        <v>603949.0599999999</v>
      </c>
      <c r="G108" s="73">
        <f t="shared" si="88"/>
        <v>739672.6614</v>
      </c>
      <c r="H108" s="73">
        <f t="shared" si="88"/>
        <v>1053921.6398581997</v>
      </c>
      <c r="I108" s="73">
        <f t="shared" si="88"/>
        <v>76484.04</v>
      </c>
      <c r="J108" s="73">
        <f t="shared" si="88"/>
        <v>67002.26</v>
      </c>
      <c r="K108" s="73">
        <f t="shared" si="88"/>
        <v>0</v>
      </c>
      <c r="L108" s="73">
        <f t="shared" si="88"/>
        <v>0</v>
      </c>
      <c r="M108" s="73">
        <f t="shared" si="88"/>
        <v>0</v>
      </c>
      <c r="N108" s="73">
        <f t="shared" si="88"/>
        <v>0</v>
      </c>
      <c r="O108" s="73">
        <f>+O10+O27+O44+O61+O78+O95</f>
        <v>0</v>
      </c>
      <c r="P108" s="73">
        <f>+P10+P27+P44+P61+P78+P95</f>
        <v>0</v>
      </c>
      <c r="Q108" s="73">
        <f>+Q10+Q27+Q44+Q61+Q78+Q95</f>
        <v>0</v>
      </c>
      <c r="R108" s="73">
        <f>+R10+R27+R44+R61+R78+R95</f>
        <v>0</v>
      </c>
      <c r="S108" s="73">
        <f>+S10+S27+S44+S61+S78+S95</f>
        <v>0</v>
      </c>
      <c r="T108" s="73">
        <f>+T10+T27+T44+T61+T78+T95</f>
        <v>0</v>
      </c>
    </row>
    <row r="109" spans="1:20" s="68" customFormat="1" ht="15">
      <c r="A109" s="70"/>
      <c r="B109" s="72" t="s">
        <v>32</v>
      </c>
      <c r="C109" s="39"/>
      <c r="D109" s="73">
        <f aca="true" t="shared" si="89" ref="D109:I109">D20+D37+D54+D71+D88+D105</f>
        <v>40059.65833333333</v>
      </c>
      <c r="E109" s="73">
        <f t="shared" si="89"/>
        <v>275565.7051388889</v>
      </c>
      <c r="F109" s="73">
        <f t="shared" si="89"/>
        <v>747920.5063328353</v>
      </c>
      <c r="G109" s="73">
        <f>G20+G37+G54+G71+G88+G105</f>
        <v>1357994.434395506</v>
      </c>
      <c r="H109" s="73">
        <f t="shared" si="89"/>
        <v>2165791.3514678655</v>
      </c>
      <c r="I109" s="73">
        <f t="shared" si="89"/>
        <v>2619173.9807958337</v>
      </c>
      <c r="J109" s="73">
        <f aca="true" t="shared" si="90" ref="J109:O109">J20+J37+J54+J71+J88+J105</f>
        <v>2576445.2172389436</v>
      </c>
      <c r="K109" s="73">
        <f t="shared" si="90"/>
        <v>2501089.326682053</v>
      </c>
      <c r="L109" s="73">
        <f t="shared" si="90"/>
        <v>2394160.844112936</v>
      </c>
      <c r="M109" s="73">
        <f t="shared" si="90"/>
        <v>2288878.719843818</v>
      </c>
      <c r="N109" s="73">
        <f t="shared" si="90"/>
        <v>2184419.637636928</v>
      </c>
      <c r="O109" s="73">
        <f t="shared" si="90"/>
        <v>2079960.5554300374</v>
      </c>
      <c r="P109" s="73">
        <f>P20+P37+P54+P71+P88+P105</f>
        <v>1975501.4732231472</v>
      </c>
      <c r="Q109" s="73">
        <f>Q20+Q37+Q54+Q71+Q88+Q105</f>
        <v>1871042.391016257</v>
      </c>
      <c r="R109" s="73">
        <f>R20+R37+R54+R71+R88+R105</f>
        <v>1766583.3088093665</v>
      </c>
      <c r="S109" s="73">
        <f>S20+S37+S54+S71+S88+S105</f>
        <v>1662124.226602476</v>
      </c>
      <c r="T109" s="73">
        <f>T20+T37+T54+T71+T88+T105</f>
        <v>1557665.144395586</v>
      </c>
    </row>
    <row r="110" spans="1:20" s="68" customFormat="1" ht="15">
      <c r="A110" s="70"/>
      <c r="B110" s="72" t="s">
        <v>52</v>
      </c>
      <c r="C110" s="39"/>
      <c r="D110" s="73">
        <f aca="true" t="shared" si="91" ref="D110:I110">SUM(D99:D100,D82:D83,D65:D66,D48:D49,D31:D32,D14:D15)</f>
        <v>1980.6833333333332</v>
      </c>
      <c r="E110" s="73">
        <f t="shared" si="91"/>
        <v>20336.223055555554</v>
      </c>
      <c r="F110" s="73">
        <f t="shared" si="91"/>
        <v>50132.2345565517</v>
      </c>
      <c r="G110" s="73">
        <f t="shared" si="91"/>
        <v>73341.63071810649</v>
      </c>
      <c r="H110" s="73">
        <f t="shared" si="91"/>
        <v>104658.83639537368</v>
      </c>
      <c r="I110" s="73">
        <f t="shared" si="91"/>
        <v>118981.58480689029</v>
      </c>
      <c r="J110" s="73">
        <f aca="true" t="shared" si="92" ref="J110:O110">SUM(J99:J100,J82:J83,J65:J66,J48:J49,J31:J32,J14:J15)</f>
        <v>109962.24230689029</v>
      </c>
      <c r="K110" s="73">
        <f t="shared" si="92"/>
        <v>107751.79880689029</v>
      </c>
      <c r="L110" s="73">
        <f t="shared" si="92"/>
        <v>106105.16633134487</v>
      </c>
      <c r="M110" s="73">
        <f t="shared" si="92"/>
        <v>104459.08220689028</v>
      </c>
      <c r="N110" s="73">
        <f t="shared" si="92"/>
        <v>104459.08220689028</v>
      </c>
      <c r="O110" s="73">
        <f t="shared" si="92"/>
        <v>104459.08220689028</v>
      </c>
      <c r="P110" s="73">
        <f>SUM(P99:P100,P82:P83,P65:P66,P48:P49,P31:P32,P14:P15)</f>
        <v>104459.08220689028</v>
      </c>
      <c r="Q110" s="73">
        <f>SUM(Q99:Q100,Q82:Q83,Q65:Q66,Q48:Q49,Q31:Q32,Q14:Q15)</f>
        <v>104459.08220689028</v>
      </c>
      <c r="R110" s="73">
        <f>SUM(R99:R100,R82:R83,R65:R66,R48:R49,R31:R32,R14:R15)</f>
        <v>104459.08220689028</v>
      </c>
      <c r="S110" s="73">
        <f>SUM(S99:S100,S82:S83,S65:S66,S48:S49,S31:S32,S14:S15)</f>
        <v>104459.08220689028</v>
      </c>
      <c r="T110" s="73">
        <f>SUM(T99:T100,T82:T83,T65:T66,T48:T49,T31:T32,T14:T15)</f>
        <v>104459.08220689028</v>
      </c>
    </row>
    <row r="111" spans="1:20" s="68" customFormat="1" ht="15">
      <c r="A111" s="70"/>
      <c r="B111" s="72" t="s">
        <v>67</v>
      </c>
      <c r="C111" s="39"/>
      <c r="D111" s="73">
        <f>SUM(D19,D36,D53,D70,D87,D104)</f>
        <v>80119.31666666667</v>
      </c>
      <c r="E111" s="73">
        <f aca="true" t="shared" si="93" ref="E111:N111">SUM(E19,E36,E53,E70,E87,E104)</f>
        <v>471012.0936111111</v>
      </c>
      <c r="F111" s="73">
        <f t="shared" si="93"/>
        <v>1024828.9190545594</v>
      </c>
      <c r="G111" s="73">
        <f t="shared" si="93"/>
        <v>1691159.9497364527</v>
      </c>
      <c r="H111" s="73">
        <f t="shared" si="93"/>
        <v>2640422.7531992793</v>
      </c>
      <c r="I111" s="73">
        <f t="shared" si="93"/>
        <v>2597925.208392388</v>
      </c>
      <c r="J111" s="73">
        <f t="shared" si="93"/>
        <v>2554965.226085498</v>
      </c>
      <c r="K111" s="73">
        <f t="shared" si="93"/>
        <v>2447213.427278608</v>
      </c>
      <c r="L111" s="73">
        <f t="shared" si="93"/>
        <v>2341108.2609472633</v>
      </c>
      <c r="M111" s="73">
        <f t="shared" si="93"/>
        <v>2236649.178740373</v>
      </c>
      <c r="N111" s="73">
        <f t="shared" si="93"/>
        <v>2132190.096533483</v>
      </c>
      <c r="O111" s="73">
        <f>SUM(O19,O36,O53,O70,O87,O104)</f>
        <v>2027731.014326592</v>
      </c>
      <c r="P111" s="73">
        <f>SUM(P19,P36,P53,P70,P87,P104)</f>
        <v>1923271.932119702</v>
      </c>
      <c r="Q111" s="73">
        <f>SUM(Q19,Q36,Q53,Q70,Q87,Q104)</f>
        <v>1818812.8499128115</v>
      </c>
      <c r="R111" s="73">
        <f>SUM(R19,R36,R53,R70,R87,R104)</f>
        <v>1714353.7677059213</v>
      </c>
      <c r="S111" s="73">
        <f>SUM(S19,S36,S53,S70,S87,S104)</f>
        <v>1609894.6854990309</v>
      </c>
      <c r="T111" s="73">
        <f>SUM(T19,T36,T53,T70,T87,T104)</f>
        <v>1505435.6032921409</v>
      </c>
    </row>
    <row r="112" spans="1:20" ht="15">
      <c r="A112" s="70"/>
      <c r="B112" s="67"/>
      <c r="C112" s="39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</row>
    <row r="113" spans="1:8" ht="15">
      <c r="A113" s="70"/>
      <c r="B113" s="39" t="s">
        <v>33</v>
      </c>
      <c r="C113" s="39"/>
      <c r="D113" s="38"/>
      <c r="E113" s="38"/>
      <c r="F113" s="38"/>
      <c r="G113" s="38"/>
      <c r="H113" s="38"/>
    </row>
    <row r="114" spans="1:20" ht="15.75" thickBot="1">
      <c r="A114" s="70"/>
      <c r="C114" s="39"/>
      <c r="D114" s="40">
        <f>D6</f>
        <v>2010</v>
      </c>
      <c r="E114" s="40">
        <f>E6</f>
        <v>2011</v>
      </c>
      <c r="F114" s="40">
        <v>2012</v>
      </c>
      <c r="G114" s="40">
        <v>2013</v>
      </c>
      <c r="H114" s="40">
        <v>2014</v>
      </c>
      <c r="I114" s="40">
        <v>2015</v>
      </c>
      <c r="J114" s="40">
        <v>2016</v>
      </c>
      <c r="K114" s="40">
        <v>2017</v>
      </c>
      <c r="L114" s="40">
        <v>2018</v>
      </c>
      <c r="M114" s="40">
        <v>2019</v>
      </c>
      <c r="N114" s="40">
        <v>2020</v>
      </c>
      <c r="O114" s="40">
        <v>2021</v>
      </c>
      <c r="P114" s="40">
        <v>2022</v>
      </c>
      <c r="Q114" s="40">
        <v>2023</v>
      </c>
      <c r="R114" s="40">
        <v>2024</v>
      </c>
      <c r="S114" s="40">
        <v>2025</v>
      </c>
      <c r="T114" s="40">
        <v>2026</v>
      </c>
    </row>
    <row r="115" spans="1:20" ht="15.75" thickBot="1">
      <c r="A115" s="70"/>
      <c r="B115" s="77" t="s">
        <v>51</v>
      </c>
      <c r="C115" s="37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</row>
    <row r="116" spans="1:20" ht="15">
      <c r="A116" s="70"/>
      <c r="B116" s="37"/>
      <c r="C116" s="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ht="15">
      <c r="A117" s="70"/>
      <c r="B117" s="37" t="s">
        <v>34</v>
      </c>
      <c r="C117" s="37"/>
      <c r="D117" s="53">
        <v>0</v>
      </c>
      <c r="E117" s="53">
        <f aca="true" t="shared" si="94" ref="E117:O117">D125</f>
        <v>78052.8</v>
      </c>
      <c r="F117" s="53">
        <f t="shared" si="94"/>
        <v>398847.936</v>
      </c>
      <c r="G117" s="53">
        <f t="shared" si="94"/>
        <v>916891.2606093962</v>
      </c>
      <c r="H117" s="53">
        <f t="shared" si="94"/>
        <v>1553625.7147046444</v>
      </c>
      <c r="I117" s="53">
        <f t="shared" si="94"/>
        <v>2428456.400048145</v>
      </c>
      <c r="J117" s="53">
        <f t="shared" si="94"/>
        <v>2307604.5664442936</v>
      </c>
      <c r="K117" s="53">
        <f t="shared" si="94"/>
        <v>2122996.20112875</v>
      </c>
      <c r="L117" s="53">
        <f t="shared" si="94"/>
        <v>1953156.50503845</v>
      </c>
      <c r="M117" s="53">
        <f t="shared" si="94"/>
        <v>1796903.984635374</v>
      </c>
      <c r="N117" s="53">
        <f t="shared" si="94"/>
        <v>1653151.665864544</v>
      </c>
      <c r="O117" s="53">
        <f t="shared" si="94"/>
        <v>1520899.5325953804</v>
      </c>
      <c r="P117" s="53">
        <f>O125</f>
        <v>1399227.56998775</v>
      </c>
      <c r="Q117" s="53">
        <f>P125</f>
        <v>1287289.36438873</v>
      </c>
      <c r="R117" s="53">
        <f>Q125</f>
        <v>1184306.2152376315</v>
      </c>
      <c r="S117" s="53">
        <f>R125</f>
        <v>1089561.718018621</v>
      </c>
      <c r="T117" s="53">
        <f>S125</f>
        <v>1002396.7805771313</v>
      </c>
    </row>
    <row r="118" spans="1:20" ht="15">
      <c r="A118" s="70"/>
      <c r="B118" s="37" t="s">
        <v>35</v>
      </c>
      <c r="C118" s="37"/>
      <c r="D118" s="55">
        <v>81305</v>
      </c>
      <c r="E118" s="55">
        <v>340666</v>
      </c>
      <c r="F118" s="55">
        <v>572865.7911347877</v>
      </c>
      <c r="G118" s="55">
        <v>739672.6614</v>
      </c>
      <c r="H118" s="55">
        <v>1040750.7734581998</v>
      </c>
      <c r="I118" s="55">
        <v>76484.04</v>
      </c>
      <c r="J118" s="55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1:20" ht="15">
      <c r="A119" s="70"/>
      <c r="B119" s="37" t="s">
        <v>36</v>
      </c>
      <c r="C119" s="37"/>
      <c r="D119" s="53">
        <f aca="true" t="shared" si="95" ref="D119:I119">SUM(D117:D118)</f>
        <v>81305</v>
      </c>
      <c r="E119" s="53">
        <f t="shared" si="95"/>
        <v>418718.8</v>
      </c>
      <c r="F119" s="53">
        <f t="shared" si="95"/>
        <v>971713.7271347877</v>
      </c>
      <c r="G119" s="53">
        <f t="shared" si="95"/>
        <v>1656563.9220093961</v>
      </c>
      <c r="H119" s="53">
        <f t="shared" si="95"/>
        <v>2594376.4881628444</v>
      </c>
      <c r="I119" s="53">
        <f t="shared" si="95"/>
        <v>2504940.440048145</v>
      </c>
      <c r="J119" s="53">
        <f aca="true" t="shared" si="96" ref="J119:O119">SUM(J117:J118)</f>
        <v>2307604.5664442936</v>
      </c>
      <c r="K119" s="53">
        <f t="shared" si="96"/>
        <v>2122996.20112875</v>
      </c>
      <c r="L119" s="53">
        <f t="shared" si="96"/>
        <v>1953156.50503845</v>
      </c>
      <c r="M119" s="53">
        <f t="shared" si="96"/>
        <v>1796903.984635374</v>
      </c>
      <c r="N119" s="53">
        <f t="shared" si="96"/>
        <v>1653151.665864544</v>
      </c>
      <c r="O119" s="53">
        <f t="shared" si="96"/>
        <v>1520899.5325953804</v>
      </c>
      <c r="P119" s="53">
        <f>SUM(P117:P118)</f>
        <v>1399227.56998775</v>
      </c>
      <c r="Q119" s="53">
        <f>SUM(Q117:Q118)</f>
        <v>1287289.36438873</v>
      </c>
      <c r="R119" s="53">
        <f>SUM(R117:R118)</f>
        <v>1184306.2152376315</v>
      </c>
      <c r="S119" s="53">
        <f>SUM(S117:S118)</f>
        <v>1089561.718018621</v>
      </c>
      <c r="T119" s="53">
        <f>SUM(T117:T118)</f>
        <v>1002396.7805771313</v>
      </c>
    </row>
    <row r="120" spans="1:20" ht="15">
      <c r="A120" s="70"/>
      <c r="B120" s="37" t="s">
        <v>37</v>
      </c>
      <c r="C120" s="37"/>
      <c r="D120" s="38">
        <f aca="true" t="shared" si="97" ref="D120:I120">D118/2</f>
        <v>40652.5</v>
      </c>
      <c r="E120" s="38">
        <f t="shared" si="97"/>
        <v>170333</v>
      </c>
      <c r="F120" s="38">
        <f t="shared" si="97"/>
        <v>286432.89556739386</v>
      </c>
      <c r="G120" s="38">
        <f t="shared" si="97"/>
        <v>369836.3307</v>
      </c>
      <c r="H120" s="38">
        <f t="shared" si="97"/>
        <v>520375.3867290999</v>
      </c>
      <c r="I120" s="38">
        <f t="shared" si="97"/>
        <v>38242.02</v>
      </c>
      <c r="J120" s="38">
        <f aca="true" t="shared" si="98" ref="J120:O120">J118/2</f>
        <v>0</v>
      </c>
      <c r="K120" s="38">
        <f t="shared" si="98"/>
        <v>0</v>
      </c>
      <c r="L120" s="38">
        <f t="shared" si="98"/>
        <v>0</v>
      </c>
      <c r="M120" s="38">
        <f t="shared" si="98"/>
        <v>0</v>
      </c>
      <c r="N120" s="38">
        <f t="shared" si="98"/>
        <v>0</v>
      </c>
      <c r="O120" s="38">
        <f t="shared" si="98"/>
        <v>0</v>
      </c>
      <c r="P120" s="38">
        <f>P118/2</f>
        <v>0</v>
      </c>
      <c r="Q120" s="38">
        <f>Q118/2</f>
        <v>0</v>
      </c>
      <c r="R120" s="38">
        <f>R118/2</f>
        <v>0</v>
      </c>
      <c r="S120" s="38">
        <f>S118/2</f>
        <v>0</v>
      </c>
      <c r="T120" s="38">
        <f>T118/2</f>
        <v>0</v>
      </c>
    </row>
    <row r="121" spans="1:20" ht="15">
      <c r="A121" s="70"/>
      <c r="B121" s="37" t="s">
        <v>38</v>
      </c>
      <c r="C121" s="37"/>
      <c r="D121" s="53">
        <f aca="true" t="shared" si="99" ref="D121:I121">D119-D120</f>
        <v>40652.5</v>
      </c>
      <c r="E121" s="53">
        <f t="shared" si="99"/>
        <v>248385.8</v>
      </c>
      <c r="F121" s="53">
        <f t="shared" si="99"/>
        <v>685280.8315673938</v>
      </c>
      <c r="G121" s="53">
        <f t="shared" si="99"/>
        <v>1286727.591309396</v>
      </c>
      <c r="H121" s="53">
        <f t="shared" si="99"/>
        <v>2074001.1014337447</v>
      </c>
      <c r="I121" s="53">
        <f t="shared" si="99"/>
        <v>2466698.420048145</v>
      </c>
      <c r="J121" s="53">
        <f aca="true" t="shared" si="100" ref="J121:O121">J119-J120</f>
        <v>2307604.5664442936</v>
      </c>
      <c r="K121" s="53">
        <f t="shared" si="100"/>
        <v>2122996.20112875</v>
      </c>
      <c r="L121" s="53">
        <f t="shared" si="100"/>
        <v>1953156.50503845</v>
      </c>
      <c r="M121" s="53">
        <f t="shared" si="100"/>
        <v>1796903.984635374</v>
      </c>
      <c r="N121" s="53">
        <f t="shared" si="100"/>
        <v>1653151.665864544</v>
      </c>
      <c r="O121" s="53">
        <f t="shared" si="100"/>
        <v>1520899.5325953804</v>
      </c>
      <c r="P121" s="53">
        <f>P119-P120</f>
        <v>1399227.56998775</v>
      </c>
      <c r="Q121" s="53">
        <f>Q119-Q120</f>
        <v>1287289.36438873</v>
      </c>
      <c r="R121" s="53">
        <f>R119-R120</f>
        <v>1184306.2152376315</v>
      </c>
      <c r="S121" s="53">
        <f>S119-S120</f>
        <v>1089561.718018621</v>
      </c>
      <c r="T121" s="53">
        <f>T119-T120</f>
        <v>1002396.7805771313</v>
      </c>
    </row>
    <row r="122" spans="1:20" ht="15">
      <c r="A122" s="70"/>
      <c r="B122" s="37" t="s">
        <v>41</v>
      </c>
      <c r="C122" s="56">
        <v>47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</row>
    <row r="123" spans="1:20" ht="15">
      <c r="A123" s="70"/>
      <c r="B123" s="37" t="s">
        <v>42</v>
      </c>
      <c r="C123" s="57">
        <v>0.08</v>
      </c>
      <c r="D123" s="58">
        <f aca="true" t="shared" si="101" ref="D123:T123">$C$123</f>
        <v>0.08</v>
      </c>
      <c r="E123" s="58">
        <f t="shared" si="101"/>
        <v>0.08</v>
      </c>
      <c r="F123" s="58">
        <f t="shared" si="101"/>
        <v>0.08</v>
      </c>
      <c r="G123" s="58">
        <f t="shared" si="101"/>
        <v>0.08</v>
      </c>
      <c r="H123" s="58">
        <f t="shared" si="101"/>
        <v>0.08</v>
      </c>
      <c r="I123" s="58">
        <f t="shared" si="101"/>
        <v>0.08</v>
      </c>
      <c r="J123" s="58">
        <f t="shared" si="101"/>
        <v>0.08</v>
      </c>
      <c r="K123" s="58">
        <f t="shared" si="101"/>
        <v>0.08</v>
      </c>
      <c r="L123" s="58">
        <f t="shared" si="101"/>
        <v>0.08</v>
      </c>
      <c r="M123" s="58">
        <f t="shared" si="101"/>
        <v>0.08</v>
      </c>
      <c r="N123" s="58">
        <f t="shared" si="101"/>
        <v>0.08</v>
      </c>
      <c r="O123" s="58">
        <f t="shared" si="101"/>
        <v>0.08</v>
      </c>
      <c r="P123" s="58">
        <f t="shared" si="101"/>
        <v>0.08</v>
      </c>
      <c r="Q123" s="58">
        <f t="shared" si="101"/>
        <v>0.08</v>
      </c>
      <c r="R123" s="58">
        <f t="shared" si="101"/>
        <v>0.08</v>
      </c>
      <c r="S123" s="58">
        <f t="shared" si="101"/>
        <v>0.08</v>
      </c>
      <c r="T123" s="58">
        <f t="shared" si="101"/>
        <v>0.08</v>
      </c>
    </row>
    <row r="124" spans="1:20" ht="15">
      <c r="A124" s="70"/>
      <c r="B124" s="37" t="s">
        <v>39</v>
      </c>
      <c r="C124" s="37"/>
      <c r="D124" s="53">
        <f aca="true" t="shared" si="102" ref="D124:I124">D121*$C$123</f>
        <v>3252.2000000000003</v>
      </c>
      <c r="E124" s="53">
        <f t="shared" si="102"/>
        <v>19870.863999999998</v>
      </c>
      <c r="F124" s="53">
        <f t="shared" si="102"/>
        <v>54822.46652539151</v>
      </c>
      <c r="G124" s="53">
        <f t="shared" si="102"/>
        <v>102938.20730475169</v>
      </c>
      <c r="H124" s="53">
        <f t="shared" si="102"/>
        <v>165920.08811469958</v>
      </c>
      <c r="I124" s="53">
        <f t="shared" si="102"/>
        <v>197335.87360385162</v>
      </c>
      <c r="J124" s="53">
        <f aca="true" t="shared" si="103" ref="J124:O124">J121*$C$123</f>
        <v>184608.3653155435</v>
      </c>
      <c r="K124" s="53">
        <f t="shared" si="103"/>
        <v>169839.6960903</v>
      </c>
      <c r="L124" s="53">
        <f t="shared" si="103"/>
        <v>156252.520403076</v>
      </c>
      <c r="M124" s="53">
        <f t="shared" si="103"/>
        <v>143752.31877082994</v>
      </c>
      <c r="N124" s="53">
        <f t="shared" si="103"/>
        <v>132252.13326916352</v>
      </c>
      <c r="O124" s="53">
        <f t="shared" si="103"/>
        <v>121671.96260763044</v>
      </c>
      <c r="P124" s="53">
        <f>P121*$C$123</f>
        <v>111938.20559902</v>
      </c>
      <c r="Q124" s="53">
        <f>Q121*$C$123</f>
        <v>102983.14915109839</v>
      </c>
      <c r="R124" s="53">
        <f>R121*$C$123</f>
        <v>94744.49721901052</v>
      </c>
      <c r="S124" s="53">
        <f>S121*$C$123</f>
        <v>87164.93744148967</v>
      </c>
      <c r="T124" s="53">
        <f>T121*$C$123</f>
        <v>80191.74244617051</v>
      </c>
    </row>
    <row r="125" spans="1:20" ht="15.75" thickBot="1">
      <c r="A125" s="70"/>
      <c r="B125" s="37" t="s">
        <v>40</v>
      </c>
      <c r="C125" s="37"/>
      <c r="D125" s="54">
        <f aca="true" t="shared" si="104" ref="D125:I125">D119-D124</f>
        <v>78052.8</v>
      </c>
      <c r="E125" s="54">
        <f t="shared" si="104"/>
        <v>398847.936</v>
      </c>
      <c r="F125" s="54">
        <f t="shared" si="104"/>
        <v>916891.2606093962</v>
      </c>
      <c r="G125" s="54">
        <f t="shared" si="104"/>
        <v>1553625.7147046444</v>
      </c>
      <c r="H125" s="54">
        <f t="shared" si="104"/>
        <v>2428456.400048145</v>
      </c>
      <c r="I125" s="54">
        <f t="shared" si="104"/>
        <v>2307604.5664442936</v>
      </c>
      <c r="J125" s="54">
        <f aca="true" t="shared" si="105" ref="J125:O125">J119-J124</f>
        <v>2122996.20112875</v>
      </c>
      <c r="K125" s="54">
        <f t="shared" si="105"/>
        <v>1953156.50503845</v>
      </c>
      <c r="L125" s="54">
        <f t="shared" si="105"/>
        <v>1796903.984635374</v>
      </c>
      <c r="M125" s="54">
        <f t="shared" si="105"/>
        <v>1653151.665864544</v>
      </c>
      <c r="N125" s="54">
        <f t="shared" si="105"/>
        <v>1520899.5325953804</v>
      </c>
      <c r="O125" s="54">
        <f t="shared" si="105"/>
        <v>1399227.56998775</v>
      </c>
      <c r="P125" s="54">
        <f>P119-P124</f>
        <v>1287289.36438873</v>
      </c>
      <c r="Q125" s="54">
        <f>Q119-Q124</f>
        <v>1184306.2152376315</v>
      </c>
      <c r="R125" s="54">
        <f>R119-R124</f>
        <v>1089561.718018621</v>
      </c>
      <c r="S125" s="54">
        <f>S119-S124</f>
        <v>1002396.7805771313</v>
      </c>
      <c r="T125" s="54">
        <f>T119-T124</f>
        <v>922205.0381309608</v>
      </c>
    </row>
    <row r="126" spans="1:8" ht="15">
      <c r="A126" s="70"/>
      <c r="B126" s="37"/>
      <c r="C126" s="37"/>
      <c r="D126" s="38"/>
      <c r="E126" s="38"/>
      <c r="F126" s="38"/>
      <c r="G126" s="38"/>
      <c r="H126" s="38"/>
    </row>
    <row r="127" ht="15.75" thickBot="1"/>
    <row r="128" spans="2:20" ht="15.75" thickBot="1">
      <c r="B128" s="77" t="s">
        <v>64</v>
      </c>
      <c r="C128" s="39"/>
      <c r="D128" s="40">
        <f>D23</f>
        <v>2010</v>
      </c>
      <c r="E128" s="40">
        <f>E23</f>
        <v>2011</v>
      </c>
      <c r="F128" s="40">
        <v>2012</v>
      </c>
      <c r="G128" s="40">
        <v>2013</v>
      </c>
      <c r="H128" s="40">
        <v>2014</v>
      </c>
      <c r="I128" s="40">
        <v>2015</v>
      </c>
      <c r="J128" s="40">
        <v>2016</v>
      </c>
      <c r="K128" s="40">
        <v>2017</v>
      </c>
      <c r="L128" s="40">
        <v>2018</v>
      </c>
      <c r="M128" s="40">
        <v>2019</v>
      </c>
      <c r="N128" s="40">
        <v>2020</v>
      </c>
      <c r="O128" s="40">
        <v>2021</v>
      </c>
      <c r="P128" s="40">
        <v>2022</v>
      </c>
      <c r="Q128" s="40">
        <v>2023</v>
      </c>
      <c r="R128" s="40">
        <v>2024</v>
      </c>
      <c r="S128" s="40">
        <v>2025</v>
      </c>
      <c r="T128" s="40">
        <v>2026</v>
      </c>
    </row>
    <row r="129" spans="2:20" ht="15">
      <c r="B129" s="37"/>
      <c r="C129" s="37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2:20" ht="15">
      <c r="B130" s="37"/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2:20" ht="15">
      <c r="B131" s="37" t="s">
        <v>34</v>
      </c>
      <c r="C131" s="37"/>
      <c r="D131" s="53">
        <v>0</v>
      </c>
      <c r="E131" s="53">
        <f aca="true" t="shared" si="106" ref="E131:O131">D139</f>
        <v>397.5</v>
      </c>
      <c r="F131" s="53">
        <f t="shared" si="106"/>
        <v>35281.5</v>
      </c>
      <c r="G131" s="53">
        <f t="shared" si="106"/>
        <v>15541.634432606123</v>
      </c>
      <c r="H131" s="53">
        <f t="shared" si="106"/>
        <v>0</v>
      </c>
      <c r="I131" s="53">
        <f t="shared" si="106"/>
        <v>6585.4332</v>
      </c>
      <c r="J131" s="53">
        <f t="shared" si="106"/>
        <v>0</v>
      </c>
      <c r="K131" s="53">
        <f t="shared" si="106"/>
        <v>0</v>
      </c>
      <c r="L131" s="53">
        <f t="shared" si="106"/>
        <v>0</v>
      </c>
      <c r="M131" s="53">
        <f t="shared" si="106"/>
        <v>0</v>
      </c>
      <c r="N131" s="53">
        <f t="shared" si="106"/>
        <v>0</v>
      </c>
      <c r="O131" s="53">
        <f t="shared" si="106"/>
        <v>0</v>
      </c>
      <c r="P131" s="53">
        <f>O139</f>
        <v>0</v>
      </c>
      <c r="Q131" s="53">
        <f>P139</f>
        <v>0</v>
      </c>
      <c r="R131" s="53">
        <f>Q139</f>
        <v>0</v>
      </c>
      <c r="S131" s="53">
        <f>R139</f>
        <v>0</v>
      </c>
      <c r="T131" s="53">
        <f>S139</f>
        <v>0</v>
      </c>
    </row>
    <row r="132" spans="2:20" ht="15">
      <c r="B132" s="37" t="s">
        <v>35</v>
      </c>
      <c r="C132" s="37"/>
      <c r="D132" s="55">
        <v>795</v>
      </c>
      <c r="E132" s="55">
        <v>70563</v>
      </c>
      <c r="F132" s="55">
        <v>31083.268865212238</v>
      </c>
      <c r="G132" s="55">
        <v>0</v>
      </c>
      <c r="H132" s="55">
        <v>13170.8664</v>
      </c>
      <c r="I132" s="55">
        <v>0</v>
      </c>
      <c r="J132" s="55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2:20" ht="15">
      <c r="B133" s="37" t="s">
        <v>36</v>
      </c>
      <c r="C133" s="37"/>
      <c r="D133" s="53">
        <f aca="true" t="shared" si="107" ref="D133:I133">SUM(D131:D132)</f>
        <v>795</v>
      </c>
      <c r="E133" s="53">
        <f t="shared" si="107"/>
        <v>70960.5</v>
      </c>
      <c r="F133" s="53">
        <f t="shared" si="107"/>
        <v>66364.76886521225</v>
      </c>
      <c r="G133" s="53">
        <f t="shared" si="107"/>
        <v>15541.634432606123</v>
      </c>
      <c r="H133" s="53">
        <f t="shared" si="107"/>
        <v>13170.8664</v>
      </c>
      <c r="I133" s="53">
        <f t="shared" si="107"/>
        <v>6585.4332</v>
      </c>
      <c r="J133" s="53">
        <f aca="true" t="shared" si="108" ref="J133:O133">SUM(J131:J132)</f>
        <v>0</v>
      </c>
      <c r="K133" s="53">
        <f t="shared" si="108"/>
        <v>0</v>
      </c>
      <c r="L133" s="53">
        <f t="shared" si="108"/>
        <v>0</v>
      </c>
      <c r="M133" s="53">
        <f t="shared" si="108"/>
        <v>0</v>
      </c>
      <c r="N133" s="53">
        <f t="shared" si="108"/>
        <v>0</v>
      </c>
      <c r="O133" s="53">
        <f t="shared" si="108"/>
        <v>0</v>
      </c>
      <c r="P133" s="53">
        <f>SUM(P131:P132)</f>
        <v>0</v>
      </c>
      <c r="Q133" s="53">
        <f>SUM(Q131:Q132)</f>
        <v>0</v>
      </c>
      <c r="R133" s="53">
        <f>SUM(R131:R132)</f>
        <v>0</v>
      </c>
      <c r="S133" s="53">
        <f>SUM(S131:S132)</f>
        <v>0</v>
      </c>
      <c r="T133" s="53">
        <f>SUM(T131:T132)</f>
        <v>0</v>
      </c>
    </row>
    <row r="134" spans="2:20" ht="15">
      <c r="B134" s="37" t="s">
        <v>37</v>
      </c>
      <c r="C134" s="37"/>
      <c r="D134" s="38">
        <f aca="true" t="shared" si="109" ref="D134:I134">D132/2</f>
        <v>397.5</v>
      </c>
      <c r="E134" s="38">
        <f t="shared" si="109"/>
        <v>35281.5</v>
      </c>
      <c r="F134" s="74">
        <f>F132/2</f>
        <v>15541.634432606119</v>
      </c>
      <c r="G134" s="38">
        <f t="shared" si="109"/>
        <v>0</v>
      </c>
      <c r="H134" s="38">
        <f t="shared" si="109"/>
        <v>6585.4332</v>
      </c>
      <c r="I134" s="38">
        <f t="shared" si="109"/>
        <v>0</v>
      </c>
      <c r="J134" s="38">
        <f aca="true" t="shared" si="110" ref="J134:O134">J132/2</f>
        <v>0</v>
      </c>
      <c r="K134" s="38">
        <f t="shared" si="110"/>
        <v>0</v>
      </c>
      <c r="L134" s="38">
        <f t="shared" si="110"/>
        <v>0</v>
      </c>
      <c r="M134" s="38">
        <f t="shared" si="110"/>
        <v>0</v>
      </c>
      <c r="N134" s="38">
        <f t="shared" si="110"/>
        <v>0</v>
      </c>
      <c r="O134" s="38">
        <f t="shared" si="110"/>
        <v>0</v>
      </c>
      <c r="P134" s="38">
        <f>P132/2</f>
        <v>0</v>
      </c>
      <c r="Q134" s="38">
        <f>Q132/2</f>
        <v>0</v>
      </c>
      <c r="R134" s="38">
        <f>R132/2</f>
        <v>0</v>
      </c>
      <c r="S134" s="38">
        <f>S132/2</f>
        <v>0</v>
      </c>
      <c r="T134" s="38">
        <f>T132/2</f>
        <v>0</v>
      </c>
    </row>
    <row r="135" spans="2:20" ht="15">
      <c r="B135" s="37" t="s">
        <v>38</v>
      </c>
      <c r="C135" s="37"/>
      <c r="D135" s="53">
        <f aca="true" t="shared" si="111" ref="D135:I135">D133-D134</f>
        <v>397.5</v>
      </c>
      <c r="E135" s="53">
        <f t="shared" si="111"/>
        <v>35679</v>
      </c>
      <c r="F135" s="53">
        <f t="shared" si="111"/>
        <v>50823.13443260612</v>
      </c>
      <c r="G135" s="53">
        <f t="shared" si="111"/>
        <v>15541.634432606123</v>
      </c>
      <c r="H135" s="53">
        <f t="shared" si="111"/>
        <v>6585.4332</v>
      </c>
      <c r="I135" s="53">
        <f t="shared" si="111"/>
        <v>6585.4332</v>
      </c>
      <c r="J135" s="53">
        <f aca="true" t="shared" si="112" ref="J135:O135">J133-J134</f>
        <v>0</v>
      </c>
      <c r="K135" s="53">
        <f t="shared" si="112"/>
        <v>0</v>
      </c>
      <c r="L135" s="53">
        <f t="shared" si="112"/>
        <v>0</v>
      </c>
      <c r="M135" s="53">
        <f t="shared" si="112"/>
        <v>0</v>
      </c>
      <c r="N135" s="53">
        <f t="shared" si="112"/>
        <v>0</v>
      </c>
      <c r="O135" s="53">
        <f t="shared" si="112"/>
        <v>0</v>
      </c>
      <c r="P135" s="53">
        <f>P133-P134</f>
        <v>0</v>
      </c>
      <c r="Q135" s="53">
        <f>Q133-Q134</f>
        <v>0</v>
      </c>
      <c r="R135" s="53">
        <f>R133-R134</f>
        <v>0</v>
      </c>
      <c r="S135" s="53">
        <f>S133-S134</f>
        <v>0</v>
      </c>
      <c r="T135" s="53">
        <f>T133-T134</f>
        <v>0</v>
      </c>
    </row>
    <row r="136" spans="2:20" ht="15">
      <c r="B136" s="37" t="s">
        <v>41</v>
      </c>
      <c r="C136" s="56">
        <v>12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</row>
    <row r="137" spans="2:20" ht="15">
      <c r="B137" s="37" t="s">
        <v>42</v>
      </c>
      <c r="C137" s="57">
        <v>1</v>
      </c>
      <c r="D137" s="58">
        <f aca="true" t="shared" si="113" ref="D137:T137">$C$137</f>
        <v>1</v>
      </c>
      <c r="E137" s="58">
        <f t="shared" si="113"/>
        <v>1</v>
      </c>
      <c r="F137" s="58">
        <f t="shared" si="113"/>
        <v>1</v>
      </c>
      <c r="G137" s="58">
        <f t="shared" si="113"/>
        <v>1</v>
      </c>
      <c r="H137" s="58">
        <f t="shared" si="113"/>
        <v>1</v>
      </c>
      <c r="I137" s="58">
        <f t="shared" si="113"/>
        <v>1</v>
      </c>
      <c r="J137" s="58">
        <f t="shared" si="113"/>
        <v>1</v>
      </c>
      <c r="K137" s="58">
        <f t="shared" si="113"/>
        <v>1</v>
      </c>
      <c r="L137" s="58">
        <f t="shared" si="113"/>
        <v>1</v>
      </c>
      <c r="M137" s="58">
        <f t="shared" si="113"/>
        <v>1</v>
      </c>
      <c r="N137" s="58">
        <f t="shared" si="113"/>
        <v>1</v>
      </c>
      <c r="O137" s="58">
        <f t="shared" si="113"/>
        <v>1</v>
      </c>
      <c r="P137" s="58">
        <f t="shared" si="113"/>
        <v>1</v>
      </c>
      <c r="Q137" s="58">
        <f t="shared" si="113"/>
        <v>1</v>
      </c>
      <c r="R137" s="58">
        <f t="shared" si="113"/>
        <v>1</v>
      </c>
      <c r="S137" s="58">
        <f t="shared" si="113"/>
        <v>1</v>
      </c>
      <c r="T137" s="58">
        <f t="shared" si="113"/>
        <v>1</v>
      </c>
    </row>
    <row r="138" spans="2:20" ht="15">
      <c r="B138" s="37" t="s">
        <v>39</v>
      </c>
      <c r="C138" s="37"/>
      <c r="D138" s="53">
        <f aca="true" t="shared" si="114" ref="D138:I138">D135*$C$137</f>
        <v>397.5</v>
      </c>
      <c r="E138" s="53">
        <f t="shared" si="114"/>
        <v>35679</v>
      </c>
      <c r="F138" s="53">
        <f t="shared" si="114"/>
        <v>50823.13443260612</v>
      </c>
      <c r="G138" s="53">
        <f t="shared" si="114"/>
        <v>15541.634432606123</v>
      </c>
      <c r="H138" s="53">
        <f t="shared" si="114"/>
        <v>6585.4332</v>
      </c>
      <c r="I138" s="53">
        <f t="shared" si="114"/>
        <v>6585.4332</v>
      </c>
      <c r="J138" s="53">
        <f aca="true" t="shared" si="115" ref="J138:O138">J135*$C$137</f>
        <v>0</v>
      </c>
      <c r="K138" s="53">
        <f t="shared" si="115"/>
        <v>0</v>
      </c>
      <c r="L138" s="53">
        <f t="shared" si="115"/>
        <v>0</v>
      </c>
      <c r="M138" s="53">
        <f t="shared" si="115"/>
        <v>0</v>
      </c>
      <c r="N138" s="53">
        <f t="shared" si="115"/>
        <v>0</v>
      </c>
      <c r="O138" s="53">
        <f t="shared" si="115"/>
        <v>0</v>
      </c>
      <c r="P138" s="53">
        <f>P135*$C$137</f>
        <v>0</v>
      </c>
      <c r="Q138" s="53">
        <f>Q135*$C$137</f>
        <v>0</v>
      </c>
      <c r="R138" s="53">
        <f>R135*$C$137</f>
        <v>0</v>
      </c>
      <c r="S138" s="53">
        <f>S135*$C$137</f>
        <v>0</v>
      </c>
      <c r="T138" s="53">
        <f>T135*$C$137</f>
        <v>0</v>
      </c>
    </row>
    <row r="139" spans="2:20" ht="15.75" thickBot="1">
      <c r="B139" s="37" t="s">
        <v>40</v>
      </c>
      <c r="C139" s="37"/>
      <c r="D139" s="54">
        <f aca="true" t="shared" si="116" ref="D139:I139">D133-D138</f>
        <v>397.5</v>
      </c>
      <c r="E139" s="54">
        <f t="shared" si="116"/>
        <v>35281.5</v>
      </c>
      <c r="F139" s="54">
        <f t="shared" si="116"/>
        <v>15541.634432606123</v>
      </c>
      <c r="G139" s="54">
        <f>G133-G138</f>
        <v>0</v>
      </c>
      <c r="H139" s="54">
        <f t="shared" si="116"/>
        <v>6585.4332</v>
      </c>
      <c r="I139" s="54">
        <f t="shared" si="116"/>
        <v>0</v>
      </c>
      <c r="J139" s="54">
        <f aca="true" t="shared" si="117" ref="J139:O139">J133-J138</f>
        <v>0</v>
      </c>
      <c r="K139" s="54">
        <f t="shared" si="117"/>
        <v>0</v>
      </c>
      <c r="L139" s="54">
        <f t="shared" si="117"/>
        <v>0</v>
      </c>
      <c r="M139" s="54">
        <f t="shared" si="117"/>
        <v>0</v>
      </c>
      <c r="N139" s="54">
        <f t="shared" si="117"/>
        <v>0</v>
      </c>
      <c r="O139" s="54">
        <f t="shared" si="117"/>
        <v>0</v>
      </c>
      <c r="P139" s="54">
        <f>P133-P138</f>
        <v>0</v>
      </c>
      <c r="Q139" s="54">
        <f>Q133-Q138</f>
        <v>0</v>
      </c>
      <c r="R139" s="54">
        <f>R133-R138</f>
        <v>0</v>
      </c>
      <c r="S139" s="54">
        <f>S133-S138</f>
        <v>0</v>
      </c>
      <c r="T139" s="54">
        <f>T133-T138</f>
        <v>0</v>
      </c>
    </row>
    <row r="140" spans="2:8" ht="15">
      <c r="B140" s="37"/>
      <c r="C140" s="37"/>
      <c r="D140" s="38"/>
      <c r="E140" s="38"/>
      <c r="F140" s="38"/>
      <c r="G140" s="38"/>
      <c r="H140" s="38"/>
    </row>
    <row r="141" spans="1:8" s="68" customFormat="1" ht="15">
      <c r="A141" s="69"/>
      <c r="B141" s="68" t="s">
        <v>60</v>
      </c>
      <c r="D141" s="75"/>
      <c r="E141" s="75"/>
      <c r="F141" s="75"/>
      <c r="G141" s="75"/>
      <c r="H141" s="75"/>
    </row>
    <row r="142" spans="1:20" s="68" customFormat="1" ht="15">
      <c r="A142" s="69"/>
      <c r="B142" s="76" t="s">
        <v>61</v>
      </c>
      <c r="D142" s="75">
        <f aca="true" t="shared" si="118" ref="D142:N142">+D118+D132</f>
        <v>82100</v>
      </c>
      <c r="E142" s="75">
        <f t="shared" si="118"/>
        <v>411229</v>
      </c>
      <c r="F142" s="75">
        <f t="shared" si="118"/>
        <v>603949.0599999999</v>
      </c>
      <c r="G142" s="75">
        <f t="shared" si="118"/>
        <v>739672.6614</v>
      </c>
      <c r="H142" s="75">
        <f t="shared" si="118"/>
        <v>1053921.6398581997</v>
      </c>
      <c r="I142" s="75">
        <f t="shared" si="118"/>
        <v>76484.04</v>
      </c>
      <c r="J142" s="75">
        <f t="shared" si="118"/>
        <v>0</v>
      </c>
      <c r="K142" s="75">
        <f t="shared" si="118"/>
        <v>0</v>
      </c>
      <c r="L142" s="75">
        <f t="shared" si="118"/>
        <v>0</v>
      </c>
      <c r="M142" s="75">
        <f t="shared" si="118"/>
        <v>0</v>
      </c>
      <c r="N142" s="75">
        <f t="shared" si="118"/>
        <v>0</v>
      </c>
      <c r="O142" s="75">
        <f>+O118+O132</f>
        <v>0</v>
      </c>
      <c r="P142" s="75">
        <f>+P118+P132</f>
        <v>0</v>
      </c>
      <c r="Q142" s="75">
        <f>+Q118+Q132</f>
        <v>0</v>
      </c>
      <c r="R142" s="75">
        <f>+R118+R132</f>
        <v>0</v>
      </c>
      <c r="S142" s="75">
        <f>+S118+S132</f>
        <v>0</v>
      </c>
      <c r="T142" s="75">
        <f>+T118+T132</f>
        <v>0</v>
      </c>
    </row>
    <row r="143" spans="1:20" s="68" customFormat="1" ht="15">
      <c r="A143" s="69"/>
      <c r="B143" s="76" t="s">
        <v>39</v>
      </c>
      <c r="D143" s="75">
        <f aca="true" t="shared" si="119" ref="D143:N143">+D124+D138</f>
        <v>3649.7000000000003</v>
      </c>
      <c r="E143" s="75">
        <f t="shared" si="119"/>
        <v>55549.864</v>
      </c>
      <c r="F143" s="75">
        <f t="shared" si="119"/>
        <v>105645.60095799764</v>
      </c>
      <c r="G143" s="75">
        <f t="shared" si="119"/>
        <v>118479.84173735781</v>
      </c>
      <c r="H143" s="75">
        <f t="shared" si="119"/>
        <v>172505.52131469958</v>
      </c>
      <c r="I143" s="75">
        <f t="shared" si="119"/>
        <v>203921.30680385162</v>
      </c>
      <c r="J143" s="75">
        <f t="shared" si="119"/>
        <v>184608.3653155435</v>
      </c>
      <c r="K143" s="75">
        <f t="shared" si="119"/>
        <v>169839.6960903</v>
      </c>
      <c r="L143" s="75">
        <f t="shared" si="119"/>
        <v>156252.520403076</v>
      </c>
      <c r="M143" s="75">
        <f t="shared" si="119"/>
        <v>143752.31877082994</v>
      </c>
      <c r="N143" s="75">
        <f t="shared" si="119"/>
        <v>132252.13326916352</v>
      </c>
      <c r="O143" s="75">
        <f>+O124+O138</f>
        <v>121671.96260763044</v>
      </c>
      <c r="P143" s="75">
        <f>+P124+P138</f>
        <v>111938.20559902</v>
      </c>
      <c r="Q143" s="75">
        <f>+Q124+Q138</f>
        <v>102983.14915109839</v>
      </c>
      <c r="R143" s="75">
        <f>+R124+R138</f>
        <v>94744.49721901052</v>
      </c>
      <c r="S143" s="75">
        <f>+S124+S138</f>
        <v>87164.93744148967</v>
      </c>
      <c r="T143" s="75">
        <f>+T124+T138</f>
        <v>80191.74244617051</v>
      </c>
    </row>
    <row r="146" spans="2:14" ht="15" hidden="1" outlineLevel="1">
      <c r="B146" s="68" t="s">
        <v>90</v>
      </c>
      <c r="D146" s="40">
        <f>D128</f>
        <v>2010</v>
      </c>
      <c r="E146" s="40">
        <f aca="true" t="shared" si="120" ref="E146:N146">E128</f>
        <v>2011</v>
      </c>
      <c r="F146" s="40">
        <f t="shared" si="120"/>
        <v>2012</v>
      </c>
      <c r="G146" s="40">
        <f t="shared" si="120"/>
        <v>2013</v>
      </c>
      <c r="H146" s="40">
        <f t="shared" si="120"/>
        <v>2014</v>
      </c>
      <c r="I146" s="40">
        <f t="shared" si="120"/>
        <v>2015</v>
      </c>
      <c r="J146" s="40">
        <f t="shared" si="120"/>
        <v>2016</v>
      </c>
      <c r="K146" s="40">
        <f t="shared" si="120"/>
        <v>2017</v>
      </c>
      <c r="L146" s="40">
        <f t="shared" si="120"/>
        <v>2018</v>
      </c>
      <c r="M146" s="40">
        <f t="shared" si="120"/>
        <v>2019</v>
      </c>
      <c r="N146" s="40">
        <f t="shared" si="120"/>
        <v>2020</v>
      </c>
    </row>
    <row r="147" spans="2:14" ht="15" hidden="1" outlineLevel="1">
      <c r="B147" s="15" t="str">
        <f>B11</f>
        <v>Closing Capital Investment</v>
      </c>
      <c r="D147" s="34">
        <f>D11+D28+D45+D62+D79+D96</f>
        <v>82100</v>
      </c>
      <c r="E147" s="34">
        <f aca="true" t="shared" si="121" ref="E147:N147">E11+E28+E45+E62+E79+E96</f>
        <v>493329</v>
      </c>
      <c r="F147" s="34">
        <f t="shared" si="121"/>
        <v>1097278.06</v>
      </c>
      <c r="G147" s="34">
        <f t="shared" si="121"/>
        <v>1836950.7214</v>
      </c>
      <c r="H147" s="34">
        <f t="shared" si="121"/>
        <v>2890872.3612582</v>
      </c>
      <c r="I147" s="34">
        <f t="shared" si="121"/>
        <v>2967356.4012582</v>
      </c>
      <c r="J147" s="34">
        <f t="shared" si="121"/>
        <v>3034358.6612581997</v>
      </c>
      <c r="K147" s="34">
        <f t="shared" si="121"/>
        <v>3034358.6612581997</v>
      </c>
      <c r="L147" s="34">
        <f t="shared" si="121"/>
        <v>3034358.6612581997</v>
      </c>
      <c r="M147" s="34">
        <f t="shared" si="121"/>
        <v>3034358.6612581997</v>
      </c>
      <c r="N147" s="34">
        <f t="shared" si="121"/>
        <v>3034358.6612581997</v>
      </c>
    </row>
    <row r="148" spans="2:14" ht="15" hidden="1" outlineLevel="1">
      <c r="B148" s="15" t="s">
        <v>88</v>
      </c>
      <c r="D148" s="34">
        <f>D16+D33+D50+D101+D84+D67</f>
        <v>1980.6833333333334</v>
      </c>
      <c r="E148" s="34">
        <f aca="true" t="shared" si="122" ref="E148:N148">E16+E33+E50+E101+E84+E67</f>
        <v>22316.90638888889</v>
      </c>
      <c r="F148" s="34">
        <f t="shared" si="122"/>
        <v>72449.1409454406</v>
      </c>
      <c r="G148" s="34">
        <f>G16+G33+G50+G101+G84+G67</f>
        <v>145790.77166354706</v>
      </c>
      <c r="H148" s="34">
        <f t="shared" si="122"/>
        <v>250449.60805892077</v>
      </c>
      <c r="I148" s="34">
        <f t="shared" si="122"/>
        <v>369431.1928658111</v>
      </c>
      <c r="J148" s="34">
        <f t="shared" si="122"/>
        <v>479393.43517270125</v>
      </c>
      <c r="K148" s="34">
        <f t="shared" si="122"/>
        <v>587145.2339795915</v>
      </c>
      <c r="L148" s="34">
        <f t="shared" si="122"/>
        <v>693250.4003109364</v>
      </c>
      <c r="M148" s="34">
        <f t="shared" si="122"/>
        <v>797709.4825178266</v>
      </c>
      <c r="N148" s="34">
        <f t="shared" si="122"/>
        <v>902168.5647247172</v>
      </c>
    </row>
    <row r="149" spans="2:14" ht="15" hidden="1" outlineLevel="1">
      <c r="B149" s="15" t="s">
        <v>89</v>
      </c>
      <c r="D149" s="34">
        <f>D14+D15+D31+D32+D48+D49+D65+D66+D82+D83+D99+D100</f>
        <v>1980.6833333333334</v>
      </c>
      <c r="E149" s="34">
        <f aca="true" t="shared" si="123" ref="E149:M149">E14+E15+E31+E32+E48+E49+E65+E66+E82+E83+E99+E100</f>
        <v>20336.223055555554</v>
      </c>
      <c r="F149" s="34">
        <f t="shared" si="123"/>
        <v>50132.2345565517</v>
      </c>
      <c r="G149" s="34">
        <f t="shared" si="123"/>
        <v>73341.63071810649</v>
      </c>
      <c r="H149" s="34">
        <f t="shared" si="123"/>
        <v>104658.83639537368</v>
      </c>
      <c r="I149" s="34">
        <f t="shared" si="123"/>
        <v>118981.5848068903</v>
      </c>
      <c r="J149" s="34">
        <f t="shared" si="123"/>
        <v>109962.2423068903</v>
      </c>
      <c r="K149" s="34">
        <f t="shared" si="123"/>
        <v>107751.79880689029</v>
      </c>
      <c r="L149" s="34">
        <f t="shared" si="123"/>
        <v>106105.16633134488</v>
      </c>
      <c r="M149" s="34">
        <f t="shared" si="123"/>
        <v>104459.08220689029</v>
      </c>
      <c r="N149" s="34">
        <f>N14+N15+N31+N32+N48+N49+N65+N66+N82+N83+N99+N100</f>
        <v>104459.08220689029</v>
      </c>
    </row>
    <row r="150" ht="15" hidden="1" outlineLevel="1"/>
    <row r="151" spans="9:14" ht="15" hidden="1" outlineLevel="1">
      <c r="I151" s="34"/>
      <c r="J151" s="34"/>
      <c r="K151" s="34"/>
      <c r="L151" s="34"/>
      <c r="M151" s="34"/>
      <c r="N151" s="34"/>
    </row>
    <row r="152" ht="15" hidden="1" outlineLevel="1">
      <c r="B152" s="68" t="s">
        <v>91</v>
      </c>
    </row>
    <row r="153" spans="2:14" ht="15" hidden="1" outlineLevel="1">
      <c r="B153" s="15">
        <v>5705</v>
      </c>
      <c r="C153" s="121">
        <v>1818</v>
      </c>
      <c r="D153" s="34">
        <f>SUM(D14:D15)</f>
        <v>382.8</v>
      </c>
      <c r="E153" s="34">
        <f aca="true" t="shared" si="124" ref="E153:N153">SUM(E14:E15)</f>
        <v>2447.9625</v>
      </c>
      <c r="F153" s="34">
        <f t="shared" si="124"/>
        <v>7896.6330482360845</v>
      </c>
      <c r="G153" s="34">
        <f t="shared" si="124"/>
        <v>16896.67820823363</v>
      </c>
      <c r="H153" s="34">
        <f t="shared" si="124"/>
        <v>27519.849033862738</v>
      </c>
      <c r="I153" s="34">
        <f t="shared" si="124"/>
        <v>32909.28274773039</v>
      </c>
      <c r="J153" s="34">
        <f t="shared" si="124"/>
        <v>32909.28274773039</v>
      </c>
      <c r="K153" s="34">
        <f t="shared" si="124"/>
        <v>32909.28274773039</v>
      </c>
      <c r="L153" s="34">
        <f t="shared" si="124"/>
        <v>32909.28274773039</v>
      </c>
      <c r="M153" s="34">
        <f t="shared" si="124"/>
        <v>32909.28274773039</v>
      </c>
      <c r="N153" s="34">
        <f t="shared" si="124"/>
        <v>32909.28274773039</v>
      </c>
    </row>
    <row r="154" spans="2:14" ht="15" hidden="1" outlineLevel="1">
      <c r="B154" s="15">
        <v>5705</v>
      </c>
      <c r="C154" s="121">
        <v>1822</v>
      </c>
      <c r="D154" s="34">
        <f>SUM(D65:D66)</f>
        <v>572.575</v>
      </c>
      <c r="E154" s="34">
        <f aca="true" t="shared" si="125" ref="E154:N154">SUM(E65:E66)</f>
        <v>3339.25</v>
      </c>
      <c r="F154" s="34">
        <f t="shared" si="125"/>
        <v>7217.8529811023145</v>
      </c>
      <c r="G154" s="34">
        <f t="shared" si="125"/>
        <v>9535.653145541062</v>
      </c>
      <c r="H154" s="34">
        <f t="shared" si="125"/>
        <v>15953.068368458338</v>
      </c>
      <c r="I154" s="34">
        <f t="shared" si="125"/>
        <v>23649.287408039174</v>
      </c>
      <c r="J154" s="34">
        <f t="shared" si="125"/>
        <v>27236.444908039175</v>
      </c>
      <c r="K154" s="34">
        <f t="shared" si="125"/>
        <v>28911.501408039174</v>
      </c>
      <c r="L154" s="34">
        <f t="shared" si="125"/>
        <v>28911.501408039174</v>
      </c>
      <c r="M154" s="34">
        <f t="shared" si="125"/>
        <v>28911.501408039174</v>
      </c>
      <c r="N154" s="34">
        <f t="shared" si="125"/>
        <v>28911.501408039174</v>
      </c>
    </row>
    <row r="155" spans="2:14" ht="15" hidden="1" outlineLevel="1">
      <c r="B155" s="15">
        <v>5705</v>
      </c>
      <c r="C155" s="121">
        <v>1845</v>
      </c>
      <c r="D155" s="34">
        <f>SUM(D99:D100)</f>
        <v>0</v>
      </c>
      <c r="E155" s="34">
        <f aca="true" t="shared" si="126" ref="E155:N155">SUM(E99:E100)</f>
        <v>111.02222222222223</v>
      </c>
      <c r="F155" s="34">
        <f t="shared" si="126"/>
        <v>1582.5938409992502</v>
      </c>
      <c r="G155" s="34">
        <f t="shared" si="126"/>
        <v>5421.898363683033</v>
      </c>
      <c r="H155" s="34">
        <f t="shared" si="126"/>
        <v>9403.10920292837</v>
      </c>
      <c r="I155" s="34">
        <f t="shared" si="126"/>
        <v>10905.564916044734</v>
      </c>
      <c r="J155" s="34">
        <f t="shared" si="126"/>
        <v>10905.564916044734</v>
      </c>
      <c r="K155" s="34">
        <f t="shared" si="126"/>
        <v>10905.564916044734</v>
      </c>
      <c r="L155" s="34">
        <f t="shared" si="126"/>
        <v>10905.564916044734</v>
      </c>
      <c r="M155" s="34">
        <f t="shared" si="126"/>
        <v>10905.564916044734</v>
      </c>
      <c r="N155" s="34">
        <f t="shared" si="126"/>
        <v>10905.564916044734</v>
      </c>
    </row>
    <row r="156" spans="2:14" ht="15" hidden="1" outlineLevel="1">
      <c r="B156" s="15">
        <v>5705</v>
      </c>
      <c r="C156" s="121">
        <v>1912</v>
      </c>
      <c r="D156" s="34">
        <f>SUM(D82:D83)</f>
        <v>0</v>
      </c>
      <c r="E156" s="34">
        <f aca="true" t="shared" si="127" ref="E156:N156">SUM(E82:E83)</f>
        <v>18.73</v>
      </c>
      <c r="F156" s="34">
        <f t="shared" si="127"/>
        <v>37.46</v>
      </c>
      <c r="G156" s="34">
        <f t="shared" si="127"/>
        <v>455.7499275342648</v>
      </c>
      <c r="H156" s="34">
        <f t="shared" si="127"/>
        <v>1257.0737800319155</v>
      </c>
      <c r="I156" s="34">
        <f t="shared" si="127"/>
        <v>1640.1077049953012</v>
      </c>
      <c r="J156" s="34">
        <f t="shared" si="127"/>
        <v>1640.1077049953012</v>
      </c>
      <c r="K156" s="34">
        <f t="shared" si="127"/>
        <v>1640.1077049953012</v>
      </c>
      <c r="L156" s="34">
        <f t="shared" si="127"/>
        <v>1640.1077049953012</v>
      </c>
      <c r="M156" s="34">
        <f t="shared" si="127"/>
        <v>1640.1077049953012</v>
      </c>
      <c r="N156" s="34">
        <f t="shared" si="127"/>
        <v>1640.1077049953012</v>
      </c>
    </row>
    <row r="157" spans="2:14" ht="15" hidden="1" outlineLevel="1">
      <c r="B157" s="15">
        <v>5705</v>
      </c>
      <c r="C157" s="121">
        <v>1981</v>
      </c>
      <c r="D157" s="34">
        <f>SUM(D48:D49)</f>
        <v>925.9333333333333</v>
      </c>
      <c r="E157" s="34">
        <f aca="true" t="shared" si="128" ref="E157:N157">SUM(E48:E49)</f>
        <v>5400.133333333333</v>
      </c>
      <c r="F157" s="34">
        <f t="shared" si="128"/>
        <v>11672.786078062529</v>
      </c>
      <c r="G157" s="34">
        <f t="shared" si="128"/>
        <v>15421.333856811434</v>
      </c>
      <c r="H157" s="34">
        <f t="shared" si="128"/>
        <v>23269.06049378925</v>
      </c>
      <c r="I157" s="34">
        <f t="shared" si="128"/>
        <v>30092.62543008069</v>
      </c>
      <c r="J157" s="34">
        <f t="shared" si="128"/>
        <v>30092.62543008069</v>
      </c>
      <c r="K157" s="34">
        <f t="shared" si="128"/>
        <v>30092.62543008069</v>
      </c>
      <c r="L157" s="34">
        <f t="shared" si="128"/>
        <v>30092.62543008069</v>
      </c>
      <c r="M157" s="34">
        <f t="shared" si="128"/>
        <v>30092.62543008069</v>
      </c>
      <c r="N157" s="34">
        <f t="shared" si="128"/>
        <v>30092.62543008069</v>
      </c>
    </row>
    <row r="158" spans="2:14" ht="15" hidden="1" outlineLevel="1">
      <c r="B158" s="15">
        <v>5715</v>
      </c>
      <c r="C158" s="121">
        <v>1925</v>
      </c>
      <c r="D158" s="34">
        <f>SUM(D31:D32)</f>
        <v>99.375</v>
      </c>
      <c r="E158" s="34">
        <f aca="true" t="shared" si="129" ref="E158:N158">SUM(E31:E32)</f>
        <v>9019.125</v>
      </c>
      <c r="F158" s="34">
        <f t="shared" si="129"/>
        <v>21724.90860815153</v>
      </c>
      <c r="G158" s="34">
        <f t="shared" si="129"/>
        <v>25610.31721630306</v>
      </c>
      <c r="H158" s="34">
        <f t="shared" si="129"/>
        <v>27256.67551630306</v>
      </c>
      <c r="I158" s="34">
        <f t="shared" si="129"/>
        <v>19784.7166</v>
      </c>
      <c r="J158" s="34">
        <f t="shared" si="129"/>
        <v>7178.2166</v>
      </c>
      <c r="K158" s="34">
        <f t="shared" si="129"/>
        <v>3292.7166</v>
      </c>
      <c r="L158" s="34">
        <f t="shared" si="129"/>
        <v>1646.0841244545882</v>
      </c>
      <c r="M158" s="34">
        <f t="shared" si="129"/>
        <v>0</v>
      </c>
      <c r="N158" s="34">
        <f t="shared" si="129"/>
        <v>0</v>
      </c>
    </row>
    <row r="159" spans="4:14" ht="15" hidden="1" outlineLevel="1">
      <c r="D159" s="123">
        <f>SUM(D153:D158)</f>
        <v>1980.6833333333334</v>
      </c>
      <c r="E159" s="123">
        <f aca="true" t="shared" si="130" ref="E159:N159">SUM(E153:E158)</f>
        <v>20336.223055555554</v>
      </c>
      <c r="F159" s="123">
        <f t="shared" si="130"/>
        <v>50132.2345565517</v>
      </c>
      <c r="G159" s="123">
        <f t="shared" si="130"/>
        <v>73341.63071810649</v>
      </c>
      <c r="H159" s="123">
        <f t="shared" si="130"/>
        <v>104658.83639537367</v>
      </c>
      <c r="I159" s="123">
        <f t="shared" si="130"/>
        <v>118981.58480689029</v>
      </c>
      <c r="J159" s="123">
        <f t="shared" si="130"/>
        <v>109962.24230689029</v>
      </c>
      <c r="K159" s="123">
        <f t="shared" si="130"/>
        <v>107751.79880689029</v>
      </c>
      <c r="L159" s="123">
        <f t="shared" si="130"/>
        <v>106105.16633134488</v>
      </c>
      <c r="M159" s="123">
        <f t="shared" si="130"/>
        <v>104459.08220689029</v>
      </c>
      <c r="N159" s="123">
        <f t="shared" si="130"/>
        <v>104459.08220689029</v>
      </c>
    </row>
    <row r="160" spans="3:14" ht="15" hidden="1" outlineLevel="1">
      <c r="C160" s="15" t="s">
        <v>92</v>
      </c>
      <c r="D160" s="122">
        <f>D159-D149</f>
        <v>0</v>
      </c>
      <c r="E160" s="122">
        <f aca="true" t="shared" si="131" ref="E160:N160">E159-E149</f>
        <v>0</v>
      </c>
      <c r="F160" s="122">
        <f t="shared" si="131"/>
        <v>0</v>
      </c>
      <c r="G160" s="122">
        <f t="shared" si="131"/>
        <v>0</v>
      </c>
      <c r="H160" s="122">
        <f t="shared" si="131"/>
        <v>0</v>
      </c>
      <c r="I160" s="122">
        <f t="shared" si="131"/>
        <v>0</v>
      </c>
      <c r="J160" s="122">
        <f t="shared" si="131"/>
        <v>0</v>
      </c>
      <c r="K160" s="122">
        <f t="shared" si="131"/>
        <v>0</v>
      </c>
      <c r="L160" s="122">
        <f t="shared" si="131"/>
        <v>0</v>
      </c>
      <c r="M160" s="122">
        <f t="shared" si="131"/>
        <v>0</v>
      </c>
      <c r="N160" s="122">
        <f t="shared" si="131"/>
        <v>0</v>
      </c>
    </row>
    <row r="161" ht="15" collapsed="1"/>
  </sheetData>
  <sheetProtection formatColumns="0" selectLockedCells="1"/>
  <printOptions/>
  <pageMargins left="0.5511811023622047" right="0.5511811023622047" top="0.7874015748031497" bottom="0.7480314960629921" header="0.5118110236220472" footer="0.5118110236220472"/>
  <pageSetup fitToHeight="3" horizontalDpi="600" verticalDpi="600" orientation="landscape" scale="51" r:id="rId1"/>
  <rowBreaks count="2" manualBreakCount="2">
    <brk id="54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Jerry Wang</cp:lastModifiedBy>
  <cp:lastPrinted>2020-08-13T21:25:21Z</cp:lastPrinted>
  <dcterms:created xsi:type="dcterms:W3CDTF">2009-03-31T14:51:00Z</dcterms:created>
  <dcterms:modified xsi:type="dcterms:W3CDTF">2020-10-02T16:40:54Z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