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Geoffrey\2018 NOW\2018 Rate Application\Models\"/>
    </mc:Choice>
  </mc:AlternateContent>
  <bookViews>
    <workbookView xWindow="0" yWindow="0" windowWidth="28800" windowHeight="11835" activeTab="1"/>
  </bookViews>
  <sheets>
    <sheet name="Instructions" sheetId="2" r:id="rId1"/>
    <sheet name="GA Analysis" sheetId="9" r:id="rId2"/>
  </sheets>
  <definedNames>
    <definedName name="cancel" localSheetId="1">#REF!</definedName>
    <definedName name="cancel">#REF!</definedName>
    <definedName name="GARate" localSheetId="1">#REF!</definedName>
    <definedName name="GARate">#REF!</definedName>
    <definedName name="GARate1" localSheetId="1">#REF!</definedName>
    <definedName name="GARate1">#REF!</definedName>
    <definedName name="GARate3" localSheetId="1">#REF!</definedName>
    <definedName name="GARate3">#REF!</definedName>
    <definedName name="_xlnm.Print_Area" localSheetId="1">'GA Analysis'!$A$1:$K$107</definedName>
    <definedName name="_xlnm.Print_Area" localSheetId="0">Instructions!$A$11:$C$83</definedName>
    <definedName name="reter" localSheetId="1">#REF!</definedName>
    <definedName name="reter">#REF!</definedName>
    <definedName name="rwerewr" localSheetId="1">#REF!</definedName>
    <definedName name="rwerewr">#REF!</definedName>
    <definedName name="tertert" localSheetId="1">#REF!</definedName>
    <definedName name="tertert">#REF!</definedName>
    <definedName name="wer" localSheetId="1">#REF!</definedName>
    <definedName name="wer">#REF!</definedName>
  </definedNames>
  <calcPr calcId="152511"/>
</workbook>
</file>

<file path=xl/calcChain.xml><?xml version="1.0" encoding="utf-8"?>
<calcChain xmlns="http://schemas.openxmlformats.org/spreadsheetml/2006/main">
  <c r="D76" i="9" l="1"/>
  <c r="K82" i="9"/>
  <c r="K79" i="9"/>
  <c r="K78" i="9"/>
  <c r="K77" i="9"/>
  <c r="K76" i="9"/>
  <c r="K75" i="9"/>
  <c r="K73" i="9"/>
  <c r="K72" i="9"/>
  <c r="K83" i="9" l="1"/>
  <c r="K85" i="9" s="1"/>
  <c r="H92" i="9" l="1"/>
  <c r="E92" i="9"/>
  <c r="D92" i="9"/>
  <c r="C92" i="9"/>
  <c r="G91" i="9"/>
  <c r="I91" i="9" s="1"/>
  <c r="F91" i="9"/>
  <c r="F90" i="9"/>
  <c r="G90" i="9" s="1"/>
  <c r="I90" i="9" s="1"/>
  <c r="F89" i="9"/>
  <c r="G89" i="9" s="1"/>
  <c r="I89" i="9" s="1"/>
  <c r="F88" i="9"/>
  <c r="G88" i="9" s="1"/>
  <c r="D79" i="9"/>
  <c r="C59" i="9"/>
  <c r="I58" i="9"/>
  <c r="G58" i="9"/>
  <c r="F58" i="9"/>
  <c r="H58" i="9" s="1"/>
  <c r="D58" i="9"/>
  <c r="I57" i="9"/>
  <c r="G57" i="9"/>
  <c r="E57" i="9"/>
  <c r="F57" i="9" s="1"/>
  <c r="D57" i="9"/>
  <c r="I56" i="9"/>
  <c r="G56" i="9"/>
  <c r="E56" i="9"/>
  <c r="F56" i="9" s="1"/>
  <c r="D56" i="9"/>
  <c r="I55" i="9"/>
  <c r="G55" i="9"/>
  <c r="E55" i="9"/>
  <c r="F55" i="9" s="1"/>
  <c r="D55" i="9"/>
  <c r="I54" i="9"/>
  <c r="G54" i="9"/>
  <c r="E54" i="9"/>
  <c r="F54" i="9" s="1"/>
  <c r="D54" i="9"/>
  <c r="I53" i="9"/>
  <c r="G53" i="9"/>
  <c r="E53" i="9"/>
  <c r="F53" i="9" s="1"/>
  <c r="D53" i="9"/>
  <c r="I52" i="9"/>
  <c r="G52" i="9"/>
  <c r="E52" i="9"/>
  <c r="F52" i="9" s="1"/>
  <c r="D52" i="9"/>
  <c r="I51" i="9"/>
  <c r="G51" i="9"/>
  <c r="E51" i="9"/>
  <c r="F51" i="9" s="1"/>
  <c r="D51" i="9"/>
  <c r="I50" i="9"/>
  <c r="G50" i="9"/>
  <c r="E50" i="9"/>
  <c r="F50" i="9" s="1"/>
  <c r="D50" i="9"/>
  <c r="I49" i="9"/>
  <c r="G49" i="9"/>
  <c r="E49" i="9"/>
  <c r="F49" i="9" s="1"/>
  <c r="D49" i="9"/>
  <c r="I48" i="9"/>
  <c r="G48" i="9"/>
  <c r="E48" i="9"/>
  <c r="F48" i="9" s="1"/>
  <c r="D48" i="9"/>
  <c r="I47" i="9"/>
  <c r="G47" i="9"/>
  <c r="E47" i="9"/>
  <c r="F47" i="9" s="1"/>
  <c r="D47" i="9"/>
  <c r="D59" i="9" s="1"/>
  <c r="F24" i="9"/>
  <c r="D24" i="9"/>
  <c r="D22" i="9"/>
  <c r="F26" i="9" s="1"/>
  <c r="H47" i="9" l="1"/>
  <c r="F59" i="9"/>
  <c r="J47" i="9"/>
  <c r="H48" i="9"/>
  <c r="J48" i="9"/>
  <c r="H49" i="9"/>
  <c r="J49" i="9"/>
  <c r="H50" i="9"/>
  <c r="J50" i="9"/>
  <c r="H51" i="9"/>
  <c r="J51" i="9"/>
  <c r="H52" i="9"/>
  <c r="J52" i="9"/>
  <c r="H53" i="9"/>
  <c r="J53" i="9"/>
  <c r="H54" i="9"/>
  <c r="J54" i="9"/>
  <c r="H55" i="9"/>
  <c r="J55" i="9"/>
  <c r="H56" i="9"/>
  <c r="J56" i="9"/>
  <c r="H57" i="9"/>
  <c r="J57" i="9"/>
  <c r="G92" i="9"/>
  <c r="I88" i="9"/>
  <c r="J58" i="9"/>
  <c r="K58" i="9" s="1"/>
  <c r="E59" i="9"/>
  <c r="F25" i="9"/>
  <c r="F92" i="9"/>
  <c r="F23" i="9"/>
  <c r="K57" i="9" l="1"/>
  <c r="K55" i="9"/>
  <c r="K53" i="9"/>
  <c r="K51" i="9"/>
  <c r="K49" i="9"/>
  <c r="J59" i="9"/>
  <c r="K47" i="9"/>
  <c r="K56" i="9"/>
  <c r="K54" i="9"/>
  <c r="K52" i="9"/>
  <c r="K50" i="9"/>
  <c r="K48" i="9"/>
  <c r="H59" i="9"/>
  <c r="K59" i="9" l="1"/>
  <c r="D80" i="9" s="1"/>
  <c r="D81" i="9" s="1"/>
  <c r="D82" i="9" s="1"/>
</calcChain>
</file>

<file path=xl/sharedStrings.xml><?xml version="1.0" encoding="utf-8"?>
<sst xmlns="http://schemas.openxmlformats.org/spreadsheetml/2006/main" count="217" uniqueCount="176">
  <si>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</si>
  <si>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</si>
  <si>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</si>
  <si>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</si>
  <si>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</si>
  <si>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</si>
  <si>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</si>
  <si>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</si>
  <si>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</si>
  <si>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</si>
  <si>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</si>
  <si>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</si>
  <si>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</si>
  <si>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</si>
  <si>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</si>
  <si>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</si>
  <si>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</si>
  <si>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</si>
  <si>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</si>
  <si>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</si>
  <si>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</si>
  <si>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</si>
  <si>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</si>
  <si>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</si>
  <si>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</si>
  <si>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</si>
  <si>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</si>
  <si>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</si>
  <si>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</si>
  <si>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</si>
  <si>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</si>
  <si>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</si>
  <si>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</si>
  <si>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</si>
  <si>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</si>
  <si>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</si>
  <si>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</si>
  <si>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</si>
  <si>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</si>
  <si>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</si>
  <si>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</si>
  <si>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</si>
  <si>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</si>
  <si>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</si>
  <si>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</si>
  <si>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</si>
  <si>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</si>
  <si>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</si>
  <si>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</si>
  <si>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</si>
  <si>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</si>
  <si>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</si>
  <si>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</si>
  <si>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</si>
  <si>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</si>
  <si>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</si>
  <si>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</si>
  <si>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</si>
  <si>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</si>
  <si>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</si>
  <si>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</si>
  <si>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</si>
  <si>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</si>
  <si>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</si>
  <si>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</si>
  <si>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</si>
  <si>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</si>
  <si>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</si>
  <si>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</si>
  <si>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</si>
  <si>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</si>
  <si>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</si>
  <si>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</si>
  <si>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</si>
  <si>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</si>
  <si>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</si>
  <si>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</si>
  <si>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</si>
  <si>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</si>
  <si>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</si>
  <si>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</si>
  <si>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</si>
  <si>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</si>
  <si>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</si>
  <si>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</si>
  <si>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</si>
  <si>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</si>
  <si>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</si>
  <si>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</si>
  <si>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</si>
  <si>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</si>
  <si>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</si>
  <si>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</si>
  <si>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</si>
  <si>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</si>
  <si>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</si>
  <si>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</si>
  <si>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</si>
  <si>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</si>
  <si>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</si>
  <si>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</si>
  <si>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</si>
  <si>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</si>
  <si>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</si>
  <si>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</si>
  <si>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</si>
  <si>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</si>
  <si>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</si>
  <si>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</si>
  <si>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</si>
  <si>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</si>
  <si>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</si>
  <si>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</si>
  <si>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</si>
  <si>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</si>
  <si>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</si>
  <si>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</si>
  <si>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</si>
  <si>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</si>
  <si>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</si>
  <si>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</si>
  <si>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</si>
  <si>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</si>
  <si>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</si>
  <si>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</si>
  <si>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</si>
  <si>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</si>
  <si>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</si>
  <si>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</si>
  <si>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</si>
  <si>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</si>
  <si>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</si>
  <si>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</si>
  <si>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</si>
  <si>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</si>
  <si>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</si>
  <si>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</si>
  <si>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</si>
  <si>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</si>
  <si>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</si>
  <si>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</si>
  <si>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</si>
  <si>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</si>
  <si>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</si>
  <si>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</si>
  <si>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</si>
  <si>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</si>
  <si>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</si>
  <si>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</si>
  <si>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</si>
  <si>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</si>
  <si>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</si>
  <si>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</si>
  <si>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</si>
  <si>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</si>
  <si>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</si>
  <si>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</si>
  <si>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</si>
  <si>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</si>
  <si>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</si>
  <si>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</si>
  <si>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</si>
  <si>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</si>
  <si>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 xml:space="preserve">Do not have any long term load transfers </t>
  </si>
  <si>
    <t>No Class A customers in 2016</t>
  </si>
  <si>
    <t>Yes</t>
  </si>
  <si>
    <t>No</t>
  </si>
  <si>
    <t>Actual figures used for unbilled calculation</t>
  </si>
  <si>
    <t>Difference in Loss Factor in amount billed vs amount purchased</t>
  </si>
  <si>
    <t>Variance in calculation of RPP/non-RPP split</t>
  </si>
  <si>
    <t>Variance calculated as a result of splitting RPP/Non-RPP consumption based on System Load rather than billing consumption (adjusted on IRM DVA continuity schedule as an adjustment)</t>
  </si>
  <si>
    <t>Manual adjustments to GA charged by IESO at Average Non-RPP split</t>
  </si>
  <si>
    <t>Manual GA adjustments billed by IESO to NOW throughout 2016</t>
  </si>
  <si>
    <t>Any manual GA adjustments in 2016</t>
  </si>
  <si>
    <t>Calculated using % Non-RPP Billed and consumption charged by IESO, variance resulting is from the difference in loss factors</t>
  </si>
  <si>
    <t>No significant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</si>
</sst>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3" fontId="2" fillId="2" borderId="2" xfId="5" applyFont="1" applyFill="1" applyBorder="1"/>
    <xf numFmtId="167" fontId="2" fillId="0" borderId="0" xfId="0" applyNumberFormat="1" applyFont="1"/>
    <xf numFmtId="43" fontId="3" fillId="0" borderId="0" xfId="0" applyNumberFormat="1" applyFont="1"/>
    <xf numFmtId="168" fontId="2" fillId="0" borderId="0" xfId="0" applyNumberFormat="1" applyFont="1"/>
    <xf numFmtId="10" fontId="12" fillId="0" borderId="0" xfId="0" applyNumberFormat="1" applyFont="1"/>
    <xf numFmtId="0" fontId="3" fillId="0" borderId="2" xfId="0" applyFont="1" applyBorder="1" applyAlignment="1">
      <alignment horizontal="center"/>
    </xf>
    <xf numFmtId="0" fontId="6" fillId="0" borderId="2" xfId="0" applyFont="1" applyBorder="1" applyAlignment="1">
      <alignment horizontal="center"/>
    </xf>
    <xf numFmtId="17" fontId="7" fillId="0" borderId="0" xfId="0" applyNumberFormat="1" applyFont="1" applyFill="1"/>
    <xf numFmtId="44" fontId="7" fillId="0" borderId="0" xfId="1" applyFont="1" applyFill="1"/>
    <xf numFmtId="44" fontId="3" fillId="0" borderId="26" xfId="0" applyNumberFormat="1" applyFont="1" applyBorder="1"/>
    <xf numFmtId="10" fontId="2" fillId="0" borderId="0" xfId="0" applyNumberFormat="1" applyFont="1"/>
    <xf numFmtId="1"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The billing cycle is on a calendar month basis. </a:t>
          </a:r>
          <a:r>
            <a:rPr lang="en-CA" sz="1100" b="0" i="0" baseline="0">
              <a:solidFill>
                <a:schemeClr val="dk1"/>
              </a:solidFill>
              <a:effectLst/>
              <a:latin typeface="+mn-lt"/>
              <a:ea typeface="+mn-ea"/>
              <a:cs typeface="+mn-cs"/>
            </a:rPr>
            <a:t>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The variance in calculation of RPP/Non-RPP split</a:t>
          </a:r>
          <a:r>
            <a:rPr lang="en-CA" sz="1100" baseline="0">
              <a:latin typeface="Arial" panose="020B0604020202020204" pitchFamily="34" charset="0"/>
              <a:cs typeface="Arial" panose="020B0604020202020204" pitchFamily="34" charset="0"/>
            </a:rPr>
            <a:t> has been reflected in the 2016 Disposition in the 2018 IRM Continuity schedule as an adjustment.</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3" zoomScaleNormal="100" zoomScaleSheetLayoutView="85" workbookViewId="0">
      <selection activeCell="C86" sqref="C86"/>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2"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8" t="s">
        <v>85</v>
      </c>
      <c r="B18" s="148"/>
      <c r="C18" s="148"/>
    </row>
    <row r="20" spans="1:26" x14ac:dyDescent="0.2">
      <c r="A20" s="42">
        <v>1</v>
      </c>
      <c r="B20" s="145" t="s">
        <v>140</v>
      </c>
      <c r="C20" s="145"/>
    </row>
    <row r="21" spans="1:26" x14ac:dyDescent="0.2">
      <c r="B21" s="128"/>
      <c r="C21" s="128"/>
    </row>
    <row r="23" spans="1:26" ht="31.5" customHeight="1" x14ac:dyDescent="0.2">
      <c r="A23" s="42">
        <v>2</v>
      </c>
      <c r="B23" s="146" t="s">
        <v>86</v>
      </c>
      <c r="C23" s="146"/>
    </row>
    <row r="24" spans="1:26" x14ac:dyDescent="0.2">
      <c r="B24" s="127"/>
      <c r="C24" s="127"/>
    </row>
    <row r="26" spans="1:26" x14ac:dyDescent="0.2">
      <c r="A26" s="42">
        <v>3</v>
      </c>
      <c r="B26" s="147" t="s">
        <v>109</v>
      </c>
      <c r="C26" s="147"/>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6" t="s">
        <v>155</v>
      </c>
      <c r="B33" s="146"/>
      <c r="C33" s="146"/>
    </row>
    <row r="34" spans="1:3" x14ac:dyDescent="0.2">
      <c r="B34" s="127"/>
      <c r="C34" s="127"/>
    </row>
    <row r="35" spans="1:3" x14ac:dyDescent="0.2">
      <c r="B35" s="85"/>
    </row>
    <row r="36" spans="1:3" x14ac:dyDescent="0.2">
      <c r="A36" s="42">
        <v>4</v>
      </c>
      <c r="B36" s="147" t="s">
        <v>141</v>
      </c>
      <c r="C36" s="147"/>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27"/>
      <c r="C41" s="127"/>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27"/>
      <c r="C53" s="127"/>
    </row>
    <row r="54" spans="2:3" x14ac:dyDescent="0.2">
      <c r="B54" s="130"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27"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27" t="s">
        <v>144</v>
      </c>
    </row>
    <row r="69" spans="1:3" ht="30" x14ac:dyDescent="0.2">
      <c r="B69" s="93"/>
      <c r="C69" s="127" t="s">
        <v>145</v>
      </c>
    </row>
    <row r="70" spans="1:3" x14ac:dyDescent="0.2">
      <c r="B70" s="93" t="s">
        <v>106</v>
      </c>
      <c r="C70" s="40" t="s">
        <v>105</v>
      </c>
    </row>
    <row r="71" spans="1:3" ht="30" x14ac:dyDescent="0.2">
      <c r="B71" s="93"/>
      <c r="C71" s="127" t="s">
        <v>107</v>
      </c>
    </row>
    <row r="72" spans="1:3" x14ac:dyDescent="0.2">
      <c r="B72" s="93" t="s">
        <v>146</v>
      </c>
      <c r="C72" s="127" t="s">
        <v>137</v>
      </c>
    </row>
    <row r="73" spans="1:3" ht="45" x14ac:dyDescent="0.2">
      <c r="B73" s="93"/>
      <c r="C73" s="127" t="s">
        <v>148</v>
      </c>
    </row>
    <row r="74" spans="1:3" x14ac:dyDescent="0.2">
      <c r="B74" s="93" t="s">
        <v>147</v>
      </c>
      <c r="C74" s="127" t="s">
        <v>149</v>
      </c>
    </row>
    <row r="75" spans="1:3" ht="30" x14ac:dyDescent="0.2">
      <c r="B75" s="93"/>
      <c r="C75" s="127" t="s">
        <v>127</v>
      </c>
    </row>
    <row r="76" spans="1:3" x14ac:dyDescent="0.2">
      <c r="B76" s="93"/>
      <c r="C76" s="127"/>
    </row>
    <row r="77" spans="1:3" x14ac:dyDescent="0.2">
      <c r="A77" s="42">
        <v>6</v>
      </c>
      <c r="B77" s="131" t="s">
        <v>151</v>
      </c>
      <c r="C77" s="127"/>
    </row>
    <row r="78" spans="1:3" ht="59.25" customHeight="1" x14ac:dyDescent="0.2">
      <c r="B78" s="148" t="s">
        <v>152</v>
      </c>
      <c r="C78" s="148"/>
    </row>
    <row r="79" spans="1:3" x14ac:dyDescent="0.2">
      <c r="B79" s="87"/>
      <c r="C79" s="127"/>
    </row>
    <row r="81" spans="1:3" ht="30.75" customHeight="1" x14ac:dyDescent="0.2">
      <c r="A81" s="42">
        <v>7</v>
      </c>
      <c r="B81" s="146" t="s">
        <v>153</v>
      </c>
      <c r="C81" s="146"/>
    </row>
    <row r="82" spans="1:3" x14ac:dyDescent="0.2">
      <c r="B82" s="127"/>
      <c r="C82" s="127"/>
    </row>
    <row r="83" spans="1:3" ht="15.75" customHeight="1" x14ac:dyDescent="0.2">
      <c r="B83" s="145" t="s">
        <v>108</v>
      </c>
      <c r="C83" s="145"/>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H21" sqref="H2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1.85546875" style="1" bestFit="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4" t="s">
        <v>25</v>
      </c>
      <c r="C21" s="154"/>
      <c r="D21" s="24">
        <v>2016</v>
      </c>
      <c r="E21" s="155"/>
      <c r="F21" s="156"/>
      <c r="G21" s="79"/>
      <c r="H21" s="79"/>
      <c r="I21" s="79"/>
      <c r="J21" s="79"/>
      <c r="K21" s="79"/>
      <c r="L21" s="79"/>
      <c r="M21" s="79"/>
      <c r="N21" s="79"/>
      <c r="O21" s="79"/>
      <c r="P21" s="79"/>
      <c r="Q21" s="79"/>
    </row>
    <row r="22" spans="1:24" ht="15" thickBot="1" x14ac:dyDescent="0.25">
      <c r="A22" s="4"/>
      <c r="B22" s="5" t="s">
        <v>3</v>
      </c>
      <c r="C22" s="5" t="s">
        <v>2</v>
      </c>
      <c r="D22" s="112">
        <f>D23+D24</f>
        <v>118642420</v>
      </c>
      <c r="E22" s="6" t="s">
        <v>0</v>
      </c>
      <c r="F22" s="7">
        <v>1</v>
      </c>
      <c r="G22" s="79"/>
      <c r="H22" s="79"/>
      <c r="I22" s="79"/>
      <c r="J22" s="79"/>
      <c r="K22" s="79"/>
      <c r="L22" s="79"/>
      <c r="M22" s="79"/>
      <c r="N22" s="79"/>
      <c r="O22" s="79"/>
      <c r="P22" s="79"/>
      <c r="Q22" s="79"/>
    </row>
    <row r="23" spans="1:24" x14ac:dyDescent="0.2">
      <c r="B23" s="5" t="s">
        <v>7</v>
      </c>
      <c r="C23" s="5" t="s">
        <v>1</v>
      </c>
      <c r="D23" s="113">
        <v>52963142</v>
      </c>
      <c r="E23" s="6" t="s">
        <v>0</v>
      </c>
      <c r="F23" s="8">
        <f>IFERROR(D23/$D$22,0)</f>
        <v>0.44640982542331825</v>
      </c>
    </row>
    <row r="24" spans="1:24" ht="15" thickBot="1" x14ac:dyDescent="0.25">
      <c r="B24" s="5" t="s">
        <v>8</v>
      </c>
      <c r="C24" s="5" t="s">
        <v>6</v>
      </c>
      <c r="D24" s="112">
        <f>D25+D26</f>
        <v>65679278</v>
      </c>
      <c r="E24" s="6" t="s">
        <v>0</v>
      </c>
      <c r="F24" s="8">
        <f>IFERROR(D24/$D$22,0)</f>
        <v>0.5535901745766818</v>
      </c>
    </row>
    <row r="25" spans="1:24" x14ac:dyDescent="0.2">
      <c r="B25" s="5" t="s">
        <v>9</v>
      </c>
      <c r="C25" s="5" t="s">
        <v>4</v>
      </c>
      <c r="D25" s="113">
        <v>0</v>
      </c>
      <c r="E25" s="6" t="s">
        <v>0</v>
      </c>
      <c r="F25" s="8">
        <f>IFERROR(D25/$D$22,0)</f>
        <v>0</v>
      </c>
    </row>
    <row r="26" spans="1:24" x14ac:dyDescent="0.2">
      <c r="B26" s="5" t="s">
        <v>61</v>
      </c>
      <c r="C26" s="5" t="s">
        <v>5</v>
      </c>
      <c r="D26" s="114">
        <v>65679278</v>
      </c>
      <c r="E26" s="6" t="s">
        <v>0</v>
      </c>
      <c r="F26" s="8">
        <f>IFERROR(D26/$D$22,0)</f>
        <v>0.5535901745766818</v>
      </c>
      <c r="G26" s="29"/>
      <c r="H26" s="29"/>
    </row>
    <row r="27" spans="1:24" ht="34.5" customHeight="1" x14ac:dyDescent="0.2">
      <c r="B27" s="157" t="s">
        <v>77</v>
      </c>
      <c r="C27" s="157"/>
      <c r="D27" s="157"/>
      <c r="E27" s="157"/>
      <c r="F27" s="157"/>
      <c r="G27" s="158"/>
      <c r="H27" s="158"/>
    </row>
    <row r="28" spans="1:24" x14ac:dyDescent="0.2">
      <c r="D28" s="115"/>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3">
        <v>2016</v>
      </c>
      <c r="P45" s="153"/>
      <c r="Q45" s="153"/>
      <c r="R45" s="153">
        <v>2015</v>
      </c>
      <c r="S45" s="153"/>
      <c r="T45" s="153"/>
      <c r="U45" s="153">
        <v>2014</v>
      </c>
      <c r="V45" s="153"/>
      <c r="W45" s="15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6342684</v>
      </c>
      <c r="D47" s="94">
        <f>+C47</f>
        <v>6342684</v>
      </c>
      <c r="E47" s="60">
        <f>+C48</f>
        <v>6951345</v>
      </c>
      <c r="F47" s="51">
        <f>C47-D47+E47</f>
        <v>6951345</v>
      </c>
      <c r="G47" s="108">
        <f>+O47</f>
        <v>8.4229999999999999E-2</v>
      </c>
      <c r="H47" s="15">
        <f>F47*G47</f>
        <v>585511.78934999998</v>
      </c>
      <c r="I47" s="108">
        <f>+Q47</f>
        <v>9.1789999999999997E-2</v>
      </c>
      <c r="J47" s="17">
        <f>F47*I47</f>
        <v>638063.95754999993</v>
      </c>
      <c r="K47" s="16">
        <f>J47-H47</f>
        <v>52552.168199999956</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6951345</v>
      </c>
      <c r="D48" s="94">
        <f t="shared" ref="D48:D58" si="0">+C48</f>
        <v>6951345</v>
      </c>
      <c r="E48" s="60">
        <f t="shared" ref="E48:E57" si="1">+C49</f>
        <v>6839930</v>
      </c>
      <c r="F48" s="51">
        <f t="shared" ref="F48:F58" si="2">C48-D48+E48</f>
        <v>6839930</v>
      </c>
      <c r="G48" s="108">
        <f>+O48</f>
        <v>0.10384</v>
      </c>
      <c r="H48" s="15">
        <f t="shared" ref="H48:H58" si="3">F48*G48</f>
        <v>710258.33120000002</v>
      </c>
      <c r="I48" s="108">
        <f t="shared" ref="I48:I58" si="4">+Q48</f>
        <v>9.851E-2</v>
      </c>
      <c r="J48" s="17">
        <f t="shared" ref="J48:J58" si="5">F48*I48</f>
        <v>673801.50430000003</v>
      </c>
      <c r="K48" s="16">
        <f t="shared" ref="K48:K58" si="6">J48-H48</f>
        <v>-36456.826899999985</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6839930</v>
      </c>
      <c r="D49" s="94">
        <f t="shared" si="0"/>
        <v>6839930</v>
      </c>
      <c r="E49" s="60">
        <f t="shared" si="1"/>
        <v>6623211</v>
      </c>
      <c r="F49" s="51">
        <f t="shared" si="2"/>
        <v>6623211</v>
      </c>
      <c r="G49" s="108">
        <f t="shared" ref="G49:G58" si="7">+O49</f>
        <v>9.0219999999999995E-2</v>
      </c>
      <c r="H49" s="15">
        <f t="shared" si="3"/>
        <v>597546.09641999996</v>
      </c>
      <c r="I49" s="108">
        <f t="shared" si="4"/>
        <v>0.1061</v>
      </c>
      <c r="J49" s="17">
        <f t="shared" si="5"/>
        <v>702722.68709999998</v>
      </c>
      <c r="K49" s="16">
        <f t="shared" si="6"/>
        <v>105176.59068000002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6623211</v>
      </c>
      <c r="D50" s="94">
        <f t="shared" si="0"/>
        <v>6623211</v>
      </c>
      <c r="E50" s="60">
        <f t="shared" si="1"/>
        <v>5548203</v>
      </c>
      <c r="F50" s="51">
        <f t="shared" si="2"/>
        <v>5548203</v>
      </c>
      <c r="G50" s="108">
        <f t="shared" si="7"/>
        <v>0.12114999999999999</v>
      </c>
      <c r="H50" s="15">
        <f t="shared" si="3"/>
        <v>672164.79345</v>
      </c>
      <c r="I50" s="108">
        <f t="shared" si="4"/>
        <v>0.11132</v>
      </c>
      <c r="J50" s="17">
        <f t="shared" si="5"/>
        <v>617625.95796000003</v>
      </c>
      <c r="K50" s="16">
        <f t="shared" si="6"/>
        <v>-54538.835489999969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5548203</v>
      </c>
      <c r="D51" s="94">
        <f t="shared" si="0"/>
        <v>5548203</v>
      </c>
      <c r="E51" s="60">
        <f t="shared" si="1"/>
        <v>5398461</v>
      </c>
      <c r="F51" s="51">
        <f t="shared" si="2"/>
        <v>5398461</v>
      </c>
      <c r="G51" s="108">
        <f t="shared" si="7"/>
        <v>0.10405</v>
      </c>
      <c r="H51" s="15">
        <f t="shared" si="3"/>
        <v>561709.86705</v>
      </c>
      <c r="I51" s="108">
        <f t="shared" si="4"/>
        <v>0.10749</v>
      </c>
      <c r="J51" s="17">
        <f t="shared" si="5"/>
        <v>580280.57289000007</v>
      </c>
      <c r="K51" s="16">
        <f t="shared" si="6"/>
        <v>18570.705840000068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5398461</v>
      </c>
      <c r="D52" s="94">
        <f t="shared" si="0"/>
        <v>5398461</v>
      </c>
      <c r="E52" s="60">
        <f t="shared" si="1"/>
        <v>5191833</v>
      </c>
      <c r="F52" s="51">
        <f t="shared" si="2"/>
        <v>5191833</v>
      </c>
      <c r="G52" s="108">
        <f t="shared" si="7"/>
        <v>0.11650000000000001</v>
      </c>
      <c r="H52" s="15">
        <f t="shared" si="3"/>
        <v>604848.54450000008</v>
      </c>
      <c r="I52" s="108">
        <f t="shared" si="4"/>
        <v>9.5449999999999993E-2</v>
      </c>
      <c r="J52" s="17">
        <f t="shared" si="5"/>
        <v>495560.45984999998</v>
      </c>
      <c r="K52" s="16">
        <f t="shared" si="6"/>
        <v>-109288.08465000009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5191833</v>
      </c>
      <c r="D53" s="94">
        <f t="shared" si="0"/>
        <v>5191833</v>
      </c>
      <c r="E53" s="60">
        <f t="shared" si="1"/>
        <v>5253801</v>
      </c>
      <c r="F53" s="51">
        <f t="shared" si="2"/>
        <v>5253801</v>
      </c>
      <c r="G53" s="108">
        <f t="shared" si="7"/>
        <v>7.6670000000000002E-2</v>
      </c>
      <c r="H53" s="15">
        <f t="shared" si="3"/>
        <v>402808.92267</v>
      </c>
      <c r="I53" s="108">
        <f t="shared" si="4"/>
        <v>8.3059999999999995E-2</v>
      </c>
      <c r="J53" s="17">
        <f t="shared" si="5"/>
        <v>436380.71106</v>
      </c>
      <c r="K53" s="16">
        <f t="shared" si="6"/>
        <v>33571.788390000002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5253801</v>
      </c>
      <c r="D54" s="94">
        <f t="shared" si="0"/>
        <v>5253801</v>
      </c>
      <c r="E54" s="60">
        <f t="shared" si="1"/>
        <v>5439189</v>
      </c>
      <c r="F54" s="51">
        <f t="shared" si="2"/>
        <v>5439189</v>
      </c>
      <c r="G54" s="108">
        <f t="shared" si="7"/>
        <v>8.5690000000000002E-2</v>
      </c>
      <c r="H54" s="15">
        <f t="shared" si="3"/>
        <v>466084.10541000002</v>
      </c>
      <c r="I54" s="108">
        <f t="shared" si="4"/>
        <v>7.1029999999999996E-2</v>
      </c>
      <c r="J54" s="17">
        <f t="shared" si="5"/>
        <v>386345.59466999996</v>
      </c>
      <c r="K54" s="16">
        <f t="shared" si="6"/>
        <v>-79738.510740000056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5439189</v>
      </c>
      <c r="D55" s="94">
        <f t="shared" si="0"/>
        <v>5439189</v>
      </c>
      <c r="E55" s="60">
        <f t="shared" si="1"/>
        <v>5253831</v>
      </c>
      <c r="F55" s="51">
        <f t="shared" si="2"/>
        <v>5253831</v>
      </c>
      <c r="G55" s="108">
        <f t="shared" si="7"/>
        <v>7.0599999999999996E-2</v>
      </c>
      <c r="H55" s="15">
        <f t="shared" si="3"/>
        <v>370920.46859999996</v>
      </c>
      <c r="I55" s="108">
        <f t="shared" si="4"/>
        <v>9.5310000000000006E-2</v>
      </c>
      <c r="J55" s="17">
        <f t="shared" si="5"/>
        <v>500742.63261000003</v>
      </c>
      <c r="K55" s="16">
        <f t="shared" si="6"/>
        <v>129822.16401000007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5253831</v>
      </c>
      <c r="D56" s="94">
        <f t="shared" si="0"/>
        <v>5253831</v>
      </c>
      <c r="E56" s="60">
        <f t="shared" si="1"/>
        <v>5565677</v>
      </c>
      <c r="F56" s="51">
        <f t="shared" si="2"/>
        <v>5565677</v>
      </c>
      <c r="G56" s="108">
        <f t="shared" si="7"/>
        <v>9.7199999999999995E-2</v>
      </c>
      <c r="H56" s="15">
        <f t="shared" si="3"/>
        <v>540983.80440000002</v>
      </c>
      <c r="I56" s="108">
        <f t="shared" si="4"/>
        <v>0.11226</v>
      </c>
      <c r="J56" s="17">
        <f t="shared" si="5"/>
        <v>624802.90001999994</v>
      </c>
      <c r="K56" s="16">
        <f t="shared" si="6"/>
        <v>83819.09561999992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5565677</v>
      </c>
      <c r="D57" s="94">
        <f t="shared" si="0"/>
        <v>5565677</v>
      </c>
      <c r="E57" s="60">
        <f t="shared" si="1"/>
        <v>5954046</v>
      </c>
      <c r="F57" s="51">
        <f t="shared" si="2"/>
        <v>5954046</v>
      </c>
      <c r="G57" s="108">
        <f t="shared" si="7"/>
        <v>0.12271</v>
      </c>
      <c r="H57" s="15">
        <f t="shared" si="3"/>
        <v>730620.98465999996</v>
      </c>
      <c r="I57" s="108">
        <f t="shared" si="4"/>
        <v>0.11108999999999999</v>
      </c>
      <c r="J57" s="17">
        <f t="shared" si="5"/>
        <v>661434.97013999999</v>
      </c>
      <c r="K57" s="16">
        <f t="shared" si="6"/>
        <v>-69186.014519999968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5954046</v>
      </c>
      <c r="D58" s="94">
        <f t="shared" si="0"/>
        <v>5954046</v>
      </c>
      <c r="E58" s="60">
        <v>6712837</v>
      </c>
      <c r="F58" s="51">
        <f t="shared" si="2"/>
        <v>6712837</v>
      </c>
      <c r="G58" s="108">
        <f t="shared" si="7"/>
        <v>0.10594000000000001</v>
      </c>
      <c r="H58" s="15">
        <f t="shared" si="3"/>
        <v>711157.95178</v>
      </c>
      <c r="I58" s="108">
        <f t="shared" si="4"/>
        <v>8.7080000000000005E-2</v>
      </c>
      <c r="J58" s="17">
        <f t="shared" si="5"/>
        <v>584553.84596000006</v>
      </c>
      <c r="K58" s="16">
        <f t="shared" si="6"/>
        <v>-126604.10581999994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2" t="s">
        <v>133</v>
      </c>
      <c r="C59" s="97">
        <f>SUM(C47:C58)</f>
        <v>70362211</v>
      </c>
      <c r="D59" s="97">
        <f>SUM(D47:D58)</f>
        <v>70362211</v>
      </c>
      <c r="E59" s="97">
        <f>SUM(E47:E58)</f>
        <v>70732364</v>
      </c>
      <c r="F59" s="97">
        <f>SUM(F47:F58)</f>
        <v>70732364</v>
      </c>
      <c r="G59" s="37"/>
      <c r="H59" s="38">
        <f>SUM(H47:H58)</f>
        <v>6954615.6594900005</v>
      </c>
      <c r="I59" s="37"/>
      <c r="J59" s="38">
        <f>SUM(J47:J58)</f>
        <v>6902315.7941100001</v>
      </c>
      <c r="K59" s="39">
        <f>SUM(K47:K58)</f>
        <v>-52299.865379999974</v>
      </c>
      <c r="N59" s="31"/>
      <c r="O59" s="32"/>
      <c r="P59" s="32"/>
      <c r="Q59" s="32"/>
      <c r="R59" s="32"/>
      <c r="S59" s="32"/>
      <c r="T59" s="32"/>
      <c r="U59" s="32"/>
      <c r="V59" s="32"/>
      <c r="W59" s="32"/>
    </row>
    <row r="60" spans="1:24" x14ac:dyDescent="0.2">
      <c r="C60" s="136"/>
      <c r="G60" s="4"/>
      <c r="H60" s="4"/>
      <c r="I60" s="4"/>
      <c r="J60" s="69"/>
      <c r="K60" s="120"/>
      <c r="N60" s="29"/>
      <c r="O60" s="30"/>
      <c r="P60" s="30"/>
      <c r="Q60" s="30"/>
      <c r="R60" s="30"/>
      <c r="S60" s="30"/>
      <c r="T60" s="30"/>
      <c r="U60" s="30"/>
      <c r="V60" s="30"/>
      <c r="W60" s="30"/>
    </row>
    <row r="61" spans="1:24" x14ac:dyDescent="0.2">
      <c r="C61" s="134"/>
      <c r="N61" s="29"/>
      <c r="O61" s="30"/>
      <c r="P61" s="30"/>
      <c r="Q61" s="30"/>
      <c r="R61" s="30"/>
      <c r="S61" s="30"/>
      <c r="T61" s="30"/>
      <c r="U61" s="30"/>
      <c r="V61" s="30"/>
      <c r="W61" s="30"/>
    </row>
    <row r="62" spans="1:24" ht="15" x14ac:dyDescent="0.25">
      <c r="A62" s="1" t="s">
        <v>143</v>
      </c>
      <c r="B62" s="47" t="s">
        <v>136</v>
      </c>
      <c r="C62" s="135"/>
      <c r="K62" s="110"/>
      <c r="N62" s="29"/>
      <c r="O62" s="30"/>
      <c r="P62" s="30"/>
      <c r="Q62" s="30"/>
      <c r="R62" s="30"/>
      <c r="S62" s="30"/>
      <c r="T62" s="30"/>
      <c r="U62" s="30"/>
      <c r="V62" s="30"/>
      <c r="W62" s="30"/>
    </row>
    <row r="63" spans="1:24" ht="15" x14ac:dyDescent="0.25">
      <c r="B63" s="3"/>
      <c r="C63" s="2"/>
      <c r="K63" s="118"/>
      <c r="N63" s="29"/>
      <c r="O63" s="29"/>
      <c r="P63" s="29"/>
      <c r="Q63" s="29"/>
      <c r="R63" s="29"/>
      <c r="S63" s="29"/>
      <c r="T63" s="29"/>
      <c r="U63" s="29"/>
      <c r="V63" s="29"/>
      <c r="W63" s="29"/>
    </row>
    <row r="64" spans="1:24" ht="45" x14ac:dyDescent="0.25">
      <c r="A64" s="11"/>
      <c r="B64" s="138" t="s">
        <v>45</v>
      </c>
      <c r="C64" s="48" t="s">
        <v>67</v>
      </c>
      <c r="D64" s="48" t="s">
        <v>121</v>
      </c>
      <c r="E64" s="159" t="s">
        <v>44</v>
      </c>
      <c r="F64" s="159"/>
      <c r="G64" s="159"/>
      <c r="H64" s="159"/>
      <c r="I64" s="159"/>
      <c r="K64" s="116"/>
      <c r="O64" s="29"/>
      <c r="P64" s="29"/>
      <c r="Q64" s="29"/>
      <c r="R64" s="29"/>
      <c r="S64" s="29"/>
      <c r="T64" s="29"/>
      <c r="U64" s="29"/>
      <c r="V64" s="29"/>
      <c r="W64" s="29"/>
      <c r="X64" s="29"/>
    </row>
    <row r="65" spans="1:24" ht="30.75" customHeight="1" x14ac:dyDescent="0.25">
      <c r="A65" s="160" t="s">
        <v>134</v>
      </c>
      <c r="B65" s="161"/>
      <c r="C65" s="162"/>
      <c r="D65" s="121">
        <v>-205875</v>
      </c>
      <c r="E65" s="163"/>
      <c r="F65" s="164"/>
      <c r="G65" s="164"/>
      <c r="H65" s="164"/>
      <c r="I65" s="165"/>
      <c r="K65" s="116"/>
      <c r="O65" s="29"/>
      <c r="P65" s="29"/>
      <c r="Q65" s="29"/>
      <c r="R65" s="29"/>
      <c r="S65" s="29"/>
      <c r="T65" s="29"/>
      <c r="U65" s="29"/>
      <c r="V65" s="29"/>
      <c r="W65" s="29"/>
      <c r="X65" s="29"/>
    </row>
    <row r="66" spans="1:24" ht="28.5" x14ac:dyDescent="0.2">
      <c r="A66" s="70" t="s">
        <v>51</v>
      </c>
      <c r="B66" s="49" t="s">
        <v>62</v>
      </c>
      <c r="C66" s="109" t="s">
        <v>166</v>
      </c>
      <c r="D66" s="133"/>
      <c r="E66" s="149" t="s">
        <v>80</v>
      </c>
      <c r="F66" s="149"/>
      <c r="G66" s="149"/>
      <c r="H66" s="149"/>
      <c r="I66" s="149"/>
      <c r="K66" s="116"/>
      <c r="O66" s="29"/>
      <c r="P66" s="29"/>
      <c r="Q66" s="29"/>
      <c r="R66" s="29"/>
      <c r="S66" s="29"/>
      <c r="T66" s="29"/>
      <c r="U66" s="29"/>
      <c r="V66" s="29"/>
      <c r="W66" s="29"/>
      <c r="X66" s="29"/>
    </row>
    <row r="67" spans="1:24" ht="28.5" x14ac:dyDescent="0.2">
      <c r="A67" s="70" t="s">
        <v>52</v>
      </c>
      <c r="B67" s="49" t="s">
        <v>79</v>
      </c>
      <c r="C67" s="109" t="s">
        <v>166</v>
      </c>
      <c r="D67" s="133"/>
      <c r="E67" s="149" t="s">
        <v>80</v>
      </c>
      <c r="F67" s="149"/>
      <c r="G67" s="149"/>
      <c r="H67" s="149"/>
      <c r="I67" s="149"/>
      <c r="J67" s="79"/>
      <c r="K67" s="117"/>
      <c r="L67" s="79"/>
      <c r="M67" s="79"/>
      <c r="N67" s="79"/>
      <c r="O67" s="79"/>
      <c r="P67" s="79"/>
      <c r="Q67" s="79"/>
    </row>
    <row r="68" spans="1:24" ht="28.5" x14ac:dyDescent="0.2">
      <c r="A68" s="70" t="s">
        <v>65</v>
      </c>
      <c r="B68" s="49" t="s">
        <v>64</v>
      </c>
      <c r="C68" s="109" t="s">
        <v>166</v>
      </c>
      <c r="D68" s="133"/>
      <c r="E68" s="149" t="s">
        <v>167</v>
      </c>
      <c r="F68" s="149"/>
      <c r="G68" s="149"/>
      <c r="H68" s="149"/>
      <c r="I68" s="149"/>
      <c r="J68" s="79"/>
      <c r="K68" s="79"/>
      <c r="L68" s="79"/>
      <c r="M68" s="79"/>
      <c r="N68" s="79"/>
      <c r="O68" s="79"/>
      <c r="P68" s="79"/>
      <c r="Q68" s="79"/>
    </row>
    <row r="69" spans="1:24" ht="28.5" customHeight="1" x14ac:dyDescent="0.2">
      <c r="A69" s="70" t="s">
        <v>66</v>
      </c>
      <c r="B69" s="49" t="s">
        <v>63</v>
      </c>
      <c r="C69" s="109" t="s">
        <v>166</v>
      </c>
      <c r="D69" s="133"/>
      <c r="E69" s="149" t="s">
        <v>167</v>
      </c>
      <c r="F69" s="149"/>
      <c r="G69" s="149"/>
      <c r="H69" s="149"/>
      <c r="I69" s="149"/>
      <c r="J69" s="79"/>
      <c r="K69" s="79"/>
      <c r="L69" s="79"/>
      <c r="M69" s="79"/>
      <c r="N69" s="79"/>
      <c r="O69" s="79"/>
      <c r="P69" s="79"/>
      <c r="Q69" s="79"/>
    </row>
    <row r="70" spans="1:24" ht="28.5" x14ac:dyDescent="0.2">
      <c r="A70" s="70" t="s">
        <v>69</v>
      </c>
      <c r="B70" s="49" t="s">
        <v>71</v>
      </c>
      <c r="C70" s="109" t="s">
        <v>166</v>
      </c>
      <c r="D70" s="98"/>
      <c r="E70" s="149" t="s">
        <v>163</v>
      </c>
      <c r="F70" s="149"/>
      <c r="G70" s="149"/>
      <c r="H70" s="149"/>
      <c r="I70" s="149"/>
      <c r="J70" s="1" t="s">
        <v>173</v>
      </c>
      <c r="M70" s="79"/>
      <c r="N70" s="79"/>
      <c r="O70" s="79"/>
      <c r="P70" s="79"/>
      <c r="Q70" s="79"/>
    </row>
    <row r="71" spans="1:24" ht="28.5" x14ac:dyDescent="0.2">
      <c r="A71" s="70" t="s">
        <v>70</v>
      </c>
      <c r="B71" s="49" t="s">
        <v>72</v>
      </c>
      <c r="C71" s="109" t="s">
        <v>166</v>
      </c>
      <c r="D71" s="98"/>
      <c r="E71" s="149" t="s">
        <v>163</v>
      </c>
      <c r="F71" s="149"/>
      <c r="G71" s="149"/>
      <c r="H71" s="149"/>
      <c r="I71" s="149"/>
      <c r="J71" s="140">
        <v>42370</v>
      </c>
      <c r="K71" s="141">
        <v>25.52</v>
      </c>
      <c r="M71" s="79"/>
      <c r="N71" s="79"/>
      <c r="O71" s="79"/>
      <c r="P71" s="79"/>
      <c r="Q71" s="79"/>
    </row>
    <row r="72" spans="1:24" ht="33.75" customHeight="1" x14ac:dyDescent="0.2">
      <c r="A72" s="70">
        <v>4</v>
      </c>
      <c r="B72" s="49" t="s">
        <v>68</v>
      </c>
      <c r="C72" s="109" t="s">
        <v>166</v>
      </c>
      <c r="D72" s="98"/>
      <c r="E72" s="149" t="s">
        <v>164</v>
      </c>
      <c r="F72" s="149"/>
      <c r="G72" s="149"/>
      <c r="H72" s="149"/>
      <c r="I72" s="149"/>
      <c r="J72" s="140">
        <v>42401</v>
      </c>
      <c r="K72" s="141">
        <f>-177.58+37.36</f>
        <v>-140.22000000000003</v>
      </c>
      <c r="M72" s="79"/>
      <c r="N72" s="79"/>
      <c r="O72" s="79"/>
      <c r="P72" s="79"/>
      <c r="Q72" s="79"/>
    </row>
    <row r="73" spans="1:24" ht="42.75" x14ac:dyDescent="0.2">
      <c r="A73" s="70">
        <v>5</v>
      </c>
      <c r="B73" s="49" t="s">
        <v>81</v>
      </c>
      <c r="C73" s="109" t="s">
        <v>166</v>
      </c>
      <c r="D73" s="98"/>
      <c r="E73" s="149" t="s">
        <v>175</v>
      </c>
      <c r="F73" s="149"/>
      <c r="G73" s="149"/>
      <c r="H73" s="149"/>
      <c r="I73" s="149"/>
      <c r="J73" s="140">
        <v>42430</v>
      </c>
      <c r="K73" s="141">
        <f>979.13+84.83</f>
        <v>1063.96</v>
      </c>
      <c r="M73" s="79"/>
      <c r="N73" s="79"/>
      <c r="O73" s="79"/>
      <c r="P73" s="79"/>
      <c r="Q73" s="79"/>
    </row>
    <row r="74" spans="1:24" ht="34.5" customHeight="1" x14ac:dyDescent="0.2">
      <c r="A74" s="54">
        <v>6</v>
      </c>
      <c r="B74" s="123" t="s">
        <v>169</v>
      </c>
      <c r="C74" s="109" t="s">
        <v>165</v>
      </c>
      <c r="D74" s="98">
        <v>77779.62</v>
      </c>
      <c r="E74" s="149" t="s">
        <v>170</v>
      </c>
      <c r="F74" s="149"/>
      <c r="G74" s="149"/>
      <c r="H74" s="149"/>
      <c r="I74" s="149"/>
      <c r="J74" s="140">
        <v>42461</v>
      </c>
      <c r="K74" s="141">
        <v>274.76</v>
      </c>
    </row>
    <row r="75" spans="1:24" ht="28.5" x14ac:dyDescent="0.2">
      <c r="A75" s="54">
        <v>7</v>
      </c>
      <c r="B75" s="123" t="s">
        <v>168</v>
      </c>
      <c r="C75" s="109" t="s">
        <v>165</v>
      </c>
      <c r="D75" s="98">
        <v>86559.91</v>
      </c>
      <c r="E75" s="149" t="s">
        <v>174</v>
      </c>
      <c r="F75" s="149"/>
      <c r="G75" s="149"/>
      <c r="H75" s="149"/>
      <c r="I75" s="149"/>
      <c r="J75" s="140">
        <v>42491</v>
      </c>
      <c r="K75" s="141">
        <f>-1184.37+89.15</f>
        <v>-1095.2199999999998</v>
      </c>
    </row>
    <row r="76" spans="1:24" ht="28.5" x14ac:dyDescent="0.2">
      <c r="A76" s="54">
        <v>8</v>
      </c>
      <c r="B76" s="46" t="s">
        <v>172</v>
      </c>
      <c r="C76" s="109" t="s">
        <v>165</v>
      </c>
      <c r="D76" s="98">
        <f>-7336.51*0.555</f>
        <v>-4071.7630500000005</v>
      </c>
      <c r="E76" s="149" t="s">
        <v>171</v>
      </c>
      <c r="F76" s="149"/>
      <c r="G76" s="149"/>
      <c r="H76" s="149"/>
      <c r="I76" s="149"/>
      <c r="J76" s="140">
        <v>42522</v>
      </c>
      <c r="K76" s="141">
        <f>5118.39+181.95</f>
        <v>5300.34</v>
      </c>
    </row>
    <row r="77" spans="1:24" x14ac:dyDescent="0.2">
      <c r="A77" s="54">
        <v>9</v>
      </c>
      <c r="B77" s="46"/>
      <c r="C77" s="109"/>
      <c r="D77" s="98"/>
      <c r="E77" s="150"/>
      <c r="F77" s="151"/>
      <c r="G77" s="151"/>
      <c r="H77" s="151"/>
      <c r="I77" s="152"/>
      <c r="J77" s="140">
        <v>42552</v>
      </c>
      <c r="K77" s="141">
        <f>1743.53-125.28</f>
        <v>1618.25</v>
      </c>
    </row>
    <row r="78" spans="1:24" x14ac:dyDescent="0.2">
      <c r="A78" s="54">
        <v>10</v>
      </c>
      <c r="B78" s="46"/>
      <c r="C78" s="10"/>
      <c r="D78" s="98"/>
      <c r="E78" s="149"/>
      <c r="F78" s="149"/>
      <c r="G78" s="149"/>
      <c r="H78" s="149"/>
      <c r="I78" s="149"/>
      <c r="J78" s="140">
        <v>42583</v>
      </c>
      <c r="K78" s="25">
        <f>99+5.88</f>
        <v>104.88</v>
      </c>
    </row>
    <row r="79" spans="1:24" ht="15" x14ac:dyDescent="0.25">
      <c r="A79" s="1" t="s">
        <v>150</v>
      </c>
      <c r="B79" s="2" t="s">
        <v>131</v>
      </c>
      <c r="C79" s="2"/>
      <c r="D79" s="99">
        <f>SUM(D65:D78)</f>
        <v>-45607.233050000003</v>
      </c>
      <c r="E79" s="25"/>
      <c r="F79" s="25"/>
      <c r="G79" s="25"/>
      <c r="H79" s="25"/>
      <c r="J79" s="140">
        <v>42614</v>
      </c>
      <c r="K79" s="25">
        <f>-535.55+357.35</f>
        <v>-178.19999999999993</v>
      </c>
    </row>
    <row r="80" spans="1:24" ht="15" x14ac:dyDescent="0.25">
      <c r="B80" s="119" t="s">
        <v>132</v>
      </c>
      <c r="C80" s="71"/>
      <c r="D80" s="99">
        <f>K59</f>
        <v>-52299.865379999974</v>
      </c>
      <c r="E80" s="25"/>
      <c r="F80" s="25"/>
      <c r="G80" s="25"/>
      <c r="H80" s="25"/>
      <c r="J80" s="140">
        <v>42644</v>
      </c>
      <c r="K80" s="25">
        <v>103.5</v>
      </c>
    </row>
    <row r="81" spans="1:19" ht="15" x14ac:dyDescent="0.25">
      <c r="B81" s="71" t="s">
        <v>24</v>
      </c>
      <c r="C81" s="71"/>
      <c r="D81" s="100">
        <f>D79-D80</f>
        <v>6692.6323299999713</v>
      </c>
      <c r="J81" s="140">
        <v>42675</v>
      </c>
      <c r="K81" s="25">
        <v>-35.909999999999997</v>
      </c>
    </row>
    <row r="82" spans="1:19" ht="15.75" thickBot="1" x14ac:dyDescent="0.3">
      <c r="B82" s="129" t="s">
        <v>73</v>
      </c>
      <c r="C82" s="72"/>
      <c r="D82" s="61">
        <f>IF(ISERROR(D81/J59),0,D81/J59)</f>
        <v>9.6962128793223875E-4</v>
      </c>
      <c r="E82" s="137"/>
      <c r="G82" s="79"/>
      <c r="H82" s="35"/>
      <c r="I82" s="35"/>
      <c r="J82" s="140">
        <v>42705</v>
      </c>
      <c r="K82" s="25">
        <f>-4.52+299.37</f>
        <v>294.85000000000002</v>
      </c>
    </row>
    <row r="83" spans="1:19" ht="16.5" thickTop="1" thickBot="1" x14ac:dyDescent="0.3">
      <c r="B83" s="2"/>
      <c r="C83" s="56"/>
      <c r="D83" s="59"/>
      <c r="G83" s="79"/>
      <c r="K83" s="142">
        <f>SUM(K71:K82)</f>
        <v>7336.5100000000011</v>
      </c>
    </row>
    <row r="84" spans="1:19" ht="15.75" thickTop="1" x14ac:dyDescent="0.25">
      <c r="B84" s="2"/>
      <c r="C84" s="56"/>
      <c r="D84" s="34"/>
      <c r="K84" s="143">
        <v>0.55500000000000005</v>
      </c>
    </row>
    <row r="85" spans="1:19" ht="15" x14ac:dyDescent="0.25">
      <c r="A85" s="1" t="s">
        <v>75</v>
      </c>
      <c r="B85" s="73" t="s">
        <v>138</v>
      </c>
      <c r="C85" s="58"/>
      <c r="D85" s="59"/>
      <c r="K85" s="144">
        <f>+K83*K84</f>
        <v>4071.7630500000009</v>
      </c>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1"/>
      <c r="C88" s="104"/>
      <c r="D88" s="104"/>
      <c r="E88" s="105"/>
      <c r="F88" s="125">
        <f>SUM(D88:E88)</f>
        <v>0</v>
      </c>
      <c r="G88" s="106">
        <f>F88-C88</f>
        <v>0</v>
      </c>
      <c r="H88" s="105"/>
      <c r="I88" s="102">
        <f>IF(ISERROR(G88/H88),0,G88/H88)</f>
        <v>0</v>
      </c>
      <c r="J88" s="79"/>
      <c r="K88" s="79"/>
      <c r="L88" s="35"/>
      <c r="M88" s="35"/>
      <c r="N88" s="35"/>
      <c r="O88" s="35"/>
      <c r="P88" s="35"/>
      <c r="Q88" s="35"/>
      <c r="R88" s="35"/>
      <c r="S88" s="35"/>
    </row>
    <row r="89" spans="1:19" x14ac:dyDescent="0.2">
      <c r="B89" s="111"/>
      <c r="C89" s="104"/>
      <c r="D89" s="104"/>
      <c r="E89" s="105"/>
      <c r="F89" s="125">
        <f t="shared" ref="F89:F91" si="8">SUM(D89:E89)</f>
        <v>0</v>
      </c>
      <c r="G89" s="106">
        <f>F89-C89</f>
        <v>0</v>
      </c>
      <c r="H89" s="105"/>
      <c r="I89" s="102">
        <f>IF(ISERROR(G89/H89),0,G89/H89)</f>
        <v>0</v>
      </c>
      <c r="J89" s="79"/>
      <c r="K89" s="79"/>
      <c r="L89" s="35"/>
      <c r="M89" s="35"/>
      <c r="N89" s="35"/>
      <c r="O89" s="35"/>
      <c r="P89" s="35"/>
      <c r="Q89" s="35"/>
      <c r="R89" s="35"/>
      <c r="S89" s="35"/>
    </row>
    <row r="90" spans="1:19" x14ac:dyDescent="0.2">
      <c r="B90" s="111"/>
      <c r="C90" s="104"/>
      <c r="D90" s="104"/>
      <c r="E90" s="105"/>
      <c r="F90" s="125">
        <f t="shared" si="8"/>
        <v>0</v>
      </c>
      <c r="G90" s="106">
        <f>F90-C90</f>
        <v>0</v>
      </c>
      <c r="H90" s="105"/>
      <c r="I90" s="102">
        <f>IF(ISERROR(G90/H90),0,G90/H90)</f>
        <v>0</v>
      </c>
      <c r="J90" s="79"/>
      <c r="K90" s="79"/>
      <c r="L90" s="35"/>
      <c r="M90" s="35"/>
      <c r="N90" s="35"/>
      <c r="O90" s="35"/>
      <c r="P90" s="35"/>
      <c r="Q90" s="35"/>
      <c r="R90" s="35"/>
      <c r="S90" s="35"/>
    </row>
    <row r="91" spans="1:19" ht="15" thickBot="1" x14ac:dyDescent="0.25">
      <c r="B91" s="111"/>
      <c r="C91" s="107"/>
      <c r="D91" s="107"/>
      <c r="E91" s="107"/>
      <c r="F91" s="125">
        <f t="shared" si="8"/>
        <v>0</v>
      </c>
      <c r="G91" s="106">
        <f>F91-C91</f>
        <v>0</v>
      </c>
      <c r="H91" s="107"/>
      <c r="I91" s="103">
        <f>IF(ISERROR(G91/H91),0,G91/H91)</f>
        <v>0</v>
      </c>
      <c r="J91" s="79"/>
      <c r="K91" s="79"/>
      <c r="L91" s="35"/>
      <c r="M91" s="35"/>
      <c r="N91" s="35"/>
      <c r="O91" s="35"/>
      <c r="P91" s="35"/>
      <c r="Q91" s="35"/>
      <c r="R91" s="35"/>
      <c r="S91" s="35"/>
    </row>
    <row r="92" spans="1:19" ht="15.75" thickBot="1" x14ac:dyDescent="0.3">
      <c r="B92" s="75" t="s">
        <v>74</v>
      </c>
      <c r="C92" s="124">
        <f t="shared" ref="C92:H92" si="9">SUM(C88:C91)</f>
        <v>0</v>
      </c>
      <c r="D92" s="124">
        <f t="shared" si="9"/>
        <v>0</v>
      </c>
      <c r="E92" s="124">
        <f t="shared" si="9"/>
        <v>0</v>
      </c>
      <c r="F92" s="126">
        <f t="shared" si="9"/>
        <v>0</v>
      </c>
      <c r="G92" s="124">
        <f>SUM(G88:G91)</f>
        <v>0</v>
      </c>
      <c r="H92" s="77">
        <f t="shared" si="9"/>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vt:lpstr>
      <vt:lpstr>'GA Analysis'!Print_Area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Geoffrey Sutton</cp:lastModifiedBy>
  <cp:lastPrinted>2017-11-01T19:12:25Z</cp:lastPrinted>
  <dcterms:created xsi:type="dcterms:W3CDTF">2017-05-01T19:29:01Z</dcterms:created>
  <dcterms:modified xsi:type="dcterms:W3CDTF">2017-11-01T19:13:15Z</dcterms:modified>
</cp:coreProperties>
</file>