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codeName="ThisWorkbook" defaultThemeVersion="124226"/>
  <mc:AlternateContent xmlns:mc="http://schemas.openxmlformats.org/markup-compatibility/2006">
    <mc:Choice Requires="x15">
      <x15ac:absPath xmlns:x15ac="http://schemas.microsoft.com/office/spreadsheetml/2010/11/ac" url="T:\5. TESI UTILITIES\Cooperative Hydro Embrun\CHE 2018 CoS\IRs\Models\"/>
    </mc:Choice>
  </mc:AlternateContent>
  <bookViews>
    <workbookView xWindow="0" yWindow="0" windowWidth="28800" windowHeight="1191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workbook>
</file>

<file path=xl/calcChain.xml><?xml version="1.0" encoding="utf-8"?>
<calcChain xmlns="http://schemas.openxmlformats.org/spreadsheetml/2006/main">
  <c r="C15" i="44"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Y516" i="46"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Y258" i="46" s="1"/>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9" i="46"/>
  <c r="F128" i="45"/>
  <c r="E130" i="45"/>
  <c r="AK564" i="79" s="1"/>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522" i="46" l="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<sst xmlns="http://schemas.openxmlformats.org/spreadsheetml/2006/main" count="2920" uniqueCount="696">
  <si>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</si>
  <si>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</si>
  <si>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</si>
  <si>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</si>
  <si>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</si>
  <si>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</si>
  <si>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</si>
  <si>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</si>
  <si>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</si>
  <si>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</si>
  <si>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</si>
  <si>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</si>
  <si>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</si>
  <si>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</si>
  <si>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</si>
  <si>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</si>
  <si>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</si>
  <si>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</si>
  <si>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</si>
  <si>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</si>
  <si>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</si>
  <si>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</si>
  <si>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</si>
  <si>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</si>
  <si>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</si>
  <si>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</si>
  <si>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</si>
  <si>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</si>
  <si>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</si>
  <si>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</si>
  <si>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</si>
  <si>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</si>
  <si>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</si>
  <si>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</si>
  <si>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</si>
  <si>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</si>
  <si>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</si>
  <si>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</si>
  <si>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</si>
  <si>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</si>
  <si>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</si>
  <si>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</si>
  <si>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</si>
  <si>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</si>
  <si>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</si>
  <si>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</si>
  <si>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</si>
  <si>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</si>
  <si>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</si>
  <si>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</si>
  <si>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</si>
  <si>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</si>
  <si>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</si>
  <si>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</si>
  <si>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</si>
  <si>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</si>
  <si>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</si>
  <si>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</si>
  <si>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</si>
  <si>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</si>
  <si>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</si>
  <si>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</si>
  <si>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</si>
  <si>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</si>
  <si>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</si>
  <si>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</si>
  <si>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</si>
  <si>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</si>
  <si>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</si>
  <si>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</si>
  <si>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</si>
  <si>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</si>
  <si>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</si>
  <si>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</si>
  <si>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</si>
  <si>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</si>
  <si>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</si>
  <si>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</si>
  <si>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</si>
  <si>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</si>
  <si>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</si>
  <si>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</si>
  <si>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</si>
  <si>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</si>
  <si>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</si>
  <si>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</si>
  <si>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</si>
  <si>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</si>
  <si>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</si>
  <si>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</si>
  <si>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</si>
  <si>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</si>
  <si>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</si>
  <si>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</si>
  <si>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</si>
  <si>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</si>
  <si>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</si>
  <si>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</si>
  <si>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</si>
  <si>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</si>
  <si>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</si>
  <si>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</si>
  <si>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</si>
  <si>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</si>
  <si>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</si>
  <si>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</si>
  <si>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</si>
  <si>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</si>
  <si>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</si>
  <si>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</si>
  <si>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</si>
  <si>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</si>
  <si>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</si>
  <si>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</si>
  <si>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</si>
  <si>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</si>
  <si>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</si>
  <si>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</si>
  <si>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</si>
  <si>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</si>
  <si>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</si>
  <si>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</si>
  <si>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</si>
  <si>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</si>
  <si>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</si>
  <si>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</si>
  <si>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</si>
  <si>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</si>
  <si>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</si>
  <si>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</si>
  <si>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</si>
  <si>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</si>
  <si>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</si>
  <si>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</si>
  <si>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</si>
  <si>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</si>
  <si>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</si>
  <si>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</si>
  <si>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</si>
  <si>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</si>
  <si>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</si>
  <si>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</si>
  <si>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</si>
  <si>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</si>
  <si>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</si>
  <si>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</si>
  <si>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</si>
  <si>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</si>
  <si>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</si>
  <si>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</si>
  <si>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</si>
  <si>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</si>
  <si>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</si>
  <si>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</si>
  <si>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</si>
  <si>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</si>
  <si>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</si>
  <si>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</si>
  <si>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</si>
  <si>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</si>
  <si>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</si>
  <si>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</si>
  <si>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</si>
  <si>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</si>
  <si>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</si>
  <si>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</si>
  <si>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</si>
  <si>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</si>
  <si>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</si>
  <si>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</si>
  <si>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</si>
  <si>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</si>
  <si>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</si>
  <si>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</si>
  <si>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</si>
  <si>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</si>
  <si>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</si>
  <si>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</si>
  <si>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</si>
  <si>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</si>
  <si>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</si>
  <si>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</si>
  <si>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</si>
  <si>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</si>
  <si>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</si>
  <si>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</si>
  <si>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</si>
  <si>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</si>
  <si>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</si>
  <si>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</si>
  <si>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</si>
  <si>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</si>
  <si>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</si>
  <si>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</si>
  <si>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</si>
  <si>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</si>
  <si>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</si>
  <si>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</si>
  <si>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</si>
  <si>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</si>
  <si>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</si>
  <si>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</si>
  <si>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</si>
  <si>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</si>
  <si>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</si>
  <si>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</si>
  <si>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</si>
  <si>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</si>
  <si>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</si>
  <si>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</si>
  <si>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</si>
  <si>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</si>
  <si>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</si>
  <si>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</si>
  <si>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</si>
  <si>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</si>
  <si>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</si>
  <si>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</si>
  <si>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</si>
  <si>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</si>
  <si>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</si>
  <si>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</si>
  <si>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</si>
  <si>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</si>
  <si>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</si>
  <si>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</si>
  <si>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</si>
  <si>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</si>
  <si>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</si>
  <si>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</si>
  <si>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</si>
  <si>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</si>
  <si>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</si>
  <si>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</si>
  <si>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</si>
  <si>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</si>
  <si>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</si>
  <si>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</si>
  <si>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</si>
  <si>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</si>
  <si>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</si>
  <si>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</si>
  <si>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</si>
  <si>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</si>
  <si>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</si>
  <si>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</si>
  <si>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</si>
  <si>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</si>
  <si>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</si>
  <si>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</si>
  <si>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</si>
  <si>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</si>
  <si>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</si>
  <si>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</si>
  <si>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</si>
  <si>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</si>
  <si>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</si>
  <si>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</si>
  <si>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</si>
  <si>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</si>
  <si>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</si>
  <si>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</si>
  <si>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</si>
  <si>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</si>
  <si>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</si>
  <si>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</si>
  <si>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</si>
  <si>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</si>
  <si>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</si>
  <si>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</si>
  <si>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</si>
  <si>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</si>
  <si>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</si>
  <si>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</si>
  <si>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</si>
  <si>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</si>
  <si>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</si>
  <si>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</si>
  <si>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</si>
  <si>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</si>
  <si>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</si>
  <si>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</si>
  <si>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</si>
  <si>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</si>
  <si>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</si>
  <si>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</si>
  <si>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</si>
  <si>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</si>
  <si>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</si>
  <si>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</si>
  <si>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</si>
  <si>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</si>
  <si>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</si>
  <si>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</si>
  <si>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</si>
  <si>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</si>
  <si>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</si>
  <si>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</si>
  <si>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</si>
  <si>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</si>
  <si>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</si>
  <si>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</si>
  <si>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</si>
  <si>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</si>
  <si>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</si>
  <si>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</si>
  <si>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</si>
  <si>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</si>
  <si>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</si>
  <si>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</si>
  <si>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</si>
  <si>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</si>
  <si>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</si>
  <si>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</si>
  <si>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</si>
  <si>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</si>
  <si>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</si>
  <si>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</si>
  <si>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</si>
  <si>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</si>
  <si>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</si>
  <si>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</si>
  <si>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</si>
  <si>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</si>
  <si>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</si>
  <si>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</si>
  <si>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</si>
  <si>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</si>
  <si>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</si>
  <si>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</si>
  <si>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</si>
  <si>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</si>
  <si>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</si>
  <si>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</si>
  <si>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</si>
  <si>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</si>
  <si>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</si>
  <si>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</si>
  <si>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</si>
  <si>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</si>
  <si>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</si>
  <si>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</si>
  <si>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</si>
  <si>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</si>
  <si>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</si>
  <si>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</si>
  <si>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</si>
  <si>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</si>
  <si>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</si>
  <si>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</si>
  <si>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</si>
  <si>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</si>
  <si>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</si>
  <si>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</si>
  <si>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</si>
  <si>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</si>
  <si>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</si>
  <si>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</si>
  <si>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</si>
  <si>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</si>
  <si>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</si>
  <si>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</si>
  <si>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</si>
  <si>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</si>
  <si>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</si>
  <si>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</si>
  <si>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</si>
  <si>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</si>
  <si>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</si>
  <si>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</si>
  <si>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</si>
  <si>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</si>
  <si>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</si>
  <si>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</si>
  <si>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</si>
  <si>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</si>
  <si>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</si>
  <si>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</si>
  <si>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</si>
  <si>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</si>
  <si>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</si>
  <si>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</si>
  <si>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</si>
  <si>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</si>
  <si>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</si>
  <si>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</si>
  <si>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</si>
  <si>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</si>
  <si>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</si>
  <si>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</si>
  <si>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</si>
  <si>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</si>
  <si>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</si>
  <si>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</si>
  <si>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</si>
  <si>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</si>
  <si>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</si>
  <si>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</si>
  <si>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</si>
  <si>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</si>
  <si>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</si>
  <si>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</si>
  <si>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</si>
  <si>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</si>
  <si>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</si>
  <si>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</si>
  <si>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</si>
  <si>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</si>
  <si>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</si>
  <si>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</si>
  <si>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</si>
  <si>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</si>
  <si>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</si>
  <si>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</si>
  <si>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</si>
  <si>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</si>
  <si>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</si>
  <si>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</si>
  <si>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</si>
  <si>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</si>
  <si>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</si>
  <si>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</si>
  <si>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</si>
  <si>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</si>
  <si>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</si>
  <si>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</si>
  <si>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</si>
  <si>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</si>
  <si>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</si>
  <si>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</si>
  <si>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</si>
  <si>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</si>
  <si>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</si>
  <si>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</si>
  <si>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</si>
  <si>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</si>
  <si>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</si>
  <si>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</si>
  <si>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</si>
  <si>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</si>
  <si>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</si>
  <si>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</si>
  <si>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</si>
  <si>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</si>
  <si>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</si>
  <si>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</si>
  <si>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</si>
  <si>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</si>
  <si>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</si>
  <si>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</si>
  <si>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</si>
  <si>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</si>
  <si>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</si>
  <si>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</si>
  <si>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</si>
  <si>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</si>
  <si>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</si>
  <si>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</si>
  <si>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</si>
  <si>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</si>
  <si>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</si>
  <si>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</si>
  <si>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</si>
  <si>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</si>
  <si>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</si>
  <si>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</si>
  <si>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</si>
  <si>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</si>
  <si>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</si>
  <si>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</si>
  <si>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</si>
  <si>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</si>
  <si>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</si>
  <si>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</si>
  <si>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</si>
  <si>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</si>
  <si>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</si>
  <si>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</si>
  <si>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</si>
  <si>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</si>
  <si>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</si>
  <si>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</si>
  <si>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</si>
  <si>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</si>
  <si>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</si>
  <si>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</si>
  <si>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</si>
  <si>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</si>
  <si>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</si>
  <si>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</si>
  <si>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</si>
  <si>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</si>
  <si>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</si>
  <si>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</si>
  <si>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</si>
  <si>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</si>
  <si>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</si>
  <si>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</si>
  <si>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</si>
  <si>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</si>
  <si>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</si>
  <si>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</si>
  <si>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</si>
  <si>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</si>
  <si>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</si>
  <si>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</si>
  <si>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</si>
  <si>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</si>
  <si>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</si>
  <si>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</si>
  <si>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</si>
  <si>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</si>
  <si>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</si>
  <si>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</si>
  <si>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</si>
  <si>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</si>
  <si>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</si>
  <si>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</si>
  <si>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</si>
  <si>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</si>
  <si>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</si>
  <si>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</si>
  <si>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</si>
  <si>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</si>
  <si>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</si>
  <si>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</si>
  <si>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</si>
  <si>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</si>
  <si>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</si>
  <si>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</si>
  <si>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</si>
  <si>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</si>
  <si>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</si>
  <si>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</si>
  <si>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</si>
  <si>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</si>
  <si>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</si>
  <si>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</si>
  <si>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</si>
  <si>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</si>
  <si>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</si>
  <si>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</si>
  <si>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</si>
  <si>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</si>
  <si>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</si>
  <si>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</si>
  <si>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</si>
  <si>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</si>
  <si>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</si>
  <si>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</si>
  <si>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</si>
  <si>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</si>
  <si>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</si>
  <si>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</si>
  <si>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</si>
  <si>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</si>
  <si>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</si>
  <si>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</si>
  <si>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</si>
  <si>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</si>
  <si>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</si>
  <si>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</si>
  <si>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</si>
  <si>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</si>
  <si>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</si>
  <si>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</si>
  <si>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</si>
  <si>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</si>
  <si>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</si>
  <si>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</si>
  <si>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</si>
  <si>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</si>
  <si>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</si>
  <si>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</si>
  <si>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</si>
  <si>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</si>
  <si>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</si>
  <si>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</si>
  <si>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</si>
  <si>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</si>
  <si>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</si>
  <si>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</si>
  <si>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</si>
  <si>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</si>
  <si>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</si>
  <si>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</si>
  <si>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</si>
  <si>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</si>
  <si>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</si>
  <si>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</si>
  <si>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</si>
  <si>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</si>
  <si>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</si>
  <si>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</si>
  <si>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</si>
  <si>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</si>
  <si>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</si>
  <si>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</si>
  <si>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</si>
  <si>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</si>
  <si>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</si>
  <si>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</si>
  <si>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</si>
  <si>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</si>
  <si>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</si>
  <si>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</si>
  <si>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</si>
  <si>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</si>
  <si>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</si>
  <si>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</si>
  <si>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</si>
  <si>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</si>
  <si>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</si>
  <si>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</si>
  <si>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</si>
  <si>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</si>
  <si>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</si>
  <si>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</si>
  <si>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</si>
  <si>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</si>
  <si>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</si>
  <si>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</si>
  <si>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</si>
  <si>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</si>
  <si>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</si>
  <si>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</si>
  <si>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</si>
  <si>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</si>
  <si>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</si>
  <si>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</si>
  <si>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</si>
  <si>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</si>
  <si>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</si>
  <si>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</si>
  <si>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</si>
  <si>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</si>
  <si>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</si>
  <si>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</si>
  <si>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</si>
  <si>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</si>
  <si>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</si>
  <si>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</si>
  <si>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</si>
  <si>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</si>
  <si>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</si>
  <si>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</si>
  <si>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</si>
  <si>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</si>
  <si>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</si>
  <si>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</si>
  <si>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</si>
  <si>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</si>
  <si>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</si>
  <si>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</si>
  <si>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</si>
  <si>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</si>
  <si>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</si>
  <si>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</si>
  <si>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</si>
  <si>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</si>
  <si>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</si>
  <si>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</si>
  <si>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</si>
  <si>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</si>
  <si>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</si>
  <si>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</si>
  <si>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</si>
  <si>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</si>
  <si>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</si>
  <si>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</si>
  <si>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</si>
  <si>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</si>
  <si>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</si>
  <si>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</si>
  <si>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</si>
  <si>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</si>
  <si>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</si>
  <si>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</si>
  <si>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</si>
  <si>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</si>
  <si>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</si>
  <si>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</si>
  <si>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</si>
  <si>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</si>
  <si>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</si>
  <si>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</si>
  <si>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General Service &lt; 50 kW</t>
  </si>
  <si>
    <t>General Service &gt; 50 to 4999 kW</t>
  </si>
  <si>
    <t>EB-2013-0122</t>
  </si>
  <si>
    <t>EB-2014-0066</t>
  </si>
  <si>
    <t>EB-2015-0063</t>
  </si>
  <si>
    <t>EB-2009-0132</t>
  </si>
  <si>
    <t>EB-2010-0077</t>
  </si>
  <si>
    <t>EB-2011-0164</t>
  </si>
  <si>
    <t>EB-2012-0177</t>
  </si>
  <si>
    <t>EB-2016-0065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</si>
</sst>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10"/>
      <color rgb="FFFF0000"/>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1" fontId="91" fillId="28" borderId="122" xfId="0" applyNumberFormat="1" applyFont="1" applyFill="1" applyBorder="1" applyAlignment="1"/>
    <xf numFmtId="171" fontId="91" fillId="28" borderId="134" xfId="0" applyNumberFormat="1" applyFont="1" applyFill="1" applyBorder="1" applyAlignment="1"/>
    <xf numFmtId="1" fontId="48" fillId="28" borderId="34" xfId="0" applyNumberFormat="1" applyFont="1" applyFill="1" applyBorder="1" applyAlignment="1" applyProtection="1">
      <alignment horizontal="center"/>
      <protection locked="0"/>
    </xf>
    <xf numFmtId="1" fontId="41" fillId="28" borderId="34" xfId="0" applyNumberFormat="1" applyFont="1" applyFill="1" applyBorder="1" applyAlignment="1" applyProtection="1">
      <alignment horizontal="center"/>
      <protection locked="0"/>
    </xf>
    <xf numFmtId="10" fontId="240" fillId="2" borderId="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26126"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750815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585213"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3" t="s">
        <v>175</v>
      </c>
      <c r="C3" s="753"/>
    </row>
    <row r="4" spans="1:3" ht="11.25" customHeight="1"/>
    <row r="5" spans="1:3" s="30" customFormat="1" ht="25.5" customHeight="1">
      <c r="B5" s="62" t="s">
        <v>423</v>
      </c>
      <c r="C5" s="62" t="s">
        <v>174</v>
      </c>
    </row>
    <row r="6" spans="1:3" s="178" customFormat="1" ht="48" customHeight="1">
      <c r="A6" s="243"/>
      <c r="B6" s="620" t="s">
        <v>171</v>
      </c>
      <c r="C6" s="673" t="s">
        <v>608</v>
      </c>
    </row>
    <row r="7" spans="1:3" s="178" customFormat="1" ht="21" customHeight="1">
      <c r="A7" s="243"/>
      <c r="B7" s="614" t="s">
        <v>557</v>
      </c>
      <c r="C7" s="674" t="s">
        <v>621</v>
      </c>
    </row>
    <row r="8" spans="1:3" s="178" customFormat="1" ht="32.25" customHeight="1">
      <c r="B8" s="614" t="s">
        <v>370</v>
      </c>
      <c r="C8" s="675" t="s">
        <v>609</v>
      </c>
    </row>
    <row r="9" spans="1:3" s="178" customFormat="1" ht="27.75" customHeight="1">
      <c r="B9" s="614" t="s">
        <v>170</v>
      </c>
      <c r="C9" s="675" t="s">
        <v>610</v>
      </c>
    </row>
    <row r="10" spans="1:3" s="178" customFormat="1" ht="33" customHeight="1">
      <c r="B10" s="614" t="s">
        <v>606</v>
      </c>
      <c r="C10" s="674" t="s">
        <v>614</v>
      </c>
    </row>
    <row r="11" spans="1:3" s="178" customFormat="1" ht="26.25" customHeight="1">
      <c r="B11" s="629" t="s">
        <v>371</v>
      </c>
      <c r="C11" s="677" t="s">
        <v>611</v>
      </c>
    </row>
    <row r="12" spans="1:3" s="178" customFormat="1" ht="39.75" customHeight="1">
      <c r="B12" s="614" t="s">
        <v>372</v>
      </c>
      <c r="C12" s="675" t="s">
        <v>612</v>
      </c>
    </row>
    <row r="13" spans="1:3" s="178" customFormat="1" ht="18" customHeight="1">
      <c r="B13" s="614" t="s">
        <v>373</v>
      </c>
      <c r="C13" s="675" t="s">
        <v>613</v>
      </c>
    </row>
    <row r="14" spans="1:3" s="178" customFormat="1" ht="13.5" customHeight="1">
      <c r="B14" s="614"/>
      <c r="C14" s="676"/>
    </row>
    <row r="15" spans="1:3" s="178" customFormat="1" ht="18" customHeight="1">
      <c r="B15" s="614" t="s">
        <v>685</v>
      </c>
      <c r="C15" s="674" t="s">
        <v>683</v>
      </c>
    </row>
    <row r="16" spans="1:3" s="178" customFormat="1" ht="8.25" customHeight="1">
      <c r="B16" s="614"/>
      <c r="C16" s="676"/>
    </row>
    <row r="17" spans="2:3" s="178" customFormat="1" ht="33" customHeight="1">
      <c r="B17" s="678" t="s">
        <v>607</v>
      </c>
      <c r="C17" s="679" t="s">
        <v>684</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1" activePane="bottomLeft" state="frozen"/>
      <selection pane="bottomLeft" activeCell="A62" sqref="A62"/>
    </sheetView>
  </sheetViews>
  <sheetFormatPr defaultRowHeight="15"/>
  <cols>
    <col min="1" max="1" width="9.140625" style="12"/>
    <col min="2" max="2" width="36.85546875" style="722" customWidth="1"/>
    <col min="3" max="3" width="9.140625" style="10"/>
    <col min="4" max="16384" width="9.140625" style="12"/>
  </cols>
  <sheetData>
    <row r="16" spans="2:21" ht="26.25" customHeight="1">
      <c r="B16" s="723" t="s">
        <v>566</v>
      </c>
      <c r="C16" s="760" t="s">
        <v>509</v>
      </c>
      <c r="D16" s="761"/>
      <c r="E16" s="761"/>
      <c r="F16" s="761"/>
      <c r="G16" s="761"/>
      <c r="H16" s="761"/>
      <c r="I16" s="761"/>
      <c r="J16" s="761"/>
      <c r="K16" s="761"/>
      <c r="L16" s="761"/>
      <c r="M16" s="761"/>
      <c r="N16" s="761"/>
      <c r="O16" s="761"/>
      <c r="P16" s="761"/>
      <c r="Q16" s="761"/>
      <c r="R16" s="761"/>
      <c r="S16" s="761"/>
      <c r="T16" s="761"/>
      <c r="U16" s="761"/>
    </row>
    <row r="17" spans="2:21" ht="55.5" customHeight="1">
      <c r="B17" s="724" t="s">
        <v>648</v>
      </c>
      <c r="C17" s="762" t="s">
        <v>649</v>
      </c>
      <c r="D17" s="762"/>
      <c r="E17" s="762"/>
      <c r="F17" s="762"/>
      <c r="G17" s="762"/>
      <c r="H17" s="762"/>
      <c r="I17" s="762"/>
      <c r="J17" s="762"/>
      <c r="K17" s="762"/>
      <c r="L17" s="762"/>
      <c r="M17" s="762"/>
      <c r="N17" s="762"/>
      <c r="O17" s="762"/>
      <c r="P17" s="762"/>
      <c r="Q17" s="762"/>
      <c r="R17" s="762"/>
      <c r="S17" s="762"/>
      <c r="T17" s="762"/>
      <c r="U17" s="763"/>
    </row>
    <row r="18" spans="2:21" ht="15.75">
      <c r="B18" s="725"/>
      <c r="C18" s="726"/>
      <c r="D18" s="727"/>
      <c r="E18" s="727"/>
      <c r="F18" s="727"/>
      <c r="G18" s="727"/>
      <c r="H18" s="727"/>
      <c r="I18" s="727"/>
      <c r="J18" s="727"/>
      <c r="K18" s="727"/>
      <c r="L18" s="727"/>
      <c r="M18" s="727"/>
      <c r="N18" s="727"/>
      <c r="O18" s="727"/>
      <c r="P18" s="727"/>
      <c r="Q18" s="727"/>
      <c r="R18" s="727"/>
      <c r="S18" s="727"/>
      <c r="T18" s="727"/>
      <c r="U18" s="728"/>
    </row>
    <row r="19" spans="2:21" ht="15.75">
      <c r="B19" s="725"/>
      <c r="C19" s="726" t="s">
        <v>653</v>
      </c>
      <c r="D19" s="727"/>
      <c r="E19" s="727"/>
      <c r="F19" s="727"/>
      <c r="G19" s="727"/>
      <c r="H19" s="727"/>
      <c r="I19" s="727"/>
      <c r="J19" s="727"/>
      <c r="K19" s="727"/>
      <c r="L19" s="727"/>
      <c r="M19" s="727"/>
      <c r="N19" s="727"/>
      <c r="O19" s="727"/>
      <c r="P19" s="727"/>
      <c r="Q19" s="727"/>
      <c r="R19" s="727"/>
      <c r="S19" s="727"/>
      <c r="T19" s="727"/>
      <c r="U19" s="728"/>
    </row>
    <row r="20" spans="2:21" ht="15.75">
      <c r="B20" s="725"/>
      <c r="C20" s="726"/>
      <c r="D20" s="727"/>
      <c r="E20" s="727"/>
      <c r="F20" s="727"/>
      <c r="G20" s="727"/>
      <c r="H20" s="727"/>
      <c r="I20" s="727"/>
      <c r="J20" s="727"/>
      <c r="K20" s="727"/>
      <c r="L20" s="727"/>
      <c r="M20" s="727"/>
      <c r="N20" s="727"/>
      <c r="O20" s="727"/>
      <c r="P20" s="727"/>
      <c r="Q20" s="727"/>
      <c r="R20" s="727"/>
      <c r="S20" s="727"/>
      <c r="T20" s="727"/>
      <c r="U20" s="728"/>
    </row>
    <row r="21" spans="2:21" ht="15.75">
      <c r="B21" s="725"/>
      <c r="C21" s="726" t="s">
        <v>650</v>
      </c>
      <c r="D21" s="727"/>
      <c r="E21" s="727"/>
      <c r="F21" s="727"/>
      <c r="G21" s="727"/>
      <c r="H21" s="727"/>
      <c r="I21" s="727"/>
      <c r="J21" s="727"/>
      <c r="K21" s="727"/>
      <c r="L21" s="727"/>
      <c r="M21" s="727"/>
      <c r="N21" s="727"/>
      <c r="O21" s="727"/>
      <c r="P21" s="727"/>
      <c r="Q21" s="727"/>
      <c r="R21" s="727"/>
      <c r="S21" s="727"/>
      <c r="T21" s="727"/>
      <c r="U21" s="728"/>
    </row>
    <row r="22" spans="2:21" ht="15.75">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756" t="s">
        <v>651</v>
      </c>
      <c r="D23" s="756"/>
      <c r="E23" s="756"/>
      <c r="F23" s="756"/>
      <c r="G23" s="756"/>
      <c r="H23" s="756"/>
      <c r="I23" s="756"/>
      <c r="J23" s="756"/>
      <c r="K23" s="756"/>
      <c r="L23" s="756"/>
      <c r="M23" s="756"/>
      <c r="N23" s="756"/>
      <c r="O23" s="756"/>
      <c r="P23" s="756"/>
      <c r="Q23" s="756"/>
      <c r="R23" s="756"/>
      <c r="S23" s="756"/>
      <c r="T23" s="727"/>
      <c r="U23" s="728"/>
    </row>
    <row r="24" spans="2:21" ht="15.75">
      <c r="B24" s="725"/>
      <c r="C24" s="726"/>
      <c r="D24" s="727"/>
      <c r="E24" s="727"/>
      <c r="F24" s="727"/>
      <c r="G24" s="727"/>
      <c r="H24" s="727"/>
      <c r="I24" s="727"/>
      <c r="J24" s="727"/>
      <c r="K24" s="727"/>
      <c r="L24" s="727"/>
      <c r="M24" s="727"/>
      <c r="N24" s="727"/>
      <c r="O24" s="727"/>
      <c r="P24" s="727"/>
      <c r="Q24" s="727"/>
      <c r="R24" s="727"/>
      <c r="S24" s="727"/>
      <c r="T24" s="727"/>
      <c r="U24" s="728"/>
    </row>
    <row r="25" spans="2:21" ht="15.75">
      <c r="B25" s="725"/>
      <c r="C25" s="726" t="s">
        <v>654</v>
      </c>
      <c r="D25" s="727"/>
      <c r="E25" s="727"/>
      <c r="F25" s="727"/>
      <c r="G25" s="727"/>
      <c r="H25" s="727"/>
      <c r="I25" s="727"/>
      <c r="J25" s="727"/>
      <c r="K25" s="727"/>
      <c r="L25" s="727"/>
      <c r="M25" s="727"/>
      <c r="N25" s="727"/>
      <c r="O25" s="727"/>
      <c r="P25" s="727"/>
      <c r="Q25" s="727"/>
      <c r="R25" s="727"/>
      <c r="S25" s="727"/>
      <c r="T25" s="727"/>
      <c r="U25" s="728"/>
    </row>
    <row r="26" spans="2:21" ht="15.75">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756" t="s">
        <v>652</v>
      </c>
      <c r="D27" s="756"/>
      <c r="E27" s="756"/>
      <c r="F27" s="756"/>
      <c r="G27" s="756"/>
      <c r="H27" s="756"/>
      <c r="I27" s="756"/>
      <c r="J27" s="756"/>
      <c r="K27" s="756"/>
      <c r="L27" s="756"/>
      <c r="M27" s="756"/>
      <c r="N27" s="756"/>
      <c r="O27" s="756"/>
      <c r="P27" s="756"/>
      <c r="Q27" s="756"/>
      <c r="R27" s="756"/>
      <c r="S27" s="756"/>
      <c r="T27" s="756"/>
      <c r="U27" s="757"/>
    </row>
    <row r="28" spans="2:21" ht="15.75">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756" t="s">
        <v>655</v>
      </c>
      <c r="D29" s="756"/>
      <c r="E29" s="756"/>
      <c r="F29" s="756"/>
      <c r="G29" s="756"/>
      <c r="H29" s="756"/>
      <c r="I29" s="756"/>
      <c r="J29" s="756"/>
      <c r="K29" s="756"/>
      <c r="L29" s="756"/>
      <c r="M29" s="756"/>
      <c r="N29" s="756"/>
      <c r="O29" s="756"/>
      <c r="P29" s="756"/>
      <c r="Q29" s="756"/>
      <c r="R29" s="756"/>
      <c r="S29" s="756"/>
      <c r="T29" s="756"/>
      <c r="U29" s="757"/>
    </row>
    <row r="30" spans="2:21" ht="15.75">
      <c r="B30" s="725"/>
      <c r="C30" s="726"/>
      <c r="D30" s="727"/>
      <c r="E30" s="727"/>
      <c r="F30" s="727"/>
      <c r="G30" s="727"/>
      <c r="H30" s="727"/>
      <c r="I30" s="727"/>
      <c r="J30" s="727"/>
      <c r="K30" s="727"/>
      <c r="L30" s="727"/>
      <c r="M30" s="727"/>
      <c r="N30" s="727"/>
      <c r="O30" s="727"/>
      <c r="P30" s="727"/>
      <c r="Q30" s="727"/>
      <c r="R30" s="727"/>
      <c r="S30" s="727"/>
      <c r="T30" s="727"/>
      <c r="U30" s="728"/>
    </row>
    <row r="31" spans="2:21" ht="15.75">
      <c r="B31" s="725"/>
      <c r="C31" s="726" t="s">
        <v>656</v>
      </c>
      <c r="D31" s="727"/>
      <c r="E31" s="727"/>
      <c r="F31" s="727"/>
      <c r="G31" s="727"/>
      <c r="H31" s="727"/>
      <c r="I31" s="727"/>
      <c r="J31" s="727"/>
      <c r="K31" s="727"/>
      <c r="L31" s="727"/>
      <c r="M31" s="727"/>
      <c r="N31" s="727"/>
      <c r="O31" s="727"/>
      <c r="P31" s="727"/>
      <c r="Q31" s="727"/>
      <c r="R31" s="727"/>
      <c r="S31" s="727"/>
      <c r="T31" s="727"/>
      <c r="U31" s="728"/>
    </row>
    <row r="32" spans="2:21" ht="15.75">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657</v>
      </c>
      <c r="C33" s="764" t="s">
        <v>658</v>
      </c>
      <c r="D33" s="764"/>
      <c r="E33" s="764"/>
      <c r="F33" s="764"/>
      <c r="G33" s="764"/>
      <c r="H33" s="764"/>
      <c r="I33" s="764"/>
      <c r="J33" s="764"/>
      <c r="K33" s="764"/>
      <c r="L33" s="764"/>
      <c r="M33" s="764"/>
      <c r="N33" s="764"/>
      <c r="O33" s="764"/>
      <c r="P33" s="764"/>
      <c r="Q33" s="764"/>
      <c r="R33" s="764"/>
      <c r="S33" s="764"/>
      <c r="T33" s="764"/>
      <c r="U33" s="765"/>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75">
      <c r="B35" s="737" t="s">
        <v>659</v>
      </c>
      <c r="C35" s="738" t="s">
        <v>660</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661</v>
      </c>
      <c r="C37" s="758" t="s">
        <v>662</v>
      </c>
      <c r="D37" s="758"/>
      <c r="E37" s="758"/>
      <c r="F37" s="758"/>
      <c r="G37" s="758"/>
      <c r="H37" s="758"/>
      <c r="I37" s="758"/>
      <c r="J37" s="758"/>
      <c r="K37" s="758"/>
      <c r="L37" s="758"/>
      <c r="M37" s="758"/>
      <c r="N37" s="758"/>
      <c r="O37" s="758"/>
      <c r="P37" s="758"/>
      <c r="Q37" s="758"/>
      <c r="R37" s="758"/>
      <c r="S37" s="758"/>
      <c r="T37" s="758"/>
      <c r="U37" s="759"/>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75">
      <c r="B39" s="724" t="s">
        <v>663</v>
      </c>
      <c r="C39" s="740" t="s">
        <v>664</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665</v>
      </c>
      <c r="C41" s="766" t="s">
        <v>666</v>
      </c>
      <c r="D41" s="766"/>
      <c r="E41" s="766"/>
      <c r="F41" s="766"/>
      <c r="G41" s="766"/>
      <c r="H41" s="766"/>
      <c r="I41" s="766"/>
      <c r="J41" s="766"/>
      <c r="K41" s="766"/>
      <c r="L41" s="766"/>
      <c r="M41" s="766"/>
      <c r="N41" s="766"/>
      <c r="O41" s="766"/>
      <c r="P41" s="766"/>
      <c r="Q41" s="766"/>
      <c r="R41" s="766"/>
      <c r="S41" s="766"/>
      <c r="T41" s="766"/>
      <c r="U41" s="767"/>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75">
      <c r="B43" s="737" t="s">
        <v>667</v>
      </c>
      <c r="C43" s="738" t="s">
        <v>668</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754" t="s">
        <v>672</v>
      </c>
      <c r="D45" s="754"/>
      <c r="E45" s="754"/>
      <c r="F45" s="754"/>
      <c r="G45" s="754"/>
      <c r="H45" s="754"/>
      <c r="I45" s="754"/>
      <c r="J45" s="754"/>
      <c r="K45" s="754"/>
      <c r="L45" s="754"/>
      <c r="M45" s="754"/>
      <c r="N45" s="754"/>
      <c r="O45" s="754"/>
      <c r="P45" s="754"/>
      <c r="Q45" s="754"/>
      <c r="R45" s="754"/>
      <c r="S45" s="754"/>
      <c r="T45" s="754"/>
      <c r="U45" s="755"/>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754" t="s">
        <v>669</v>
      </c>
      <c r="D47" s="754"/>
      <c r="E47" s="754"/>
      <c r="F47" s="754"/>
      <c r="G47" s="754"/>
      <c r="H47" s="754"/>
      <c r="I47" s="754"/>
      <c r="J47" s="754"/>
      <c r="K47" s="754"/>
      <c r="L47" s="754"/>
      <c r="M47" s="754"/>
      <c r="N47" s="754"/>
      <c r="O47" s="754"/>
      <c r="P47" s="754"/>
      <c r="Q47" s="754"/>
      <c r="R47" s="754"/>
      <c r="S47" s="754"/>
      <c r="T47" s="754"/>
      <c r="U47" s="755"/>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754" t="s">
        <v>670</v>
      </c>
      <c r="D49" s="754"/>
      <c r="E49" s="754"/>
      <c r="F49" s="754"/>
      <c r="G49" s="754"/>
      <c r="H49" s="754"/>
      <c r="I49" s="754"/>
      <c r="J49" s="754"/>
      <c r="K49" s="754"/>
      <c r="L49" s="754"/>
      <c r="M49" s="754"/>
      <c r="N49" s="754"/>
      <c r="O49" s="754"/>
      <c r="P49" s="754"/>
      <c r="Q49" s="754"/>
      <c r="R49" s="754"/>
      <c r="S49" s="754"/>
      <c r="T49" s="754"/>
      <c r="U49" s="755"/>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754" t="s">
        <v>671</v>
      </c>
      <c r="D51" s="754"/>
      <c r="E51" s="754"/>
      <c r="F51" s="754"/>
      <c r="G51" s="754"/>
      <c r="H51" s="754"/>
      <c r="I51" s="754"/>
      <c r="J51" s="754"/>
      <c r="K51" s="754"/>
      <c r="L51" s="754"/>
      <c r="M51" s="754"/>
      <c r="N51" s="754"/>
      <c r="O51" s="754"/>
      <c r="P51" s="754"/>
      <c r="Q51" s="754"/>
      <c r="R51" s="754"/>
      <c r="S51" s="754"/>
      <c r="T51" s="754"/>
      <c r="U51" s="755"/>
    </row>
    <row r="52" spans="2:21" ht="15.75">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756" t="s">
        <v>673</v>
      </c>
      <c r="D53" s="756"/>
      <c r="E53" s="756"/>
      <c r="F53" s="756"/>
      <c r="G53" s="756"/>
      <c r="H53" s="756"/>
      <c r="I53" s="756"/>
      <c r="J53" s="756"/>
      <c r="K53" s="756"/>
      <c r="L53" s="756"/>
      <c r="M53" s="756"/>
      <c r="N53" s="756"/>
      <c r="O53" s="756"/>
      <c r="P53" s="756"/>
      <c r="Q53" s="756"/>
      <c r="R53" s="756"/>
      <c r="S53" s="756"/>
      <c r="T53" s="756"/>
      <c r="U53" s="757"/>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674</v>
      </c>
      <c r="C55" s="758" t="s">
        <v>675</v>
      </c>
      <c r="D55" s="758"/>
      <c r="E55" s="758"/>
      <c r="F55" s="758"/>
      <c r="G55" s="758"/>
      <c r="H55" s="758"/>
      <c r="I55" s="758"/>
      <c r="J55" s="758"/>
      <c r="K55" s="758"/>
      <c r="L55" s="758"/>
      <c r="M55" s="758"/>
      <c r="N55" s="758"/>
      <c r="O55" s="758"/>
      <c r="P55" s="758"/>
      <c r="Q55" s="758"/>
      <c r="R55" s="758"/>
      <c r="S55" s="758"/>
      <c r="T55" s="758"/>
      <c r="U55" s="759"/>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676</v>
      </c>
      <c r="C57" s="758" t="s">
        <v>677</v>
      </c>
      <c r="D57" s="758"/>
      <c r="E57" s="758"/>
      <c r="F57" s="758"/>
      <c r="G57" s="758"/>
      <c r="H57" s="758"/>
      <c r="I57" s="758"/>
      <c r="J57" s="758"/>
      <c r="K57" s="758"/>
      <c r="L57" s="758"/>
      <c r="M57" s="758"/>
      <c r="N57" s="758"/>
      <c r="O57" s="758"/>
      <c r="P57" s="758"/>
      <c r="Q57" s="758"/>
      <c r="R57" s="758"/>
      <c r="S57" s="758"/>
      <c r="T57" s="758"/>
      <c r="U57" s="759"/>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678</v>
      </c>
      <c r="C59" s="745" t="s">
        <v>679</v>
      </c>
      <c r="D59" s="746"/>
      <c r="E59" s="746"/>
      <c r="F59" s="746"/>
      <c r="G59" s="746"/>
      <c r="H59" s="746"/>
      <c r="I59" s="746"/>
      <c r="J59" s="746"/>
      <c r="K59" s="746"/>
      <c r="L59" s="746"/>
      <c r="M59" s="746"/>
      <c r="N59" s="746"/>
      <c r="O59" s="746"/>
      <c r="P59" s="746"/>
      <c r="Q59" s="746"/>
      <c r="R59" s="746"/>
      <c r="S59" s="746"/>
      <c r="T59" s="746"/>
      <c r="U59" s="74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90" zoomScaleNormal="90" workbookViewId="0">
      <selection activeCell="D12" sqref="D12"/>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9" t="s">
        <v>570</v>
      </c>
      <c r="C3" s="770"/>
      <c r="D3" s="770"/>
      <c r="E3" s="770"/>
      <c r="F3" s="771"/>
      <c r="G3" s="124"/>
    </row>
    <row r="4" spans="2:20" ht="16.5" customHeight="1">
      <c r="B4" s="772"/>
      <c r="C4" s="773"/>
      <c r="D4" s="773"/>
      <c r="E4" s="773"/>
      <c r="F4" s="774"/>
      <c r="G4" s="124"/>
    </row>
    <row r="5" spans="2:20" ht="71.25" customHeight="1">
      <c r="B5" s="772"/>
      <c r="C5" s="773"/>
      <c r="D5" s="773"/>
      <c r="E5" s="773"/>
      <c r="F5" s="774"/>
      <c r="G5" s="124"/>
    </row>
    <row r="6" spans="2:20" ht="21.75" customHeight="1">
      <c r="B6" s="775"/>
      <c r="C6" s="776"/>
      <c r="D6" s="776"/>
      <c r="E6" s="776"/>
      <c r="F6" s="777"/>
      <c r="G6" s="124"/>
    </row>
    <row r="8" spans="2:20" ht="21">
      <c r="B8" s="768" t="s">
        <v>484</v>
      </c>
      <c r="C8" s="768"/>
      <c r="D8" s="768"/>
      <c r="E8" s="768"/>
      <c r="F8" s="768"/>
      <c r="G8" s="768"/>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598</v>
      </c>
      <c r="G12" s="28"/>
      <c r="L12" s="33"/>
      <c r="M12" s="33"/>
      <c r="N12" s="33"/>
      <c r="O12" s="33"/>
      <c r="P12" s="33"/>
      <c r="Q12" s="70"/>
      <c r="S12" s="8"/>
      <c r="T12" s="8"/>
    </row>
    <row r="13" spans="2:20" s="9" customFormat="1" ht="26.25" customHeight="1" thickBot="1">
      <c r="B13" s="104"/>
      <c r="C13" s="126" t="s">
        <v>639</v>
      </c>
      <c r="G13" s="111"/>
      <c r="L13" s="33"/>
      <c r="M13" s="33"/>
      <c r="N13" s="33"/>
      <c r="O13" s="33"/>
      <c r="P13" s="33"/>
      <c r="Q13" s="70"/>
      <c r="S13" s="8"/>
      <c r="T13" s="8"/>
    </row>
    <row r="14" spans="2:20" s="9" customFormat="1" ht="26.25" customHeight="1" thickBot="1">
      <c r="B14" s="104"/>
      <c r="C14" s="174" t="s">
        <v>634</v>
      </c>
      <c r="G14" s="125"/>
      <c r="L14" s="33"/>
      <c r="M14" s="33"/>
      <c r="N14" s="33"/>
      <c r="O14" s="33"/>
      <c r="P14" s="33"/>
      <c r="Q14" s="70"/>
      <c r="S14" s="8"/>
      <c r="T14" s="8"/>
    </row>
    <row r="15" spans="2:20" s="9" customFormat="1" ht="26.25" customHeight="1" thickBot="1">
      <c r="B15" s="104"/>
      <c r="C15" s="174" t="s">
        <v>635</v>
      </c>
      <c r="G15" s="125"/>
      <c r="L15" s="33"/>
      <c r="M15" s="33"/>
      <c r="N15" s="33"/>
      <c r="O15" s="33"/>
      <c r="P15" s="33"/>
      <c r="Q15" s="70"/>
      <c r="S15" s="8"/>
      <c r="T15" s="8"/>
    </row>
    <row r="16" spans="2:20" s="9" customFormat="1" ht="26.25" customHeight="1" thickBot="1">
      <c r="B16" s="104"/>
      <c r="C16" s="174" t="s">
        <v>636</v>
      </c>
      <c r="G16" s="125"/>
      <c r="L16" s="33"/>
      <c r="M16" s="33"/>
      <c r="N16" s="33"/>
      <c r="O16" s="33"/>
      <c r="P16" s="33"/>
      <c r="Q16" s="70"/>
      <c r="S16" s="8"/>
      <c r="T16" s="8"/>
    </row>
    <row r="17" spans="2:20" s="9" customFormat="1" ht="26.25" customHeight="1" thickBot="1">
      <c r="B17" s="104"/>
      <c r="C17" s="126" t="s">
        <v>637</v>
      </c>
      <c r="G17" s="111"/>
      <c r="L17" s="33"/>
      <c r="M17" s="33"/>
      <c r="N17" s="33"/>
      <c r="O17" s="33"/>
      <c r="P17" s="33"/>
      <c r="Q17" s="70"/>
      <c r="S17" s="8"/>
      <c r="T17" s="8"/>
    </row>
    <row r="18" spans="2:20" s="9" customFormat="1" ht="26.25" customHeight="1" thickBot="1">
      <c r="B18" s="104"/>
      <c r="C18" s="126" t="s">
        <v>638</v>
      </c>
      <c r="G18" s="125"/>
      <c r="L18" s="33"/>
      <c r="M18" s="33"/>
      <c r="N18" s="33"/>
      <c r="O18" s="33"/>
      <c r="P18" s="33"/>
      <c r="Q18" s="70"/>
      <c r="S18" s="8"/>
      <c r="T18" s="8"/>
    </row>
    <row r="19" spans="2:20" s="9" customFormat="1" ht="26.25" customHeight="1" thickBot="1">
      <c r="B19" s="104"/>
      <c r="C19" s="126" t="s">
        <v>640</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545</v>
      </c>
      <c r="C21" s="245" t="s">
        <v>474</v>
      </c>
      <c r="D21" s="245" t="s">
        <v>450</v>
      </c>
      <c r="E21" s="245" t="s">
        <v>442</v>
      </c>
      <c r="F21" s="245" t="s">
        <v>558</v>
      </c>
      <c r="G21" s="40"/>
      <c r="M21" s="25"/>
      <c r="T21" s="25"/>
    </row>
    <row r="22" spans="2:20" s="105" customFormat="1" ht="36" customHeight="1">
      <c r="B22" s="649" t="s">
        <v>548</v>
      </c>
      <c r="C22" s="655" t="s">
        <v>440</v>
      </c>
      <c r="D22" s="658" t="s">
        <v>446</v>
      </c>
      <c r="E22" s="662" t="s">
        <v>597</v>
      </c>
      <c r="F22" s="658" t="s">
        <v>451</v>
      </c>
      <c r="G22" s="176"/>
      <c r="M22" s="647"/>
      <c r="T22" s="647"/>
    </row>
    <row r="23" spans="2:20" s="105" customFormat="1" ht="35.25" customHeight="1">
      <c r="B23" s="650" t="s">
        <v>461</v>
      </c>
      <c r="C23" s="656" t="s">
        <v>441</v>
      </c>
      <c r="D23" s="659" t="s">
        <v>447</v>
      </c>
      <c r="E23" s="663" t="s">
        <v>597</v>
      </c>
      <c r="F23" s="659" t="s">
        <v>451</v>
      </c>
      <c r="G23" s="176"/>
      <c r="M23" s="647"/>
      <c r="T23" s="647"/>
    </row>
    <row r="24" spans="2:20" s="105" customFormat="1" ht="34.5" customHeight="1">
      <c r="B24" s="650" t="s">
        <v>458</v>
      </c>
      <c r="C24" s="656" t="s">
        <v>441</v>
      </c>
      <c r="D24" s="659" t="s">
        <v>448</v>
      </c>
      <c r="E24" s="663" t="s">
        <v>597</v>
      </c>
      <c r="F24" s="659" t="s">
        <v>451</v>
      </c>
      <c r="G24" s="176"/>
      <c r="M24" s="647"/>
      <c r="T24" s="647"/>
    </row>
    <row r="25" spans="2:20" s="105" customFormat="1" ht="32.25" customHeight="1">
      <c r="B25" s="651" t="s">
        <v>459</v>
      </c>
      <c r="C25" s="656" t="s">
        <v>440</v>
      </c>
      <c r="D25" s="659" t="s">
        <v>449</v>
      </c>
      <c r="E25" s="664" t="s">
        <v>616</v>
      </c>
      <c r="F25" s="667"/>
      <c r="G25" s="176"/>
      <c r="M25" s="647"/>
      <c r="T25" s="647"/>
    </row>
    <row r="26" spans="2:20" s="105" customFormat="1" ht="30.75" customHeight="1">
      <c r="B26" s="652" t="s">
        <v>546</v>
      </c>
      <c r="C26" s="656" t="s">
        <v>440</v>
      </c>
      <c r="D26" s="659"/>
      <c r="E26" s="664"/>
      <c r="F26" s="667"/>
      <c r="G26" s="176"/>
      <c r="M26" s="647"/>
      <c r="T26" s="647"/>
    </row>
    <row r="27" spans="2:20" s="105" customFormat="1" ht="32.25" customHeight="1">
      <c r="B27" s="653" t="s">
        <v>547</v>
      </c>
      <c r="C27" s="656" t="s">
        <v>440</v>
      </c>
      <c r="D27" s="660" t="s">
        <v>543</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560</v>
      </c>
      <c r="E30" s="665"/>
      <c r="F30" s="659" t="s">
        <v>559</v>
      </c>
      <c r="G30" s="648"/>
      <c r="M30" s="647"/>
    </row>
    <row r="31" spans="2:20" s="105" customFormat="1" ht="27.75" customHeight="1">
      <c r="B31" s="654" t="s">
        <v>544</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554</v>
      </c>
      <c r="G1" s="122" t="s">
        <v>580</v>
      </c>
      <c r="H1" s="122" t="s">
        <v>591</v>
      </c>
    </row>
    <row r="2" spans="1:8">
      <c r="A2" s="12" t="s">
        <v>29</v>
      </c>
      <c r="B2" s="12" t="s">
        <v>27</v>
      </c>
      <c r="C2" s="10">
        <v>2006</v>
      </c>
      <c r="D2" s="12" t="s">
        <v>419</v>
      </c>
      <c r="E2" s="10">
        <f>'2. LRAMVA Threshold'!D9</f>
        <v>2014</v>
      </c>
      <c r="F2" s="26" t="s">
        <v>171</v>
      </c>
      <c r="G2" s="12" t="s">
        <v>581</v>
      </c>
      <c r="H2" s="12" t="s">
        <v>599</v>
      </c>
    </row>
    <row r="3" spans="1:8">
      <c r="A3" s="12" t="s">
        <v>374</v>
      </c>
      <c r="B3" s="12" t="s">
        <v>27</v>
      </c>
      <c r="C3" s="10">
        <v>2007</v>
      </c>
      <c r="D3" s="12" t="s">
        <v>420</v>
      </c>
      <c r="E3" s="10">
        <f>'2. LRAMVA Threshold'!D24</f>
        <v>0</v>
      </c>
      <c r="F3" s="12" t="s">
        <v>555</v>
      </c>
      <c r="G3" s="12" t="s">
        <v>582</v>
      </c>
      <c r="H3" s="12" t="s">
        <v>592</v>
      </c>
    </row>
    <row r="4" spans="1:8">
      <c r="A4" s="12" t="s">
        <v>375</v>
      </c>
      <c r="B4" s="12" t="s">
        <v>28</v>
      </c>
      <c r="C4" s="10">
        <v>2008</v>
      </c>
      <c r="D4" s="12" t="s">
        <v>421</v>
      </c>
      <c r="F4" s="12" t="s">
        <v>170</v>
      </c>
      <c r="G4" s="12" t="s">
        <v>583</v>
      </c>
    </row>
    <row r="5" spans="1:8">
      <c r="A5" s="12" t="s">
        <v>376</v>
      </c>
      <c r="B5" s="12" t="s">
        <v>28</v>
      </c>
      <c r="C5" s="10">
        <v>2009</v>
      </c>
      <c r="F5" s="12" t="s">
        <v>371</v>
      </c>
      <c r="G5" s="12" t="s">
        <v>584</v>
      </c>
    </row>
    <row r="6" spans="1:8">
      <c r="A6" s="12" t="s">
        <v>377</v>
      </c>
      <c r="B6" s="12" t="s">
        <v>28</v>
      </c>
      <c r="C6" s="10">
        <v>2010</v>
      </c>
      <c r="F6" s="12" t="s">
        <v>372</v>
      </c>
      <c r="G6" s="12" t="s">
        <v>585</v>
      </c>
    </row>
    <row r="7" spans="1:8">
      <c r="A7" s="12" t="s">
        <v>378</v>
      </c>
      <c r="B7" s="12" t="s">
        <v>28</v>
      </c>
      <c r="C7" s="10">
        <v>2011</v>
      </c>
      <c r="F7" s="12" t="s">
        <v>373</v>
      </c>
      <c r="G7" s="12" t="s">
        <v>586</v>
      </c>
    </row>
    <row r="8" spans="1:8">
      <c r="A8" s="12" t="s">
        <v>379</v>
      </c>
      <c r="B8" s="12" t="s">
        <v>28</v>
      </c>
      <c r="C8" s="10">
        <v>2012</v>
      </c>
      <c r="F8" s="12" t="s">
        <v>563</v>
      </c>
      <c r="G8" s="12" t="s">
        <v>587</v>
      </c>
    </row>
    <row r="9" spans="1:8">
      <c r="A9" s="12" t="s">
        <v>380</v>
      </c>
      <c r="B9" s="12" t="s">
        <v>28</v>
      </c>
      <c r="C9" s="10">
        <v>2013</v>
      </c>
      <c r="G9" s="12" t="s">
        <v>588</v>
      </c>
    </row>
    <row r="10" spans="1:8">
      <c r="A10" s="12" t="s">
        <v>381</v>
      </c>
      <c r="B10" s="12" t="s">
        <v>28</v>
      </c>
      <c r="C10" s="10">
        <v>2014</v>
      </c>
      <c r="G10" s="12" t="s">
        <v>589</v>
      </c>
    </row>
    <row r="11" spans="1:8">
      <c r="A11" s="12" t="s">
        <v>382</v>
      </c>
      <c r="B11" s="12" t="s">
        <v>28</v>
      </c>
      <c r="C11" s="10">
        <v>2015</v>
      </c>
      <c r="G11" s="12" t="s">
        <v>590</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A33" zoomScale="80" zoomScaleNormal="80" workbookViewId="0">
      <selection activeCell="V50" sqref="V50"/>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hidden="1"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556</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525</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561</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512</v>
      </c>
      <c r="C13" s="17"/>
      <c r="F13" s="187" t="s">
        <v>513</v>
      </c>
      <c r="G13" s="36"/>
      <c r="H13" s="31"/>
      <c r="I13" s="9"/>
      <c r="J13" s="186" t="s">
        <v>510</v>
      </c>
      <c r="N13" s="105"/>
      <c r="P13" s="9"/>
      <c r="Q13" s="189"/>
      <c r="R13" s="42"/>
      <c r="T13" s="188"/>
      <c r="U13" s="188"/>
    </row>
    <row r="14" spans="2:22" ht="29.25" customHeight="1" thickBot="1">
      <c r="B14" s="126" t="s">
        <v>552</v>
      </c>
      <c r="D14" s="544" t="s">
        <v>515</v>
      </c>
      <c r="E14" s="132"/>
      <c r="F14" s="126" t="s">
        <v>553</v>
      </c>
      <c r="H14" s="544" t="s">
        <v>515</v>
      </c>
      <c r="J14" s="126" t="s">
        <v>520</v>
      </c>
      <c r="L14" s="134"/>
      <c r="N14" s="105"/>
      <c r="Q14" s="101"/>
      <c r="R14" s="98"/>
    </row>
    <row r="15" spans="2:22" ht="26.25" customHeight="1" thickBot="1">
      <c r="B15" s="126" t="s">
        <v>427</v>
      </c>
      <c r="C15" s="108"/>
      <c r="D15" s="544" t="s">
        <v>242</v>
      </c>
      <c r="F15" s="126" t="s">
        <v>417</v>
      </c>
      <c r="G15" s="129"/>
      <c r="H15" s="544" t="s">
        <v>242</v>
      </c>
      <c r="I15" s="17"/>
      <c r="J15" s="126" t="s">
        <v>521</v>
      </c>
      <c r="L15" s="134"/>
      <c r="M15" s="105"/>
      <c r="Q15" s="110"/>
      <c r="R15" s="98"/>
    </row>
    <row r="16" spans="2:22" ht="28.5" customHeight="1" thickBot="1">
      <c r="B16" s="126" t="s">
        <v>457</v>
      </c>
      <c r="C16" s="108"/>
      <c r="D16" s="545" t="s">
        <v>508</v>
      </c>
      <c r="E16" s="105"/>
      <c r="F16" s="126" t="s">
        <v>437</v>
      </c>
      <c r="G16" s="127"/>
      <c r="H16" s="545" t="s">
        <v>508</v>
      </c>
      <c r="I16" s="105"/>
      <c r="K16" s="197"/>
      <c r="L16" s="197"/>
      <c r="M16" s="197"/>
      <c r="N16" s="197"/>
      <c r="Q16" s="117"/>
      <c r="R16" s="98"/>
    </row>
    <row r="17" spans="1:21" ht="29.25" customHeight="1" thickBot="1">
      <c r="B17" s="126" t="s">
        <v>424</v>
      </c>
      <c r="C17" s="108"/>
      <c r="D17" s="134">
        <v>0</v>
      </c>
      <c r="E17" s="123"/>
      <c r="F17" s="126" t="s">
        <v>438</v>
      </c>
      <c r="G17" s="605" t="s">
        <v>365</v>
      </c>
      <c r="H17" s="244">
        <f>SUM(R52,R55,R58,R61,R64,R67)</f>
        <v>18739.611196400001</v>
      </c>
      <c r="I17" s="17"/>
      <c r="K17" s="197"/>
      <c r="L17" s="197"/>
      <c r="M17" s="197"/>
      <c r="N17" s="197"/>
      <c r="P17" s="101"/>
      <c r="Q17" s="101"/>
      <c r="R17" s="98"/>
    </row>
    <row r="18" spans="1:21" ht="27.75" customHeight="1" thickBot="1">
      <c r="E18" s="9"/>
      <c r="F18" s="126" t="s">
        <v>439</v>
      </c>
      <c r="G18" s="605" t="s">
        <v>366</v>
      </c>
      <c r="H18" s="133">
        <f>-SUM(R53,R56,R59,R62,R65,R68)</f>
        <v>15600.561100000001</v>
      </c>
      <c r="I18" s="17"/>
      <c r="J18" s="117"/>
      <c r="K18" s="117"/>
      <c r="L18" s="117"/>
      <c r="M18" s="117"/>
      <c r="N18" s="117"/>
      <c r="P18" s="117"/>
      <c r="Q18" s="117"/>
      <c r="R18" s="98"/>
    </row>
    <row r="19" spans="1:21" ht="27.75" customHeight="1" thickBot="1">
      <c r="E19" s="9"/>
      <c r="F19" s="126" t="s">
        <v>411</v>
      </c>
      <c r="G19" s="605" t="s">
        <v>367</v>
      </c>
      <c r="H19" s="190">
        <f>R82</f>
        <v>-84.83415415886833</v>
      </c>
      <c r="I19" s="17"/>
      <c r="J19" s="117"/>
      <c r="P19" s="117"/>
      <c r="Q19" s="117"/>
      <c r="R19" s="98"/>
    </row>
    <row r="20" spans="1:21" ht="27.75" customHeight="1">
      <c r="C20" s="32"/>
      <c r="D20" s="32"/>
      <c r="E20" s="32"/>
      <c r="F20" s="126" t="s">
        <v>514</v>
      </c>
      <c r="G20" s="605" t="s">
        <v>452</v>
      </c>
      <c r="H20" s="190">
        <f>H17-H18+H19</f>
        <v>3054.2159422411319</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78" t="s">
        <v>643</v>
      </c>
      <c r="C24" s="778"/>
      <c r="D24" s="778"/>
      <c r="E24" s="778"/>
      <c r="F24" s="778"/>
      <c r="G24" s="778"/>
    </row>
    <row r="25" spans="1:21" ht="14.25" customHeight="1">
      <c r="A25" s="28"/>
      <c r="B25" s="550"/>
      <c r="C25" s="550"/>
      <c r="D25" s="540"/>
      <c r="E25" s="540"/>
      <c r="F25" s="540"/>
      <c r="G25" s="550"/>
    </row>
    <row r="26" spans="1:21" s="17" customFormat="1" ht="27" customHeight="1">
      <c r="B26" s="783" t="s">
        <v>511</v>
      </c>
      <c r="C26" s="784"/>
      <c r="D26" s="135" t="s">
        <v>41</v>
      </c>
      <c r="E26" s="136" t="s">
        <v>572</v>
      </c>
      <c r="F26" s="136" t="s">
        <v>411</v>
      </c>
      <c r="G26" s="137" t="s">
        <v>412</v>
      </c>
      <c r="T26" s="138"/>
      <c r="U26" s="138"/>
    </row>
    <row r="27" spans="1:21" ht="20.25" customHeight="1">
      <c r="B27" s="748" t="s">
        <v>29</v>
      </c>
      <c r="C27" s="749"/>
      <c r="D27" s="640" t="s">
        <v>27</v>
      </c>
      <c r="E27" s="140">
        <f>SUM(D52:D81)</f>
        <v>5929.1774017000007</v>
      </c>
      <c r="F27" s="141">
        <f>D82</f>
        <v>-58.436722162073742</v>
      </c>
      <c r="G27" s="140">
        <f>E27+F27</f>
        <v>5870.7406795379266</v>
      </c>
    </row>
    <row r="28" spans="1:21" ht="20.25" customHeight="1">
      <c r="B28" s="748" t="s">
        <v>686</v>
      </c>
      <c r="C28" s="749"/>
      <c r="D28" s="640" t="s">
        <v>27</v>
      </c>
      <c r="E28" s="142">
        <f>SUM(E52:E81)</f>
        <v>11473.502494700002</v>
      </c>
      <c r="F28" s="143">
        <f>E82</f>
        <v>14.139380309872084</v>
      </c>
      <c r="G28" s="142">
        <f>E28+F28</f>
        <v>11487.641875009875</v>
      </c>
    </row>
    <row r="29" spans="1:21" ht="20.25" customHeight="1">
      <c r="B29" s="748" t="s">
        <v>687</v>
      </c>
      <c r="C29" s="749"/>
      <c r="D29" s="640" t="s">
        <v>28</v>
      </c>
      <c r="E29" s="142">
        <f>SUM(F52:F81)</f>
        <v>-1946.5824</v>
      </c>
      <c r="F29" s="143">
        <f>F82</f>
        <v>-35.047284510000004</v>
      </c>
      <c r="G29" s="142">
        <f t="shared" ref="G29:G32" si="0">E29+F29</f>
        <v>-1981.6296845100001</v>
      </c>
    </row>
    <row r="30" spans="1:21" ht="20.25" customHeight="1">
      <c r="B30" s="748" t="s">
        <v>32</v>
      </c>
      <c r="C30" s="749"/>
      <c r="D30" s="640" t="s">
        <v>27</v>
      </c>
      <c r="E30" s="142">
        <f>SUM(G52:G81)</f>
        <v>-25.748800000000003</v>
      </c>
      <c r="F30" s="143">
        <f>G82</f>
        <v>-0.51624290666666661</v>
      </c>
      <c r="G30" s="142">
        <f t="shared" si="0"/>
        <v>-26.265042906666668</v>
      </c>
    </row>
    <row r="31" spans="1:21" ht="20.25" customHeight="1">
      <c r="B31" s="748" t="s">
        <v>31</v>
      </c>
      <c r="C31" s="749"/>
      <c r="D31" s="640" t="s">
        <v>28</v>
      </c>
      <c r="E31" s="142">
        <f>SUM(H52:H81)</f>
        <v>-307.16419999999994</v>
      </c>
      <c r="F31" s="143">
        <f>H82</f>
        <v>-4.9732848899999995</v>
      </c>
      <c r="G31" s="142">
        <f>E31+F31</f>
        <v>-312.13748488999994</v>
      </c>
    </row>
    <row r="32" spans="1:21" ht="20.25" customHeight="1">
      <c r="B32" s="748"/>
      <c r="C32" s="749"/>
      <c r="D32" s="640"/>
      <c r="E32" s="142">
        <f>SUM(I52:I81)</f>
        <v>0</v>
      </c>
      <c r="F32" s="143">
        <f>I82</f>
        <v>0</v>
      </c>
      <c r="G32" s="142">
        <f t="shared" si="0"/>
        <v>0</v>
      </c>
    </row>
    <row r="33" spans="2:22" ht="20.25" customHeight="1">
      <c r="B33" s="748"/>
      <c r="C33" s="749"/>
      <c r="D33" s="640"/>
      <c r="E33" s="142">
        <f>SUM(J52:J81)</f>
        <v>0</v>
      </c>
      <c r="F33" s="143">
        <f>J82</f>
        <v>0</v>
      </c>
      <c r="G33" s="142">
        <f>E33+F33</f>
        <v>0</v>
      </c>
    </row>
    <row r="34" spans="2:22" ht="20.25" customHeight="1">
      <c r="B34" s="748"/>
      <c r="C34" s="749"/>
      <c r="D34" s="640"/>
      <c r="E34" s="142">
        <f>SUM(K52:K81)</f>
        <v>0</v>
      </c>
      <c r="F34" s="143">
        <f>K82</f>
        <v>0</v>
      </c>
      <c r="G34" s="142">
        <f t="shared" ref="G34:G40" si="1">E34+F34</f>
        <v>0</v>
      </c>
    </row>
    <row r="35" spans="2:22" ht="20.25" customHeight="1">
      <c r="B35" s="748"/>
      <c r="C35" s="749"/>
      <c r="D35" s="640"/>
      <c r="E35" s="142">
        <f>SUM(L52:L81)</f>
        <v>0</v>
      </c>
      <c r="F35" s="143">
        <f>L82</f>
        <v>0</v>
      </c>
      <c r="G35" s="142">
        <f t="shared" si="1"/>
        <v>0</v>
      </c>
    </row>
    <row r="36" spans="2:22" ht="20.25" customHeight="1">
      <c r="B36" s="779"/>
      <c r="C36" s="780"/>
      <c r="D36" s="640"/>
      <c r="E36" s="142">
        <f>SUM(M52:M81)</f>
        <v>0</v>
      </c>
      <c r="F36" s="143">
        <f>M82</f>
        <v>0</v>
      </c>
      <c r="G36" s="142">
        <f t="shared" si="1"/>
        <v>0</v>
      </c>
    </row>
    <row r="37" spans="2:22" ht="20.25" customHeight="1">
      <c r="B37" s="779"/>
      <c r="C37" s="780"/>
      <c r="D37" s="640"/>
      <c r="E37" s="142">
        <f>SUM(N52:N81)</f>
        <v>0</v>
      </c>
      <c r="F37" s="143">
        <f>N82</f>
        <v>0</v>
      </c>
      <c r="G37" s="142">
        <f t="shared" si="1"/>
        <v>0</v>
      </c>
    </row>
    <row r="38" spans="2:22" ht="20.25" customHeight="1">
      <c r="B38" s="779"/>
      <c r="C38" s="780"/>
      <c r="D38" s="640"/>
      <c r="E38" s="142">
        <f>SUM(O52:O81)</f>
        <v>0</v>
      </c>
      <c r="F38" s="143">
        <f>O82</f>
        <v>0</v>
      </c>
      <c r="G38" s="142">
        <f t="shared" si="1"/>
        <v>0</v>
      </c>
    </row>
    <row r="39" spans="2:22" ht="20.25" customHeight="1">
      <c r="B39" s="779"/>
      <c r="C39" s="780"/>
      <c r="D39" s="640"/>
      <c r="E39" s="142">
        <f>SUM(P52:P81)</f>
        <v>0</v>
      </c>
      <c r="F39" s="143">
        <f>P82</f>
        <v>0</v>
      </c>
      <c r="G39" s="142">
        <f t="shared" si="1"/>
        <v>0</v>
      </c>
    </row>
    <row r="40" spans="2:22" ht="20.25" customHeight="1">
      <c r="B40" s="779"/>
      <c r="C40" s="780"/>
      <c r="D40" s="641"/>
      <c r="E40" s="144">
        <f>SUM(Q52:Q81)</f>
        <v>0</v>
      </c>
      <c r="F40" s="145">
        <f>Q82</f>
        <v>0</v>
      </c>
      <c r="G40" s="144">
        <f t="shared" si="1"/>
        <v>0</v>
      </c>
    </row>
    <row r="41" spans="2:22" s="8" customFormat="1" ht="21" customHeight="1">
      <c r="B41" s="781" t="s">
        <v>26</v>
      </c>
      <c r="C41" s="782"/>
      <c r="D41" s="139"/>
      <c r="E41" s="146">
        <f>SUM(E27:E40)</f>
        <v>15123.184496400007</v>
      </c>
      <c r="F41" s="146">
        <f>SUM(F27:F40)</f>
        <v>-84.83415415886833</v>
      </c>
      <c r="G41" s="146">
        <f>SUM(G27:G40)</f>
        <v>15038.350342241136</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8" t="s">
        <v>619</v>
      </c>
      <c r="C46" s="778"/>
      <c r="D46" s="778"/>
      <c r="E46" s="778"/>
      <c r="F46" s="778"/>
      <c r="G46" s="778"/>
      <c r="H46" s="778"/>
      <c r="I46" s="778"/>
      <c r="J46" s="778"/>
      <c r="K46" s="778"/>
      <c r="L46" s="778"/>
      <c r="M46" s="619"/>
      <c r="N46" s="107"/>
      <c r="O46" s="107"/>
      <c r="P46" s="107"/>
      <c r="Q46" s="107"/>
      <c r="R46" s="107"/>
      <c r="T46" s="37"/>
      <c r="U46" s="19"/>
      <c r="V46" s="38"/>
    </row>
    <row r="47" spans="2:22" s="28" customFormat="1" ht="48" customHeight="1">
      <c r="B47" s="778" t="s">
        <v>571</v>
      </c>
      <c r="C47" s="778"/>
      <c r="D47" s="778"/>
      <c r="E47" s="778"/>
      <c r="F47" s="778"/>
      <c r="G47" s="778"/>
      <c r="H47" s="778"/>
      <c r="I47" s="778"/>
      <c r="J47" s="778"/>
      <c r="K47" s="778"/>
      <c r="L47" s="778"/>
      <c r="M47" s="619"/>
      <c r="N47" s="107"/>
      <c r="O47" s="107"/>
      <c r="P47" s="107"/>
      <c r="Q47" s="107"/>
      <c r="R47" s="107"/>
      <c r="T47" s="37"/>
      <c r="U47" s="19"/>
      <c r="V47" s="38"/>
    </row>
    <row r="48" spans="2:22" s="28" customFormat="1" ht="26.25" customHeight="1">
      <c r="B48" s="778" t="s">
        <v>628</v>
      </c>
      <c r="C48" s="778"/>
      <c r="D48" s="778"/>
      <c r="E48" s="778"/>
      <c r="F48" s="778"/>
      <c r="G48" s="778"/>
      <c r="H48" s="778"/>
      <c r="I48" s="778"/>
      <c r="J48" s="778"/>
      <c r="K48" s="778"/>
      <c r="L48" s="778"/>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522</v>
      </c>
      <c r="D50" s="137" t="str">
        <f>IF($B27&lt;&gt;"",$B27,"")</f>
        <v>Residential</v>
      </c>
      <c r="E50" s="137" t="str">
        <f>IF($B28&lt;&gt;"",$B28,"")</f>
        <v>General Service &lt; 50 kW</v>
      </c>
      <c r="F50" s="137" t="str">
        <f>IF($B29&lt;&gt;"",$B29,"")</f>
        <v>General Service &gt; 50 to 4999 kW</v>
      </c>
      <c r="G50" s="137" t="str">
        <f>IF($B30&lt;&gt;"",$B30,"")</f>
        <v>Unmetered Scattered Load</v>
      </c>
      <c r="H50" s="137" t="str">
        <f>IF($B31&lt;&gt;"",$B31,"")</f>
        <v>Street Lighting</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kWh</v>
      </c>
      <c r="H51" s="578" t="str">
        <f>D31</f>
        <v>kW</v>
      </c>
      <c r="I51" s="578">
        <f>D32</f>
        <v>0</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1183.4504016999999</v>
      </c>
      <c r="E61" s="158">
        <f>'4.  2011-2014 LRAM'!Z521</f>
        <v>837.3269947</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2020.7773963999998</v>
      </c>
      <c r="U61" s="154"/>
      <c r="V61" s="155"/>
    </row>
    <row r="62" spans="2:22" s="165" customFormat="1">
      <c r="B62" s="156" t="s">
        <v>39</v>
      </c>
      <c r="C62" s="157"/>
      <c r="D62" s="158">
        <f>-'4.  2011-2014 LRAM'!Y522</f>
        <v>-3287.1410000000001</v>
      </c>
      <c r="E62" s="158">
        <f>-'4.  2011-2014 LRAM'!Z522</f>
        <v>-1094.2340999999999</v>
      </c>
      <c r="F62" s="158">
        <f>-'4.  2011-2014 LRAM'!AA522</f>
        <v>-759.83040000000005</v>
      </c>
      <c r="G62" s="158">
        <f>-'4.  2011-2014 LRAM'!AB522</f>
        <v>-12.812799999999999</v>
      </c>
      <c r="H62" s="158">
        <f>-'4.  2011-2014 LRAM'!AC522</f>
        <v>-90.767599999999987</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-5244.7858999999999</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2681.9744000000001</v>
      </c>
      <c r="E64" s="166">
        <f>'5.  2015-2020 LRAM'!Z204</f>
        <v>537.06799999999998</v>
      </c>
      <c r="F64" s="166">
        <f>'5.  2015-2020 LRAM'!AA204</f>
        <v>0</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3219.0424000000003</v>
      </c>
      <c r="U64" s="154"/>
      <c r="V64" s="155"/>
    </row>
    <row r="65" spans="2:22" s="165" customFormat="1">
      <c r="B65" s="156" t="s">
        <v>93</v>
      </c>
      <c r="C65" s="157"/>
      <c r="D65" s="166">
        <f>-'5.  2015-2020 LRAM'!Y205</f>
        <v>-3520.0879999999997</v>
      </c>
      <c r="E65" s="166">
        <f>-'5.  2015-2020 LRAM'!Z205</f>
        <v>-917.322</v>
      </c>
      <c r="F65" s="166">
        <f>-'5.  2015-2020 LRAM'!AA205</f>
        <v>-589.10879999999997</v>
      </c>
      <c r="G65" s="166">
        <f>-'5.  2015-2020 LRAM'!AB205</f>
        <v>-6.4063999999999997</v>
      </c>
      <c r="H65" s="166">
        <f>-'5.  2015-2020 LRAM'!AC205</f>
        <v>-107.41919999999999</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-5140.3444</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7037.6412</v>
      </c>
      <c r="E67" s="158">
        <f>'5.  2015-2020 LRAM'!Z388</f>
        <v>6462.1502</v>
      </c>
      <c r="F67" s="158">
        <f>'5.  2015-2020 LRAM'!AA388</f>
        <v>0</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13499.7914</v>
      </c>
      <c r="U67" s="154"/>
      <c r="V67" s="155"/>
    </row>
    <row r="68" spans="2:22" s="165" customFormat="1">
      <c r="B68" s="156" t="s">
        <v>225</v>
      </c>
      <c r="C68" s="157"/>
      <c r="D68" s="158">
        <f>-'5.  2015-2020 LRAM'!Y389</f>
        <v>-3571.8539999999998</v>
      </c>
      <c r="E68" s="158">
        <f>-'5.  2015-2020 LRAM'!Z389</f>
        <v>-930.42660000000001</v>
      </c>
      <c r="F68" s="158">
        <f>-'5.  2015-2020 LRAM'!AA389</f>
        <v>-597.64319999999998</v>
      </c>
      <c r="G68" s="158">
        <f>-'5.  2015-2020 LRAM'!AB389</f>
        <v>-6.5296000000000003</v>
      </c>
      <c r="H68" s="158">
        <f>-'5.  2015-2020 LRAM'!AC389</f>
        <v>-108.97739999999999</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-5215.4308000000001</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5405.1944000000003</v>
      </c>
      <c r="E70" s="158">
        <f>'5.  2015-2020 LRAM'!Z572</f>
        <v>6578.9400000000005</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11984.134400000001</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-58.436722162073742</v>
      </c>
      <c r="E82" s="681">
        <f>'6.  Carrying Charges'!J102</f>
        <v>14.139380309872084</v>
      </c>
      <c r="F82" s="681">
        <f>'6.  Carrying Charges'!K102</f>
        <v>-35.047284510000004</v>
      </c>
      <c r="G82" s="681">
        <f>'6.  Carrying Charges'!L102</f>
        <v>-0.51624290666666661</v>
      </c>
      <c r="H82" s="681">
        <f>'6.  Carrying Charges'!M102</f>
        <v>-4.9732848899999995</v>
      </c>
      <c r="I82" s="681">
        <f>'6.  Carrying Charges'!N102</f>
        <v>0</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-84.83415415886833</v>
      </c>
      <c r="U82" s="154"/>
      <c r="V82" s="155"/>
    </row>
    <row r="83" spans="2:22" s="165" customFormat="1" ht="21.75" customHeight="1">
      <c r="B83" s="625" t="s">
        <v>241</v>
      </c>
      <c r="C83" s="626"/>
      <c r="D83" s="625">
        <f>SUM(D52:D69)+D82</f>
        <v>465.54627953792664</v>
      </c>
      <c r="E83" s="625">
        <f t="shared" ref="E83:Q83" si="2">SUM(E52:E69)+E82</f>
        <v>4908.7018750098723</v>
      </c>
      <c r="F83" s="625">
        <f t="shared" si="2"/>
        <v>-1981.6296845100001</v>
      </c>
      <c r="G83" s="625">
        <f t="shared" si="2"/>
        <v>-26.265042906666668</v>
      </c>
      <c r="H83" s="625">
        <f t="shared" si="2"/>
        <v>-312.13748488999994</v>
      </c>
      <c r="I83" s="625">
        <f t="shared" si="2"/>
        <v>0</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3054.2159422411319</v>
      </c>
      <c r="U83" s="154"/>
      <c r="V83" s="155"/>
    </row>
    <row r="84" spans="2:22" ht="20.25" customHeight="1">
      <c r="B84" s="455" t="s">
        <v>541</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542</v>
      </c>
      <c r="F87" s="591"/>
    </row>
    <row r="88" spans="2:22" s="551" customFormat="1" ht="27.75" hidden="1" customHeight="1">
      <c r="B88" s="572" t="s">
        <v>562</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0</v>
      </c>
      <c r="G91" s="559">
        <f>SUM('5.  2015-2020 LRAM'!Y199:AL199)</f>
        <v>0</v>
      </c>
      <c r="H91" s="558">
        <f>SUM('5.  2015-2020 LRAM'!Y382:AL382)</f>
        <v>0</v>
      </c>
      <c r="I91" s="559">
        <f>SUM('5.  2015-2020 LRAM'!Y565:AL565)</f>
        <v>0</v>
      </c>
      <c r="J91" s="558">
        <f>SUM('5.  2015-2020 LRAM'!Y748:AL748)</f>
        <v>0</v>
      </c>
      <c r="K91" s="558">
        <f>SUM('5.  2015-2020 LRAM'!Y931:AL931)</f>
        <v>0</v>
      </c>
      <c r="L91" s="558">
        <f>SUM('5.  2015-2020 LRAM'!Y1114:AL1114)</f>
        <v>0</v>
      </c>
      <c r="M91" s="558">
        <f>SUM(C91:L91)</f>
        <v>0</v>
      </c>
      <c r="T91" s="199"/>
      <c r="U91" s="199"/>
    </row>
    <row r="92" spans="2:22" s="92" customFormat="1" ht="23.25" hidden="1" customHeight="1">
      <c r="B92" s="200">
        <v>2012</v>
      </c>
      <c r="C92" s="560"/>
      <c r="D92" s="559">
        <f>SUM('4.  2011-2014 LRAM'!Y260:AL260)</f>
        <v>0</v>
      </c>
      <c r="E92" s="558">
        <f>SUM('4.  2011-2014 LRAM'!Y389:AL389)</f>
        <v>0</v>
      </c>
      <c r="F92" s="559">
        <f>SUM('4.  2011-2014 LRAM'!Y518:AL518)</f>
        <v>0</v>
      </c>
      <c r="G92" s="559">
        <f>SUM('5.  2015-2020 LRAM'!Y200:AL200)</f>
        <v>0</v>
      </c>
      <c r="H92" s="558">
        <f>SUM('5.  2015-2020 LRAM'!Y383:AL383)</f>
        <v>0</v>
      </c>
      <c r="I92" s="559">
        <f>SUM('5.  2015-2020 LRAM'!Y566:AL566)</f>
        <v>0</v>
      </c>
      <c r="J92" s="558">
        <f>SUM('5.  2015-2020 LRAM'!Y749:AL749)</f>
        <v>0</v>
      </c>
      <c r="K92" s="558">
        <f>SUM('5.  2015-2020 LRAM'!Y932:AL932)</f>
        <v>0</v>
      </c>
      <c r="L92" s="558">
        <f>SUM('5.  2015-2020 LRAM'!Y1115:AL1115)</f>
        <v>0</v>
      </c>
      <c r="M92" s="558">
        <f>SUM(D92:L92)</f>
        <v>0</v>
      </c>
      <c r="T92" s="199"/>
      <c r="U92" s="199"/>
    </row>
    <row r="93" spans="2:22" s="92" customFormat="1" ht="23.25" hidden="1" customHeight="1">
      <c r="B93" s="200">
        <v>2013</v>
      </c>
      <c r="C93" s="561"/>
      <c r="D93" s="561"/>
      <c r="E93" s="559">
        <f>SUM('4.  2011-2014 LRAM'!Y390:AL390)</f>
        <v>0</v>
      </c>
      <c r="F93" s="559">
        <f>SUM('4.  2011-2014 LRAM'!Y519:AL519)</f>
        <v>0</v>
      </c>
      <c r="G93" s="559">
        <f>SUM('5.  2015-2020 LRAM'!Y201:AL201)</f>
        <v>0</v>
      </c>
      <c r="H93" s="558">
        <f>SUM('5.  2015-2020 LRAM'!Y384:AL384)</f>
        <v>0</v>
      </c>
      <c r="I93" s="559">
        <f>SUM('5.  2015-2020 LRAM'!Y567:AL567)</f>
        <v>0</v>
      </c>
      <c r="J93" s="558">
        <f>SUM('5.  2015-2020 LRAM'!Y750:AL750)</f>
        <v>0</v>
      </c>
      <c r="K93" s="558">
        <f>SUM('5.  2015-2020 LRAM'!Y933:AL933)</f>
        <v>0</v>
      </c>
      <c r="L93" s="558">
        <f>SUM('5.  2015-2020 LRAM'!Y1116:AL1116)</f>
        <v>0</v>
      </c>
      <c r="M93" s="558">
        <f>SUM(C93:L93)</f>
        <v>0</v>
      </c>
      <c r="T93" s="199"/>
      <c r="U93" s="199"/>
    </row>
    <row r="94" spans="2:22" s="92" customFormat="1" ht="23.25" hidden="1" customHeight="1">
      <c r="B94" s="200">
        <v>2014</v>
      </c>
      <c r="C94" s="561"/>
      <c r="D94" s="561"/>
      <c r="E94" s="561"/>
      <c r="F94" s="559">
        <f>SUM('4.  2011-2014 LRAM'!Y520:AL520)</f>
        <v>2020.7773963999998</v>
      </c>
      <c r="G94" s="559">
        <f>SUM('5.  2015-2020 LRAM'!Y202:AL202)</f>
        <v>0</v>
      </c>
      <c r="H94" s="558">
        <f>SUM('5.  2015-2020 LRAM'!Y385:AL385)</f>
        <v>0</v>
      </c>
      <c r="I94" s="559">
        <f>SUM('5.  2015-2020 LRAM'!Y568:AL568)</f>
        <v>0</v>
      </c>
      <c r="J94" s="558">
        <f>SUM('5.  2015-2020 LRAM'!Y751:AL751)</f>
        <v>0</v>
      </c>
      <c r="K94" s="558">
        <f>SUM('5.  2015-2020 LRAM'!Y934:AL934)</f>
        <v>0</v>
      </c>
      <c r="L94" s="558">
        <f>SUM('5.  2015-2020 LRAM'!Y1117:AL1117)</f>
        <v>0</v>
      </c>
      <c r="M94" s="558">
        <f>SUM(F94:L94)</f>
        <v>2020.7773963999998</v>
      </c>
      <c r="T94" s="199"/>
      <c r="U94" s="199"/>
    </row>
    <row r="95" spans="2:22" s="92" customFormat="1" ht="23.25" hidden="1" customHeight="1">
      <c r="B95" s="200">
        <v>2015</v>
      </c>
      <c r="C95" s="561"/>
      <c r="D95" s="561"/>
      <c r="E95" s="561"/>
      <c r="F95" s="561"/>
      <c r="G95" s="559">
        <f>SUM('5.  2015-2020 LRAM'!Y203:AL203)</f>
        <v>3219.0424000000003</v>
      </c>
      <c r="H95" s="558">
        <f>SUM('5.  2015-2020 LRAM'!Y386:AL386)</f>
        <v>3227.8191999999999</v>
      </c>
      <c r="I95" s="559">
        <f>SUM('5.  2015-2020 LRAM'!Y569:AL569)</f>
        <v>2617.1646000000001</v>
      </c>
      <c r="J95" s="558">
        <f>SUM('5.  2015-2020 LRAM'!Y752:AL752)</f>
        <v>0</v>
      </c>
      <c r="K95" s="558">
        <f>SUM('5.  2015-2020 LRAM'!Y935:AL935)</f>
        <v>0</v>
      </c>
      <c r="L95" s="558">
        <f>SUM('5.  2015-2020 LRAM'!Y1118:AL1118)</f>
        <v>0</v>
      </c>
      <c r="M95" s="558">
        <f>SUM(G95:L95)</f>
        <v>9064.0262000000002</v>
      </c>
      <c r="T95" s="199"/>
      <c r="U95" s="199"/>
    </row>
    <row r="96" spans="2:22" s="92" customFormat="1" ht="23.25" hidden="1" customHeight="1">
      <c r="B96" s="200">
        <v>2016</v>
      </c>
      <c r="C96" s="561"/>
      <c r="D96" s="561"/>
      <c r="E96" s="561"/>
      <c r="F96" s="561"/>
      <c r="G96" s="561"/>
      <c r="H96" s="558">
        <f>SUM('5.  2015-2020 LRAM'!Y387:AL387)</f>
        <v>10271.9722</v>
      </c>
      <c r="I96" s="559">
        <f>SUM('5.  2015-2020 LRAM'!Y570:AL570)</f>
        <v>9366.9698000000008</v>
      </c>
      <c r="J96" s="558">
        <f>SUM('5.  2015-2020 LRAM'!Y753:AL753)</f>
        <v>0</v>
      </c>
      <c r="K96" s="558">
        <f>SUM('5.  2015-2020 LRAM'!Y936:AL936)</f>
        <v>0</v>
      </c>
      <c r="L96" s="558">
        <f>SUM('5.  2015-2020 LRAM'!Y1119:AL1119)</f>
        <v>0</v>
      </c>
      <c r="M96" s="558">
        <f>SUM(H96:L96)</f>
        <v>19638.942000000003</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524</v>
      </c>
      <c r="C101" s="557">
        <f>C91</f>
        <v>0</v>
      </c>
      <c r="D101" s="558">
        <f>D91+D92</f>
        <v>0</v>
      </c>
      <c r="E101" s="558">
        <f>E91+E92+E93</f>
        <v>0</v>
      </c>
      <c r="F101" s="558">
        <f>F91+F92+F93+F94</f>
        <v>2020.7773963999998</v>
      </c>
      <c r="G101" s="558">
        <f>G91+G92+G93+G94+G95</f>
        <v>3219.0424000000003</v>
      </c>
      <c r="H101" s="558">
        <f>H91+H92+H93+H94+H95+H96</f>
        <v>13499.7914</v>
      </c>
      <c r="I101" s="558">
        <f>I91+I92+I93+I94+I95+I96+I97</f>
        <v>11984.134400000001</v>
      </c>
      <c r="J101" s="558">
        <f>J91+J92+J93+J94+J95+J96+J97+J98</f>
        <v>0</v>
      </c>
      <c r="K101" s="558">
        <f>K91+K92+K93+K94+K95+K96+K97+K98+K99</f>
        <v>0</v>
      </c>
      <c r="L101" s="558">
        <f>SUM(L91:L100)</f>
        <v>0</v>
      </c>
      <c r="M101" s="558">
        <f>SUM(M91:M100)</f>
        <v>30723.745596400004</v>
      </c>
      <c r="T101" s="201"/>
      <c r="U101" s="201"/>
    </row>
    <row r="102" spans="2:21" s="27" customFormat="1" ht="24.75" hidden="1" customHeight="1">
      <c r="B102" s="574" t="s">
        <v>523</v>
      </c>
      <c r="C102" s="556">
        <f>'4.  2011-2014 LRAM'!AM132</f>
        <v>0</v>
      </c>
      <c r="D102" s="556">
        <f>'4.  2011-2014 LRAM'!AM262</f>
        <v>0</v>
      </c>
      <c r="E102" s="556">
        <f>'4.  2011-2014 LRAM'!AM392</f>
        <v>0</v>
      </c>
      <c r="F102" s="556">
        <f>'4.  2011-2014 LRAM'!AM522</f>
        <v>5244.7858999999999</v>
      </c>
      <c r="G102" s="556">
        <f>'5.  2015-2020 LRAM'!AM205</f>
        <v>5140.3444</v>
      </c>
      <c r="H102" s="556">
        <f>'5.  2015-2020 LRAM'!AM389</f>
        <v>5215.4308000000001</v>
      </c>
      <c r="I102" s="556">
        <f>'5.  2015-2020 LRAM'!AM573</f>
        <v>0</v>
      </c>
      <c r="J102" s="556">
        <f>'5.  2015-2020 LRAM'!AM757</f>
        <v>0</v>
      </c>
      <c r="K102" s="556">
        <f>'5.  2015-2020 LRAM'!AM941</f>
        <v>0</v>
      </c>
      <c r="L102" s="556">
        <f>'5.  2015-2020 LRAM'!AM1125</f>
        <v>0</v>
      </c>
      <c r="M102" s="558">
        <f>SUM(C102:L102)</f>
        <v>15600.561100000001</v>
      </c>
      <c r="T102" s="91"/>
      <c r="U102" s="91"/>
    </row>
    <row r="103" spans="2:21" ht="24.75" hidden="1" customHeight="1">
      <c r="B103" s="574" t="s">
        <v>43</v>
      </c>
      <c r="C103" s="556">
        <f>'6.  Carrying Charges'!W27</f>
        <v>0</v>
      </c>
      <c r="D103" s="556">
        <f>'6.  Carrying Charges'!W42</f>
        <v>0</v>
      </c>
      <c r="E103" s="556">
        <f>'6.  Carrying Charges'!W57</f>
        <v>0</v>
      </c>
      <c r="F103" s="556">
        <f>'6.  Carrying Charges'!W72</f>
        <v>-21.721757293005002</v>
      </c>
      <c r="G103" s="556">
        <f>'6.  Carrying Charges'!W87</f>
        <v>-70.002723310934996</v>
      </c>
      <c r="H103" s="556">
        <f>'6.  Carrying Charges'!W102</f>
        <v>-84.83415415886833</v>
      </c>
      <c r="I103" s="556">
        <f>'6.  Carrying Charges'!W117</f>
        <v>10.115407834865014</v>
      </c>
      <c r="J103" s="556">
        <f>'6.  Carrying Charges'!W132</f>
        <v>176.47043729526504</v>
      </c>
      <c r="K103" s="556">
        <f>'6.  Carrying Charges'!W147</f>
        <v>176.47043729526504</v>
      </c>
      <c r="L103" s="556">
        <f>'6.  Carrying Charges'!W162</f>
        <v>176.47043729526504</v>
      </c>
      <c r="M103" s="558">
        <f>SUM(C103:L103)</f>
        <v>362.96808495785183</v>
      </c>
    </row>
    <row r="104" spans="2:21" ht="23.25" hidden="1" customHeight="1">
      <c r="B104" s="573" t="s">
        <v>26</v>
      </c>
      <c r="C104" s="556">
        <f>C101-C102+C103</f>
        <v>0</v>
      </c>
      <c r="D104" s="556">
        <f t="shared" ref="D104:J104" si="3">D101-D102+D103</f>
        <v>0</v>
      </c>
      <c r="E104" s="556">
        <f t="shared" si="3"/>
        <v>0</v>
      </c>
      <c r="F104" s="556">
        <f t="shared" si="3"/>
        <v>-3245.7302608930049</v>
      </c>
      <c r="G104" s="556">
        <f t="shared" si="3"/>
        <v>-1991.3047233109346</v>
      </c>
      <c r="H104" s="556">
        <f t="shared" si="3"/>
        <v>8199.5264458411311</v>
      </c>
      <c r="I104" s="556">
        <f t="shared" si="3"/>
        <v>11994.249807834865</v>
      </c>
      <c r="J104" s="556">
        <f t="shared" si="3"/>
        <v>176.47043729526504</v>
      </c>
      <c r="K104" s="556">
        <f>K101-K102+K103</f>
        <v>176.47043729526504</v>
      </c>
      <c r="L104" s="556">
        <f>L101-L102+L103</f>
        <v>176.47043729526504</v>
      </c>
      <c r="M104" s="556">
        <f>M101-M102+M103</f>
        <v>15486.152581357856</v>
      </c>
    </row>
    <row r="105" spans="2:21" hidden="1"/>
    <row r="106" spans="2:21">
      <c r="B106" s="591" t="s">
        <v>531</v>
      </c>
    </row>
  </sheetData>
  <mergeCells count="11">
    <mergeCell ref="B36:C36"/>
    <mergeCell ref="B24:G24"/>
    <mergeCell ref="B26:C26"/>
    <mergeCell ref="B37:C37"/>
    <mergeCell ref="B38:C38"/>
    <mergeCell ref="B46:L46"/>
    <mergeCell ref="B47:L47"/>
    <mergeCell ref="B48:L48"/>
    <mergeCell ref="B39:C39"/>
    <mergeCell ref="B40:C40"/>
    <mergeCell ref="B41:C41"/>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5" zoomScaleNormal="85" workbookViewId="0">
      <selection activeCell="D36" sqref="D36"/>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409</v>
      </c>
    </row>
    <row r="16" spans="2:3" ht="27" customHeight="1" thickBot="1">
      <c r="C16" s="571" t="s">
        <v>556</v>
      </c>
    </row>
    <row r="19" spans="2:8" ht="15.75">
      <c r="B19" s="539" t="s">
        <v>625</v>
      </c>
    </row>
    <row r="20" spans="2:8" ht="13.5" customHeight="1"/>
    <row r="21" spans="2:8" ht="57.75" customHeight="1">
      <c r="B21" s="778" t="s">
        <v>642</v>
      </c>
      <c r="C21" s="778"/>
      <c r="D21" s="778"/>
      <c r="E21" s="778"/>
      <c r="F21" s="778"/>
      <c r="G21" s="778"/>
      <c r="H21" s="778"/>
    </row>
    <row r="23" spans="2:8" s="611" customFormat="1" ht="15.75">
      <c r="B23" s="621" t="s">
        <v>551</v>
      </c>
      <c r="C23" s="621" t="s">
        <v>566</v>
      </c>
      <c r="D23" s="621" t="s">
        <v>550</v>
      </c>
      <c r="E23" s="789" t="s">
        <v>34</v>
      </c>
      <c r="F23" s="790"/>
      <c r="G23" s="789" t="s">
        <v>549</v>
      </c>
      <c r="H23" s="790"/>
    </row>
    <row r="24" spans="2:8">
      <c r="B24" s="610">
        <v>1</v>
      </c>
      <c r="C24" s="646"/>
      <c r="D24" s="609"/>
      <c r="E24" s="785"/>
      <c r="F24" s="786"/>
      <c r="G24" s="787"/>
      <c r="H24" s="788"/>
    </row>
    <row r="25" spans="2:8">
      <c r="B25" s="610">
        <v>2</v>
      </c>
      <c r="C25" s="646"/>
      <c r="D25" s="609"/>
      <c r="E25" s="785"/>
      <c r="F25" s="786"/>
      <c r="G25" s="787"/>
      <c r="H25" s="788"/>
    </row>
    <row r="26" spans="2:8">
      <c r="B26" s="610">
        <v>3</v>
      </c>
      <c r="C26" s="646"/>
      <c r="D26" s="609"/>
      <c r="E26" s="785"/>
      <c r="F26" s="786"/>
      <c r="G26" s="787"/>
      <c r="H26" s="788"/>
    </row>
    <row r="27" spans="2:8">
      <c r="B27" s="610">
        <v>4</v>
      </c>
      <c r="C27" s="646"/>
      <c r="D27" s="609"/>
      <c r="E27" s="785"/>
      <c r="F27" s="786"/>
      <c r="G27" s="787"/>
      <c r="H27" s="788"/>
    </row>
    <row r="28" spans="2:8">
      <c r="B28" s="610">
        <v>5</v>
      </c>
      <c r="C28" s="646"/>
      <c r="D28" s="609"/>
      <c r="E28" s="785"/>
      <c r="F28" s="786"/>
      <c r="G28" s="787"/>
      <c r="H28" s="788"/>
    </row>
    <row r="29" spans="2:8">
      <c r="B29" s="610">
        <v>6</v>
      </c>
      <c r="C29" s="646"/>
      <c r="D29" s="609"/>
      <c r="E29" s="785"/>
      <c r="F29" s="786"/>
      <c r="G29" s="787"/>
      <c r="H29" s="788"/>
    </row>
    <row r="30" spans="2:8">
      <c r="B30" s="610">
        <v>7</v>
      </c>
      <c r="C30" s="646"/>
      <c r="D30" s="609"/>
      <c r="E30" s="785"/>
      <c r="F30" s="786"/>
      <c r="G30" s="787"/>
      <c r="H30" s="788"/>
    </row>
    <row r="31" spans="2:8">
      <c r="B31" s="610">
        <v>8</v>
      </c>
      <c r="C31" s="646"/>
      <c r="D31" s="609"/>
      <c r="E31" s="785"/>
      <c r="F31" s="786"/>
      <c r="G31" s="787"/>
      <c r="H31" s="788"/>
    </row>
    <row r="32" spans="2:8">
      <c r="B32" s="610">
        <v>9</v>
      </c>
      <c r="C32" s="646"/>
      <c r="D32" s="609"/>
      <c r="E32" s="785"/>
      <c r="F32" s="786"/>
      <c r="G32" s="787"/>
      <c r="H32" s="788"/>
    </row>
    <row r="33" spans="2:8">
      <c r="B33" s="610">
        <v>10</v>
      </c>
      <c r="C33" s="646"/>
      <c r="D33" s="609"/>
      <c r="E33" s="785"/>
      <c r="F33" s="786"/>
      <c r="G33" s="787"/>
      <c r="H33" s="788"/>
    </row>
    <row r="34" spans="2:8">
      <c r="B34" s="610" t="s">
        <v>483</v>
      </c>
      <c r="C34" s="646"/>
      <c r="D34" s="609"/>
      <c r="E34" s="785"/>
      <c r="F34" s="786"/>
      <c r="G34" s="787"/>
      <c r="H34" s="788"/>
    </row>
    <row r="36" spans="2:8" ht="30.75" customHeight="1">
      <c r="B36" s="539" t="s">
        <v>620</v>
      </c>
    </row>
    <row r="37" spans="2:8" ht="23.25" customHeight="1">
      <c r="B37" s="570" t="s">
        <v>626</v>
      </c>
      <c r="C37" s="607"/>
      <c r="D37" s="607"/>
      <c r="E37" s="607"/>
      <c r="F37" s="607"/>
      <c r="G37" s="607"/>
      <c r="H37" s="607"/>
    </row>
    <row r="39" spans="2:8" s="92" customFormat="1" ht="15.75">
      <c r="B39" s="621" t="s">
        <v>551</v>
      </c>
      <c r="C39" s="621" t="s">
        <v>566</v>
      </c>
      <c r="D39" s="621" t="s">
        <v>550</v>
      </c>
      <c r="E39" s="789" t="s">
        <v>34</v>
      </c>
      <c r="F39" s="790"/>
      <c r="G39" s="789" t="s">
        <v>549</v>
      </c>
      <c r="H39" s="790"/>
    </row>
    <row r="40" spans="2:8">
      <c r="B40" s="610">
        <v>1</v>
      </c>
      <c r="C40" s="646"/>
      <c r="D40" s="609"/>
      <c r="E40" s="785"/>
      <c r="F40" s="786"/>
      <c r="G40" s="787"/>
      <c r="H40" s="788"/>
    </row>
    <row r="41" spans="2:8">
      <c r="B41" s="610">
        <v>2</v>
      </c>
      <c r="C41" s="646"/>
      <c r="D41" s="609"/>
      <c r="E41" s="785"/>
      <c r="F41" s="786"/>
      <c r="G41" s="787"/>
      <c r="H41" s="788"/>
    </row>
    <row r="42" spans="2:8">
      <c r="B42" s="610">
        <v>3</v>
      </c>
      <c r="C42" s="646"/>
      <c r="D42" s="609"/>
      <c r="E42" s="785"/>
      <c r="F42" s="786"/>
      <c r="G42" s="787"/>
      <c r="H42" s="788"/>
    </row>
    <row r="43" spans="2:8">
      <c r="B43" s="610">
        <v>4</v>
      </c>
      <c r="C43" s="646"/>
      <c r="D43" s="609"/>
      <c r="E43" s="785"/>
      <c r="F43" s="786"/>
      <c r="G43" s="787"/>
      <c r="H43" s="788"/>
    </row>
    <row r="44" spans="2:8">
      <c r="B44" s="610">
        <v>5</v>
      </c>
      <c r="C44" s="646"/>
      <c r="D44" s="609"/>
      <c r="E44" s="785"/>
      <c r="F44" s="786"/>
      <c r="G44" s="787"/>
      <c r="H44" s="788"/>
    </row>
    <row r="45" spans="2:8">
      <c r="B45" s="610">
        <v>6</v>
      </c>
      <c r="C45" s="646"/>
      <c r="D45" s="609"/>
      <c r="E45" s="785"/>
      <c r="F45" s="786"/>
      <c r="G45" s="787"/>
      <c r="H45" s="788"/>
    </row>
    <row r="46" spans="2:8">
      <c r="B46" s="610">
        <v>7</v>
      </c>
      <c r="C46" s="646"/>
      <c r="D46" s="609"/>
      <c r="E46" s="785"/>
      <c r="F46" s="786"/>
      <c r="G46" s="787"/>
      <c r="H46" s="788"/>
    </row>
    <row r="47" spans="2:8">
      <c r="B47" s="610">
        <v>8</v>
      </c>
      <c r="C47" s="646"/>
      <c r="D47" s="609"/>
      <c r="E47" s="785"/>
      <c r="F47" s="786"/>
      <c r="G47" s="787"/>
      <c r="H47" s="788"/>
    </row>
    <row r="48" spans="2:8">
      <c r="B48" s="610">
        <v>9</v>
      </c>
      <c r="C48" s="646"/>
      <c r="D48" s="609"/>
      <c r="E48" s="785"/>
      <c r="F48" s="786"/>
      <c r="G48" s="787"/>
      <c r="H48" s="788"/>
    </row>
    <row r="49" spans="2:8">
      <c r="B49" s="610">
        <v>10</v>
      </c>
      <c r="C49" s="646"/>
      <c r="D49" s="609"/>
      <c r="E49" s="785"/>
      <c r="F49" s="786"/>
      <c r="G49" s="787"/>
      <c r="H49" s="788"/>
    </row>
    <row r="50" spans="2:8">
      <c r="B50" s="610" t="s">
        <v>483</v>
      </c>
      <c r="C50" s="646"/>
      <c r="D50" s="609"/>
      <c r="E50" s="785"/>
      <c r="F50" s="786"/>
      <c r="G50" s="787"/>
      <c r="H50" s="78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9" zoomScale="90" zoomScaleNormal="90" workbookViewId="0">
      <selection activeCell="D47" sqref="D47"/>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556</v>
      </c>
      <c r="P7" s="107"/>
      <c r="Q7" s="107"/>
    </row>
    <row r="8" spans="2:17" s="106" customFormat="1" ht="30" customHeight="1">
      <c r="D8" s="576"/>
      <c r="P8" s="107"/>
      <c r="Q8" s="107"/>
    </row>
    <row r="9" spans="2:17" s="2" customFormat="1" ht="24.75" customHeight="1">
      <c r="B9" s="120" t="s">
        <v>414</v>
      </c>
      <c r="C9" s="17"/>
      <c r="D9" s="457">
        <v>2014</v>
      </c>
    </row>
    <row r="10" spans="2:17" s="17" customFormat="1" ht="16.5" customHeight="1"/>
    <row r="11" spans="2:17" s="17" customFormat="1" ht="36.75" customHeight="1">
      <c r="B11" s="791" t="s">
        <v>568</v>
      </c>
      <c r="C11" s="791"/>
      <c r="D11" s="791"/>
      <c r="E11" s="791"/>
      <c r="F11" s="791"/>
      <c r="G11" s="791"/>
      <c r="H11" s="791"/>
      <c r="I11" s="791"/>
      <c r="J11" s="791"/>
      <c r="K11" s="791"/>
      <c r="L11" s="791"/>
      <c r="M11" s="791"/>
      <c r="N11" s="616"/>
      <c r="O11" s="616"/>
      <c r="P11" s="616"/>
      <c r="Q11" s="616"/>
    </row>
    <row r="12" spans="2:17" s="2" customFormat="1" ht="15.75" customHeight="1">
      <c r="D12" s="752"/>
      <c r="E12" s="752"/>
      <c r="F12" s="752"/>
      <c r="G12" s="752"/>
      <c r="H12" s="752"/>
    </row>
    <row r="13" spans="2:17" s="17" customFormat="1" ht="48" customHeight="1">
      <c r="C13" s="245" t="str">
        <f>'1.  LRAMVA Summary'!R50</f>
        <v>Total</v>
      </c>
      <c r="D13" s="245" t="str">
        <f>'1.  LRAMVA Summary'!D50</f>
        <v>Residential</v>
      </c>
      <c r="E13" s="245" t="str">
        <f>'1.  LRAMVA Summary'!E50</f>
        <v>General Service &lt; 50 kW</v>
      </c>
      <c r="F13" s="245" t="str">
        <f>'1.  LRAMVA Summary'!F50</f>
        <v>General Service &gt; 50 to 4999 kW</v>
      </c>
      <c r="G13" s="245" t="str">
        <f>'1.  LRAMVA Summary'!G50</f>
        <v>Unmetered Scattered Load</v>
      </c>
      <c r="H13" s="245" t="str">
        <f>'1.  LRAMVA Summary'!H50</f>
        <v>Street Lighting</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kWh</v>
      </c>
      <c r="H14" s="581" t="str">
        <f>'1.  LRAMVA Summary'!H51</f>
        <v>kW</v>
      </c>
      <c r="I14" s="581">
        <f>'1.  LRAMVA Summary'!I51</f>
        <v>0</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388472</v>
      </c>
      <c r="D15" s="750">
        <v>258830</v>
      </c>
      <c r="E15" s="750">
        <v>65523</v>
      </c>
      <c r="F15" s="750">
        <v>57775</v>
      </c>
      <c r="G15" s="750">
        <v>1232</v>
      </c>
      <c r="H15" s="750">
        <v>5112</v>
      </c>
      <c r="I15" s="453"/>
      <c r="J15" s="453"/>
      <c r="K15" s="453"/>
      <c r="L15" s="453"/>
      <c r="M15" s="453"/>
      <c r="N15" s="453"/>
      <c r="O15" s="453"/>
      <c r="P15" s="454"/>
      <c r="Q15" s="454"/>
    </row>
    <row r="16" spans="2:17" s="458" customFormat="1" ht="15.75" customHeight="1">
      <c r="B16" s="463" t="s">
        <v>28</v>
      </c>
      <c r="C16" s="628">
        <f>SUM(D16:Q16)</f>
        <v>182</v>
      </c>
      <c r="D16" s="751"/>
      <c r="E16" s="751"/>
      <c r="F16" s="751">
        <v>168</v>
      </c>
      <c r="G16" s="751"/>
      <c r="H16" s="751">
        <v>14</v>
      </c>
      <c r="I16" s="452"/>
      <c r="J16" s="452"/>
      <c r="K16" s="454"/>
      <c r="L16" s="454"/>
      <c r="M16" s="454"/>
      <c r="N16" s="454"/>
      <c r="O16" s="454"/>
      <c r="P16" s="454"/>
      <c r="Q16" s="454"/>
    </row>
    <row r="17" spans="2:17" s="17" customFormat="1" ht="15.75" customHeight="1">
      <c r="C17" s="25"/>
      <c r="D17" s="25"/>
      <c r="E17" s="25"/>
      <c r="F17" s="752"/>
      <c r="G17" s="752"/>
      <c r="H17" s="752"/>
    </row>
    <row r="18" spans="2:17" s="25" customFormat="1" ht="15.75" customHeight="1">
      <c r="B18" s="193" t="s">
        <v>454</v>
      </c>
      <c r="C18" s="194"/>
      <c r="D18" s="194">
        <f t="shared" ref="D18:E18" si="0">IF(D14="kw",HLOOKUP(D14,D14:D16,3,FALSE),HLOOKUP(D14,D14:D16,2,FALSE))</f>
        <v>258830</v>
      </c>
      <c r="E18" s="194">
        <f t="shared" si="0"/>
        <v>65523</v>
      </c>
      <c r="F18" s="194">
        <f>IF(F14="kw",HLOOKUP(F14,F14:F16,3,FALSE),HLOOKUP(F14,F14:F16,2,FALSE))</f>
        <v>168</v>
      </c>
      <c r="G18" s="194">
        <f t="shared" ref="G18:Q18" si="1">IF(G14="kw",HLOOKUP(G14,G14:G16,3,FALSE),HLOOKUP(G14,G14:G16,2,FALSE))</f>
        <v>1232</v>
      </c>
      <c r="H18" s="194">
        <f t="shared" si="1"/>
        <v>14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791" t="s">
        <v>567</v>
      </c>
      <c r="C26" s="791"/>
      <c r="D26" s="791"/>
      <c r="E26" s="791"/>
      <c r="F26" s="791"/>
      <c r="G26" s="791"/>
      <c r="H26" s="791"/>
      <c r="I26" s="791"/>
      <c r="J26" s="791"/>
      <c r="K26" s="791"/>
      <c r="L26" s="791"/>
      <c r="M26" s="791"/>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 50 kW</v>
      </c>
      <c r="F28" s="245" t="str">
        <f>'1.  LRAMVA Summary'!F50</f>
        <v>General Service &gt; 50 to 4999 kW</v>
      </c>
      <c r="G28" s="245" t="str">
        <f>'1.  LRAMVA Summary'!G50</f>
        <v>Unmetered Scattered Load</v>
      </c>
      <c r="H28" s="245" t="str">
        <f>'1.  LRAMVA Summary'!H50</f>
        <v>Street Lighting</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kWh</v>
      </c>
      <c r="H29" s="581" t="str">
        <f>'1.  LRAMVA Summary'!H51</f>
        <v>kW</v>
      </c>
      <c r="I29" s="581">
        <f>'1.  LRAMVA Summary'!I51</f>
        <v>0</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791" t="s">
        <v>618</v>
      </c>
      <c r="C40" s="791"/>
      <c r="D40" s="791"/>
      <c r="E40" s="791"/>
      <c r="F40" s="791"/>
      <c r="G40" s="791"/>
      <c r="H40" s="791"/>
      <c r="I40" s="791"/>
      <c r="J40" s="791"/>
      <c r="K40" s="791"/>
      <c r="L40" s="791"/>
      <c r="M40" s="791"/>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615</v>
      </c>
      <c r="D42" s="245" t="str">
        <f>'1.  LRAMVA Summary'!D50</f>
        <v>Residential</v>
      </c>
      <c r="E42" s="245" t="str">
        <f>'1.  LRAMVA Summary'!E50</f>
        <v>General Service &lt; 50 kW</v>
      </c>
      <c r="F42" s="245" t="str">
        <f>'1.  LRAMVA Summary'!F50</f>
        <v>General Service &gt; 50 to 4999 kW</v>
      </c>
      <c r="G42" s="245" t="str">
        <f>'1.  LRAMVA Summary'!G50</f>
        <v>Unmetered Scattered Load</v>
      </c>
      <c r="H42" s="245" t="str">
        <f>'1.  LRAMVA Summary'!H50</f>
        <v>Street Lighting</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kWh</v>
      </c>
      <c r="H43" s="585" t="str">
        <f>'1.  LRAMVA Summary'!H51</f>
        <v>kW</v>
      </c>
      <c r="I43" s="585">
        <f>'1.  LRAMVA Summary'!I51</f>
        <v>0</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2014</v>
      </c>
      <c r="D47" s="192">
        <f t="shared" ref="D47:Q47" si="6">IF(ISBLANK($C$47),0,IF($C$47=$D$9,HLOOKUP(D43,D14:D18,5,FALSE),HLOOKUP(D43,D29:D33,5,FALSE)))</f>
        <v>258830</v>
      </c>
      <c r="E47" s="192">
        <f t="shared" si="6"/>
        <v>65523</v>
      </c>
      <c r="F47" s="192">
        <f t="shared" si="6"/>
        <v>168</v>
      </c>
      <c r="G47" s="192">
        <f t="shared" si="6"/>
        <v>1232</v>
      </c>
      <c r="H47" s="192">
        <f t="shared" si="6"/>
        <v>14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2014</v>
      </c>
      <c r="D48" s="192">
        <f t="shared" ref="D48:Q48" si="7">IF(ISBLANK($C$48),0,IF($C$48=$D$9,HLOOKUP(D43,D14:D18,5,FALSE),HLOOKUP(D43,D29:D33,5,FALSE)))</f>
        <v>258830</v>
      </c>
      <c r="E48" s="192">
        <f t="shared" si="7"/>
        <v>65523</v>
      </c>
      <c r="F48" s="192">
        <f t="shared" si="7"/>
        <v>168</v>
      </c>
      <c r="G48" s="192">
        <f t="shared" si="7"/>
        <v>1232</v>
      </c>
      <c r="H48" s="192">
        <f t="shared" si="7"/>
        <v>14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2014</v>
      </c>
      <c r="D49" s="192">
        <f t="shared" ref="D49:Q49" si="8">IF(ISBLANK($C$49),0,IF($C$49=$D$9,HLOOKUP(D43,D14:D18,5,FALSE),HLOOKUP(D43,D29:D33,5,FALSE)))</f>
        <v>258830</v>
      </c>
      <c r="E49" s="192">
        <f t="shared" si="8"/>
        <v>65523</v>
      </c>
      <c r="F49" s="192">
        <f t="shared" si="8"/>
        <v>168</v>
      </c>
      <c r="G49" s="192">
        <f t="shared" si="8"/>
        <v>1232</v>
      </c>
      <c r="H49" s="192">
        <f t="shared" si="8"/>
        <v>14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541</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G46" sqref="G46"/>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7" t="s">
        <v>172</v>
      </c>
      <c r="C4" s="87" t="s">
        <v>176</v>
      </c>
      <c r="D4" s="87"/>
      <c r="E4" s="50"/>
    </row>
    <row r="5" spans="1:26" s="18" customFormat="1" ht="26.25" hidden="1" customHeight="1" outlineLevel="1" thickBot="1">
      <c r="A5" s="4"/>
      <c r="B5" s="797"/>
      <c r="C5" s="88" t="s">
        <v>173</v>
      </c>
      <c r="D5" s="88"/>
      <c r="E5" s="50"/>
    </row>
    <row r="6" spans="1:26" ht="26.25" hidden="1" customHeight="1" outlineLevel="1" thickBot="1">
      <c r="B6" s="797"/>
      <c r="C6" s="800" t="s">
        <v>556</v>
      </c>
      <c r="D6" s="801"/>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532</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533</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795" t="s">
        <v>627</v>
      </c>
      <c r="C12" s="795"/>
      <c r="D12" s="795"/>
      <c r="E12" s="795"/>
      <c r="F12" s="795"/>
      <c r="G12" s="795"/>
      <c r="H12" s="795"/>
      <c r="I12" s="795"/>
      <c r="J12" s="795"/>
      <c r="K12" s="795"/>
      <c r="L12" s="795"/>
      <c r="M12" s="795"/>
      <c r="N12" s="795"/>
      <c r="O12" s="79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691</v>
      </c>
      <c r="E14" s="474" t="s">
        <v>692</v>
      </c>
      <c r="F14" s="474" t="s">
        <v>693</v>
      </c>
      <c r="G14" s="474" t="s">
        <v>694</v>
      </c>
      <c r="H14" s="474" t="s">
        <v>688</v>
      </c>
      <c r="I14" s="474" t="s">
        <v>689</v>
      </c>
      <c r="J14" s="474" t="s">
        <v>690</v>
      </c>
      <c r="K14" s="474" t="s">
        <v>695</v>
      </c>
      <c r="L14" s="474" t="s">
        <v>573</v>
      </c>
      <c r="M14" s="474" t="s">
        <v>574</v>
      </c>
      <c r="N14" s="474" t="s">
        <v>575</v>
      </c>
      <c r="O14" s="474" t="s">
        <v>576</v>
      </c>
      <c r="P14" s="7"/>
    </row>
    <row r="15" spans="1:26" s="7" customFormat="1" ht="18.75" customHeight="1">
      <c r="B15" s="475" t="s">
        <v>189</v>
      </c>
      <c r="C15" s="79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564</v>
      </c>
      <c r="C16" s="793"/>
      <c r="D16" s="479"/>
      <c r="E16" s="479"/>
      <c r="F16" s="479"/>
      <c r="G16" s="479"/>
      <c r="H16" s="479">
        <v>12</v>
      </c>
      <c r="I16" s="479">
        <v>12</v>
      </c>
      <c r="J16" s="479">
        <v>12</v>
      </c>
      <c r="K16" s="479">
        <v>12</v>
      </c>
      <c r="L16" s="479"/>
      <c r="M16" s="479"/>
      <c r="N16" s="479"/>
      <c r="O16" s="480"/>
    </row>
    <row r="17" spans="1:15" s="113" customFormat="1" ht="17.25" customHeight="1">
      <c r="B17" s="481" t="s">
        <v>565</v>
      </c>
      <c r="C17" s="799"/>
      <c r="D17" s="114">
        <f>12-D16</f>
        <v>12</v>
      </c>
      <c r="E17" s="114">
        <f>12-E16</f>
        <v>12</v>
      </c>
      <c r="F17" s="114">
        <f t="shared" ref="F17:K17" si="0">12-F16</f>
        <v>12</v>
      </c>
      <c r="G17" s="114">
        <f t="shared" si="0"/>
        <v>12</v>
      </c>
      <c r="H17" s="114">
        <f t="shared" si="0"/>
        <v>0</v>
      </c>
      <c r="I17" s="114">
        <f t="shared" si="0"/>
        <v>0</v>
      </c>
      <c r="J17" s="114">
        <f t="shared" si="0"/>
        <v>0</v>
      </c>
      <c r="K17" s="114">
        <f t="shared" si="0"/>
        <v>0</v>
      </c>
      <c r="L17" s="114">
        <f t="shared" ref="L17:O17" si="1">12-L16</f>
        <v>12</v>
      </c>
      <c r="M17" s="114">
        <f t="shared" si="1"/>
        <v>12</v>
      </c>
      <c r="N17" s="114">
        <f t="shared" si="1"/>
        <v>12</v>
      </c>
      <c r="O17" s="115">
        <f t="shared" si="1"/>
        <v>12</v>
      </c>
    </row>
    <row r="18" spans="1:15" s="7" customFormat="1" ht="17.25" customHeight="1">
      <c r="B18" s="482" t="str">
        <f>'1.  LRAMVA Summary'!B27</f>
        <v>Residential</v>
      </c>
      <c r="C18" s="792" t="str">
        <f>'2. LRAMVA Threshold'!D43</f>
        <v>kWh</v>
      </c>
      <c r="D18" s="47"/>
      <c r="E18" s="47"/>
      <c r="F18" s="47"/>
      <c r="G18" s="47">
        <v>1.2699999999999999E-2</v>
      </c>
      <c r="H18" s="47">
        <v>1.3599999999999999E-2</v>
      </c>
      <c r="I18" s="47">
        <v>1.38E-2</v>
      </c>
      <c r="J18" s="47">
        <v>1.06E-2</v>
      </c>
      <c r="K18" s="47">
        <v>7.1999999999999998E-3</v>
      </c>
      <c r="L18" s="47"/>
      <c r="M18" s="47"/>
      <c r="N18" s="47"/>
      <c r="O18" s="71"/>
    </row>
    <row r="19" spans="1:15" s="7" customFormat="1" ht="15" hidden="1" customHeight="1" outlineLevel="1">
      <c r="B19" s="538" t="s">
        <v>516</v>
      </c>
      <c r="C19" s="793"/>
      <c r="D19" s="47"/>
      <c r="E19" s="47"/>
      <c r="F19" s="47"/>
      <c r="G19" s="47"/>
      <c r="H19" s="47"/>
      <c r="I19" s="47"/>
      <c r="J19" s="47"/>
      <c r="K19" s="47"/>
      <c r="L19" s="47"/>
      <c r="M19" s="47"/>
      <c r="N19" s="47"/>
      <c r="O19" s="71"/>
    </row>
    <row r="20" spans="1:15" s="7" customFormat="1" ht="15" hidden="1" customHeight="1" outlineLevel="1">
      <c r="B20" s="538" t="s">
        <v>517</v>
      </c>
      <c r="C20" s="793"/>
      <c r="D20" s="47"/>
      <c r="E20" s="47"/>
      <c r="F20" s="47"/>
      <c r="G20" s="47"/>
      <c r="H20" s="47"/>
      <c r="I20" s="47"/>
      <c r="J20" s="47"/>
      <c r="K20" s="47"/>
      <c r="L20" s="47"/>
      <c r="M20" s="47"/>
      <c r="N20" s="47"/>
      <c r="O20" s="71"/>
    </row>
    <row r="21" spans="1:15" s="7" customFormat="1" ht="15" hidden="1" customHeight="1" outlineLevel="1">
      <c r="B21" s="538" t="s">
        <v>493</v>
      </c>
      <c r="C21" s="793"/>
      <c r="D21" s="47"/>
      <c r="E21" s="47"/>
      <c r="F21" s="47"/>
      <c r="G21" s="47"/>
      <c r="H21" s="47"/>
      <c r="I21" s="47"/>
      <c r="J21" s="47"/>
      <c r="K21" s="47"/>
      <c r="L21" s="47"/>
      <c r="M21" s="47"/>
      <c r="N21" s="47"/>
      <c r="O21" s="71"/>
    </row>
    <row r="22" spans="1:15" s="7" customFormat="1" ht="14.25" customHeight="1" collapsed="1">
      <c r="B22" s="538" t="s">
        <v>518</v>
      </c>
      <c r="C22" s="794"/>
      <c r="D22" s="67">
        <f>SUM(D18:D21)</f>
        <v>0</v>
      </c>
      <c r="E22" s="67">
        <f>SUM(E18:E21)</f>
        <v>0</v>
      </c>
      <c r="F22" s="67">
        <f>SUM(F18:F21)</f>
        <v>0</v>
      </c>
      <c r="G22" s="67">
        <f t="shared" ref="G22:N22" si="2">SUM(G18:G21)</f>
        <v>1.2699999999999999E-2</v>
      </c>
      <c r="H22" s="67">
        <f t="shared" si="2"/>
        <v>1.3599999999999999E-2</v>
      </c>
      <c r="I22" s="67">
        <f t="shared" si="2"/>
        <v>1.38E-2</v>
      </c>
      <c r="J22" s="67">
        <f t="shared" si="2"/>
        <v>1.06E-2</v>
      </c>
      <c r="K22" s="67">
        <f t="shared" si="2"/>
        <v>7.1999999999999998E-3</v>
      </c>
      <c r="L22" s="67">
        <f t="shared" si="2"/>
        <v>0</v>
      </c>
      <c r="M22" s="67">
        <f t="shared" si="2"/>
        <v>0</v>
      </c>
      <c r="N22" s="67">
        <f t="shared" si="2"/>
        <v>0</v>
      </c>
      <c r="O22" s="78"/>
    </row>
    <row r="23" spans="1:15" s="65" customFormat="1">
      <c r="A23" s="64"/>
      <c r="B23" s="494" t="s">
        <v>519</v>
      </c>
      <c r="C23" s="484"/>
      <c r="D23" s="485"/>
      <c r="E23" s="486">
        <f>ROUND(SUM(D22*E16+E22*E17)/12,4)</f>
        <v>0</v>
      </c>
      <c r="F23" s="486">
        <f>ROUND(SUM(E22*F16+F22*F17)/12,4)</f>
        <v>0</v>
      </c>
      <c r="G23" s="486">
        <f>ROUND(SUM(F22*G16+G22*G17)/12,4)</f>
        <v>1.2699999999999999E-2</v>
      </c>
      <c r="H23" s="486">
        <f>ROUND(SUM(G22*H16+H22*H17)/12,4)</f>
        <v>1.2699999999999999E-2</v>
      </c>
      <c r="I23" s="486">
        <f>ROUND(SUM(H22*I16+I22*I17)/12,4)</f>
        <v>1.3599999999999999E-2</v>
      </c>
      <c r="J23" s="486">
        <f t="shared" ref="J23:N23" si="3">ROUND(SUM(I22*J16+J22*J17)/12,4)</f>
        <v>1.38E-2</v>
      </c>
      <c r="K23" s="486">
        <f t="shared" si="3"/>
        <v>1.06E-2</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 50 kW</v>
      </c>
      <c r="C25" s="792" t="str">
        <f>'2. LRAMVA Threshold'!E43</f>
        <v>kWh</v>
      </c>
      <c r="D25" s="47"/>
      <c r="E25" s="47"/>
      <c r="F25" s="47"/>
      <c r="G25" s="47">
        <v>1.67E-2</v>
      </c>
      <c r="H25" s="47">
        <v>1.4E-2</v>
      </c>
      <c r="I25" s="47">
        <v>1.4200000000000001E-2</v>
      </c>
      <c r="J25" s="47">
        <v>1.4500000000000001E-2</v>
      </c>
      <c r="K25" s="47">
        <v>1.4800000000000001E-2</v>
      </c>
      <c r="L25" s="47"/>
      <c r="M25" s="47"/>
      <c r="N25" s="47"/>
      <c r="O25" s="71"/>
    </row>
    <row r="26" spans="1:15" s="18" customFormat="1" hidden="1" outlineLevel="1">
      <c r="A26" s="4"/>
      <c r="B26" s="538" t="s">
        <v>516</v>
      </c>
      <c r="C26" s="793"/>
      <c r="D26" s="47"/>
      <c r="E26" s="47"/>
      <c r="F26" s="47"/>
      <c r="G26" s="47"/>
      <c r="H26" s="47"/>
      <c r="I26" s="47"/>
      <c r="J26" s="47"/>
      <c r="K26" s="47"/>
      <c r="L26" s="47"/>
      <c r="M26" s="47"/>
      <c r="N26" s="47"/>
      <c r="O26" s="71"/>
    </row>
    <row r="27" spans="1:15" s="18" customFormat="1" hidden="1" outlineLevel="1">
      <c r="A27" s="4"/>
      <c r="B27" s="538" t="s">
        <v>517</v>
      </c>
      <c r="C27" s="793"/>
      <c r="D27" s="47"/>
      <c r="E27" s="47"/>
      <c r="F27" s="47"/>
      <c r="G27" s="47"/>
      <c r="H27" s="47"/>
      <c r="I27" s="47"/>
      <c r="J27" s="47"/>
      <c r="K27" s="47"/>
      <c r="L27" s="47"/>
      <c r="M27" s="47"/>
      <c r="N27" s="47"/>
      <c r="O27" s="71"/>
    </row>
    <row r="28" spans="1:15" s="18" customFormat="1" hidden="1" outlineLevel="1">
      <c r="A28" s="4"/>
      <c r="B28" s="538" t="s">
        <v>493</v>
      </c>
      <c r="C28" s="793"/>
      <c r="D28" s="47"/>
      <c r="E28" s="47"/>
      <c r="F28" s="47"/>
      <c r="G28" s="47"/>
      <c r="H28" s="47"/>
      <c r="I28" s="47"/>
      <c r="J28" s="47"/>
      <c r="K28" s="47"/>
      <c r="L28" s="47"/>
      <c r="M28" s="47"/>
      <c r="N28" s="47"/>
      <c r="O28" s="71"/>
    </row>
    <row r="29" spans="1:15" s="18" customFormat="1" collapsed="1">
      <c r="A29" s="4"/>
      <c r="B29" s="538" t="s">
        <v>518</v>
      </c>
      <c r="C29" s="794"/>
      <c r="D29" s="67">
        <f>SUM(D25:D28)</f>
        <v>0</v>
      </c>
      <c r="E29" s="67">
        <f t="shared" ref="E29:N29" si="4">SUM(E25:E28)</f>
        <v>0</v>
      </c>
      <c r="F29" s="67">
        <f t="shared" si="4"/>
        <v>0</v>
      </c>
      <c r="G29" s="67">
        <f t="shared" si="4"/>
        <v>1.67E-2</v>
      </c>
      <c r="H29" s="67">
        <f t="shared" si="4"/>
        <v>1.4E-2</v>
      </c>
      <c r="I29" s="67">
        <f t="shared" si="4"/>
        <v>1.4200000000000001E-2</v>
      </c>
      <c r="J29" s="67">
        <f t="shared" si="4"/>
        <v>1.4500000000000001E-2</v>
      </c>
      <c r="K29" s="67">
        <f t="shared" si="4"/>
        <v>1.4800000000000001E-2</v>
      </c>
      <c r="L29" s="67">
        <f t="shared" si="4"/>
        <v>0</v>
      </c>
      <c r="M29" s="67">
        <f t="shared" si="4"/>
        <v>0</v>
      </c>
      <c r="N29" s="67">
        <f t="shared" si="4"/>
        <v>0</v>
      </c>
      <c r="O29" s="78"/>
    </row>
    <row r="30" spans="1:15" s="18" customFormat="1">
      <c r="A30" s="4"/>
      <c r="B30" s="494" t="s">
        <v>519</v>
      </c>
      <c r="C30" s="490"/>
      <c r="D30" s="73"/>
      <c r="E30" s="486">
        <f>ROUND(SUM(D29*E16+E29*E17)/12,4)</f>
        <v>0</v>
      </c>
      <c r="F30" s="486">
        <f t="shared" ref="F30:N30" si="5">ROUND(SUM(E29*F16+F29*F17)/12,4)</f>
        <v>0</v>
      </c>
      <c r="G30" s="486">
        <f t="shared" si="5"/>
        <v>1.67E-2</v>
      </c>
      <c r="H30" s="486">
        <f t="shared" si="5"/>
        <v>1.67E-2</v>
      </c>
      <c r="I30" s="486">
        <f t="shared" si="5"/>
        <v>1.4E-2</v>
      </c>
      <c r="J30" s="486">
        <f>ROUND(SUM(I29*J16+J29*J17)/12,4)</f>
        <v>1.4200000000000001E-2</v>
      </c>
      <c r="K30" s="486">
        <f t="shared" si="5"/>
        <v>1.4500000000000001E-2</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&gt; 50 to 4999 kW</v>
      </c>
      <c r="C32" s="792" t="str">
        <f>'2. LRAMVA Threshold'!F43</f>
        <v>kW</v>
      </c>
      <c r="D32" s="47"/>
      <c r="E32" s="47"/>
      <c r="F32" s="47"/>
      <c r="G32" s="47">
        <v>4.5228000000000002</v>
      </c>
      <c r="H32" s="47">
        <v>3.5066000000000002</v>
      </c>
      <c r="I32" s="47">
        <v>3.5573999999999999</v>
      </c>
      <c r="J32" s="47">
        <v>3.6267999999999998</v>
      </c>
      <c r="K32" s="47">
        <v>3.6957</v>
      </c>
      <c r="L32" s="47"/>
      <c r="M32" s="47"/>
      <c r="N32" s="47"/>
      <c r="O32" s="71"/>
    </row>
    <row r="33" spans="1:15" s="18" customFormat="1" hidden="1" outlineLevel="1">
      <c r="A33" s="4"/>
      <c r="B33" s="538" t="s">
        <v>516</v>
      </c>
      <c r="C33" s="793"/>
      <c r="D33" s="47"/>
      <c r="E33" s="47"/>
      <c r="F33" s="47"/>
      <c r="G33" s="47"/>
      <c r="H33" s="47"/>
      <c r="I33" s="47"/>
      <c r="J33" s="47"/>
      <c r="K33" s="47"/>
      <c r="L33" s="47"/>
      <c r="M33" s="47"/>
      <c r="N33" s="47"/>
      <c r="O33" s="71"/>
    </row>
    <row r="34" spans="1:15" s="18" customFormat="1" hidden="1" outlineLevel="1">
      <c r="A34" s="4"/>
      <c r="B34" s="538" t="s">
        <v>517</v>
      </c>
      <c r="C34" s="793"/>
      <c r="D34" s="47"/>
      <c r="E34" s="47"/>
      <c r="F34" s="47"/>
      <c r="G34" s="47"/>
      <c r="H34" s="47"/>
      <c r="I34" s="47"/>
      <c r="J34" s="47"/>
      <c r="K34" s="47"/>
      <c r="L34" s="47"/>
      <c r="M34" s="47"/>
      <c r="N34" s="47"/>
      <c r="O34" s="71"/>
    </row>
    <row r="35" spans="1:15" s="18" customFormat="1" hidden="1" outlineLevel="1">
      <c r="A35" s="4"/>
      <c r="B35" s="538" t="s">
        <v>493</v>
      </c>
      <c r="C35" s="793"/>
      <c r="D35" s="47"/>
      <c r="E35" s="47"/>
      <c r="F35" s="47"/>
      <c r="G35" s="47"/>
      <c r="H35" s="47"/>
      <c r="I35" s="47"/>
      <c r="J35" s="47"/>
      <c r="K35" s="47"/>
      <c r="L35" s="47"/>
      <c r="M35" s="47"/>
      <c r="N35" s="47"/>
      <c r="O35" s="71"/>
    </row>
    <row r="36" spans="1:15" s="18" customFormat="1" collapsed="1">
      <c r="A36" s="4"/>
      <c r="B36" s="538" t="s">
        <v>518</v>
      </c>
      <c r="C36" s="794"/>
      <c r="D36" s="67">
        <f>SUM(D32:D35)</f>
        <v>0</v>
      </c>
      <c r="E36" s="67">
        <f>SUM(E32:E35)</f>
        <v>0</v>
      </c>
      <c r="F36" s="67">
        <f t="shared" ref="F36:M36" si="6">SUM(F32:F35)</f>
        <v>0</v>
      </c>
      <c r="G36" s="67">
        <f t="shared" si="6"/>
        <v>4.5228000000000002</v>
      </c>
      <c r="H36" s="67">
        <f t="shared" si="6"/>
        <v>3.5066000000000002</v>
      </c>
      <c r="I36" s="67">
        <f t="shared" si="6"/>
        <v>3.5573999999999999</v>
      </c>
      <c r="J36" s="67">
        <f t="shared" si="6"/>
        <v>3.6267999999999998</v>
      </c>
      <c r="K36" s="67">
        <f t="shared" si="6"/>
        <v>3.6957</v>
      </c>
      <c r="L36" s="67">
        <f t="shared" si="6"/>
        <v>0</v>
      </c>
      <c r="M36" s="67">
        <f t="shared" si="6"/>
        <v>0</v>
      </c>
      <c r="N36" s="67">
        <f>SUM(N32:N35)</f>
        <v>0</v>
      </c>
      <c r="O36" s="78"/>
    </row>
    <row r="37" spans="1:15" s="18" customFormat="1">
      <c r="A37" s="4"/>
      <c r="B37" s="494" t="s">
        <v>519</v>
      </c>
      <c r="C37" s="490"/>
      <c r="D37" s="73"/>
      <c r="E37" s="486">
        <f t="shared" ref="E37:N37" si="7">ROUND(SUM(D36*E16+E36*E17)/12,4)</f>
        <v>0</v>
      </c>
      <c r="F37" s="486">
        <f t="shared" si="7"/>
        <v>0</v>
      </c>
      <c r="G37" s="486">
        <f t="shared" si="7"/>
        <v>4.5228000000000002</v>
      </c>
      <c r="H37" s="486">
        <f t="shared" si="7"/>
        <v>4.5228000000000002</v>
      </c>
      <c r="I37" s="486">
        <f t="shared" si="7"/>
        <v>3.5066000000000002</v>
      </c>
      <c r="J37" s="486">
        <f t="shared" si="7"/>
        <v>3.5573999999999999</v>
      </c>
      <c r="K37" s="486">
        <f t="shared" si="7"/>
        <v>3.6267999999999998</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Unmetered Scattered Load</v>
      </c>
      <c r="C39" s="792" t="str">
        <f>'2. LRAMVA Threshold'!G43</f>
        <v>kWh</v>
      </c>
      <c r="D39" s="47"/>
      <c r="E39" s="47"/>
      <c r="F39" s="47"/>
      <c r="G39" s="47">
        <v>1.04E-2</v>
      </c>
      <c r="H39" s="47">
        <v>5.1999999999999998E-3</v>
      </c>
      <c r="I39" s="47">
        <v>5.3E-3</v>
      </c>
      <c r="J39" s="47">
        <v>5.4000000000000003E-3</v>
      </c>
      <c r="K39" s="47">
        <v>5.4999999999999997E-3</v>
      </c>
      <c r="L39" s="47"/>
      <c r="M39" s="47"/>
      <c r="N39" s="47"/>
      <c r="O39" s="71"/>
    </row>
    <row r="40" spans="1:15" s="18" customFormat="1" hidden="1" outlineLevel="1">
      <c r="A40" s="4"/>
      <c r="B40" s="538" t="s">
        <v>516</v>
      </c>
      <c r="C40" s="793"/>
      <c r="D40" s="47"/>
      <c r="E40" s="47"/>
      <c r="F40" s="47"/>
      <c r="G40" s="47"/>
      <c r="H40" s="47"/>
      <c r="I40" s="47"/>
      <c r="J40" s="47"/>
      <c r="K40" s="47"/>
      <c r="L40" s="47"/>
      <c r="M40" s="47"/>
      <c r="N40" s="47"/>
      <c r="O40" s="71"/>
    </row>
    <row r="41" spans="1:15" s="18" customFormat="1" hidden="1" outlineLevel="1">
      <c r="A41" s="4"/>
      <c r="B41" s="538" t="s">
        <v>517</v>
      </c>
      <c r="C41" s="793"/>
      <c r="D41" s="47"/>
      <c r="E41" s="47"/>
      <c r="F41" s="47"/>
      <c r="G41" s="47"/>
      <c r="H41" s="47"/>
      <c r="I41" s="47"/>
      <c r="J41" s="47"/>
      <c r="K41" s="47"/>
      <c r="L41" s="47"/>
      <c r="M41" s="47"/>
      <c r="N41" s="47"/>
      <c r="O41" s="71"/>
    </row>
    <row r="42" spans="1:15" s="18" customFormat="1" hidden="1" outlineLevel="1">
      <c r="A42" s="4"/>
      <c r="B42" s="538" t="s">
        <v>493</v>
      </c>
      <c r="C42" s="793"/>
      <c r="D42" s="47"/>
      <c r="E42" s="47"/>
      <c r="F42" s="47"/>
      <c r="G42" s="47"/>
      <c r="H42" s="47"/>
      <c r="I42" s="47"/>
      <c r="J42" s="47"/>
      <c r="K42" s="47"/>
      <c r="L42" s="47"/>
      <c r="M42" s="47"/>
      <c r="N42" s="47"/>
      <c r="O42" s="71"/>
    </row>
    <row r="43" spans="1:15" s="18" customFormat="1" collapsed="1">
      <c r="A43" s="4"/>
      <c r="B43" s="538" t="s">
        <v>518</v>
      </c>
      <c r="C43" s="794"/>
      <c r="D43" s="67">
        <f>SUM(D39:D42)</f>
        <v>0</v>
      </c>
      <c r="E43" s="67">
        <f t="shared" ref="E43:N43" si="8">SUM(E39:E42)</f>
        <v>0</v>
      </c>
      <c r="F43" s="67">
        <f t="shared" si="8"/>
        <v>0</v>
      </c>
      <c r="G43" s="67">
        <f t="shared" si="8"/>
        <v>1.04E-2</v>
      </c>
      <c r="H43" s="67">
        <f t="shared" si="8"/>
        <v>5.1999999999999998E-3</v>
      </c>
      <c r="I43" s="67">
        <f t="shared" si="8"/>
        <v>5.3E-3</v>
      </c>
      <c r="J43" s="67">
        <f t="shared" si="8"/>
        <v>5.4000000000000003E-3</v>
      </c>
      <c r="K43" s="67">
        <f t="shared" si="8"/>
        <v>5.4999999999999997E-3</v>
      </c>
      <c r="L43" s="67">
        <f t="shared" si="8"/>
        <v>0</v>
      </c>
      <c r="M43" s="67">
        <f t="shared" si="8"/>
        <v>0</v>
      </c>
      <c r="N43" s="67">
        <f t="shared" si="8"/>
        <v>0</v>
      </c>
      <c r="O43" s="78"/>
    </row>
    <row r="44" spans="1:15" s="14" customFormat="1">
      <c r="A44" s="74"/>
      <c r="B44" s="494" t="s">
        <v>519</v>
      </c>
      <c r="C44" s="490"/>
      <c r="D44" s="73"/>
      <c r="E44" s="486">
        <f t="shared" ref="E44:N44" si="9">ROUND(SUM(D43*E16+E43*E17)/12,4)</f>
        <v>0</v>
      </c>
      <c r="F44" s="486">
        <f t="shared" si="9"/>
        <v>0</v>
      </c>
      <c r="G44" s="486">
        <f t="shared" si="9"/>
        <v>1.04E-2</v>
      </c>
      <c r="H44" s="486">
        <f t="shared" si="9"/>
        <v>1.04E-2</v>
      </c>
      <c r="I44" s="486">
        <f t="shared" si="9"/>
        <v>5.1999999999999998E-3</v>
      </c>
      <c r="J44" s="486">
        <f t="shared" si="9"/>
        <v>5.3E-3</v>
      </c>
      <c r="K44" s="486">
        <f t="shared" si="9"/>
        <v>5.4000000000000003E-3</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Street Lighting</v>
      </c>
      <c r="C46" s="792" t="str">
        <f>'2. LRAMVA Threshold'!H43</f>
        <v>kW</v>
      </c>
      <c r="D46" s="47"/>
      <c r="E46" s="47"/>
      <c r="F46" s="47"/>
      <c r="G46" s="47">
        <v>6.4833999999999996</v>
      </c>
      <c r="H46" s="47">
        <v>7.6727999999999996</v>
      </c>
      <c r="I46" s="47">
        <v>7.7840999999999996</v>
      </c>
      <c r="J46" s="47">
        <v>7.9359000000000002</v>
      </c>
      <c r="K46" s="47">
        <v>8.0867000000000004</v>
      </c>
      <c r="L46" s="47"/>
      <c r="M46" s="47"/>
      <c r="N46" s="47"/>
      <c r="O46" s="71"/>
    </row>
    <row r="47" spans="1:15" s="18" customFormat="1" hidden="1" outlineLevel="1">
      <c r="A47" s="4"/>
      <c r="B47" s="538" t="s">
        <v>516</v>
      </c>
      <c r="C47" s="793"/>
      <c r="D47" s="47"/>
      <c r="E47" s="47"/>
      <c r="F47" s="47"/>
      <c r="G47" s="47"/>
      <c r="H47" s="47"/>
      <c r="I47" s="47"/>
      <c r="J47" s="47"/>
      <c r="K47" s="47"/>
      <c r="L47" s="47"/>
      <c r="M47" s="47"/>
      <c r="N47" s="47"/>
      <c r="O47" s="71"/>
    </row>
    <row r="48" spans="1:15" s="18" customFormat="1" hidden="1" outlineLevel="1">
      <c r="A48" s="4"/>
      <c r="B48" s="538" t="s">
        <v>517</v>
      </c>
      <c r="C48" s="793"/>
      <c r="D48" s="47"/>
      <c r="E48" s="47"/>
      <c r="F48" s="47"/>
      <c r="G48" s="47"/>
      <c r="H48" s="47"/>
      <c r="I48" s="47"/>
      <c r="J48" s="47"/>
      <c r="K48" s="47"/>
      <c r="L48" s="47"/>
      <c r="M48" s="47"/>
      <c r="N48" s="47"/>
      <c r="O48" s="71"/>
    </row>
    <row r="49" spans="1:15" s="18" customFormat="1" hidden="1" outlineLevel="1">
      <c r="A49" s="4"/>
      <c r="B49" s="538" t="s">
        <v>493</v>
      </c>
      <c r="C49" s="793"/>
      <c r="D49" s="47"/>
      <c r="E49" s="47"/>
      <c r="F49" s="47"/>
      <c r="G49" s="47"/>
      <c r="H49" s="47"/>
      <c r="I49" s="47"/>
      <c r="J49" s="47"/>
      <c r="K49" s="47"/>
      <c r="L49" s="47"/>
      <c r="M49" s="47"/>
      <c r="N49" s="47"/>
      <c r="O49" s="71"/>
    </row>
    <row r="50" spans="1:15" s="18" customFormat="1" collapsed="1">
      <c r="A50" s="4"/>
      <c r="B50" s="538" t="s">
        <v>518</v>
      </c>
      <c r="C50" s="794"/>
      <c r="D50" s="67">
        <f>SUM(D46:D49)</f>
        <v>0</v>
      </c>
      <c r="E50" s="67">
        <f t="shared" ref="E50:N50" si="10">SUM(E46:E49)</f>
        <v>0</v>
      </c>
      <c r="F50" s="67">
        <f t="shared" si="10"/>
        <v>0</v>
      </c>
      <c r="G50" s="67">
        <f t="shared" si="10"/>
        <v>6.4833999999999996</v>
      </c>
      <c r="H50" s="67">
        <f t="shared" si="10"/>
        <v>7.6727999999999996</v>
      </c>
      <c r="I50" s="67">
        <f t="shared" si="10"/>
        <v>7.7840999999999996</v>
      </c>
      <c r="J50" s="67">
        <f t="shared" si="10"/>
        <v>7.9359000000000002</v>
      </c>
      <c r="K50" s="67">
        <f t="shared" si="10"/>
        <v>8.0867000000000004</v>
      </c>
      <c r="L50" s="67">
        <f t="shared" si="10"/>
        <v>0</v>
      </c>
      <c r="M50" s="67">
        <f t="shared" si="10"/>
        <v>0</v>
      </c>
      <c r="N50" s="67">
        <f t="shared" si="10"/>
        <v>0</v>
      </c>
      <c r="O50" s="78"/>
    </row>
    <row r="51" spans="1:15" s="14" customFormat="1">
      <c r="A51" s="74"/>
      <c r="B51" s="494" t="s">
        <v>519</v>
      </c>
      <c r="C51" s="490"/>
      <c r="D51" s="73"/>
      <c r="E51" s="486">
        <f t="shared" ref="E51:N51" si="11">ROUND(SUM(D50*E16+E50*E17)/12,4)</f>
        <v>0</v>
      </c>
      <c r="F51" s="486">
        <f t="shared" si="11"/>
        <v>0</v>
      </c>
      <c r="G51" s="486">
        <f t="shared" si="11"/>
        <v>6.4833999999999996</v>
      </c>
      <c r="H51" s="486">
        <f t="shared" si="11"/>
        <v>6.4833999999999996</v>
      </c>
      <c r="I51" s="486">
        <f t="shared" si="11"/>
        <v>7.6727999999999996</v>
      </c>
      <c r="J51" s="486">
        <f t="shared" si="11"/>
        <v>7.7840999999999996</v>
      </c>
      <c r="K51" s="486">
        <f t="shared" si="11"/>
        <v>7.9359000000000002</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f>'1.  LRAMVA Summary'!B32</f>
        <v>0</v>
      </c>
      <c r="C53" s="792">
        <f>'2. LRAMVA Threshold'!I43</f>
        <v>0</v>
      </c>
      <c r="D53" s="47"/>
      <c r="E53" s="47"/>
      <c r="F53" s="47"/>
      <c r="G53" s="47"/>
      <c r="H53" s="47"/>
      <c r="I53" s="47"/>
      <c r="J53" s="47"/>
      <c r="K53" s="47"/>
      <c r="L53" s="47"/>
      <c r="M53" s="47"/>
      <c r="N53" s="47"/>
      <c r="O53" s="71"/>
    </row>
    <row r="54" spans="1:15" s="18" customFormat="1" hidden="1" outlineLevel="1">
      <c r="A54" s="4"/>
      <c r="B54" s="538" t="s">
        <v>516</v>
      </c>
      <c r="C54" s="793"/>
      <c r="D54" s="47"/>
      <c r="E54" s="47"/>
      <c r="F54" s="47"/>
      <c r="G54" s="47"/>
      <c r="H54" s="47"/>
      <c r="I54" s="47"/>
      <c r="J54" s="47"/>
      <c r="K54" s="47"/>
      <c r="L54" s="47"/>
      <c r="M54" s="47"/>
      <c r="N54" s="47"/>
      <c r="O54" s="71"/>
    </row>
    <row r="55" spans="1:15" s="18" customFormat="1" hidden="1" outlineLevel="1">
      <c r="A55" s="4"/>
      <c r="B55" s="538" t="s">
        <v>517</v>
      </c>
      <c r="C55" s="793"/>
      <c r="D55" s="47"/>
      <c r="E55" s="47"/>
      <c r="F55" s="47"/>
      <c r="G55" s="47"/>
      <c r="H55" s="47"/>
      <c r="I55" s="47"/>
      <c r="J55" s="47"/>
      <c r="K55" s="47"/>
      <c r="L55" s="47"/>
      <c r="M55" s="47"/>
      <c r="N55" s="47"/>
      <c r="O55" s="71"/>
    </row>
    <row r="56" spans="1:15" s="18" customFormat="1" hidden="1" outlineLevel="1">
      <c r="A56" s="4"/>
      <c r="B56" s="538" t="s">
        <v>493</v>
      </c>
      <c r="C56" s="793"/>
      <c r="D56" s="47"/>
      <c r="E56" s="47"/>
      <c r="F56" s="47"/>
      <c r="G56" s="47"/>
      <c r="H56" s="47"/>
      <c r="I56" s="47"/>
      <c r="J56" s="47"/>
      <c r="K56" s="47"/>
      <c r="L56" s="47"/>
      <c r="M56" s="47"/>
      <c r="N56" s="47"/>
      <c r="O56" s="71"/>
    </row>
    <row r="57" spans="1:15" s="18" customFormat="1" collapsed="1">
      <c r="A57" s="4"/>
      <c r="B57" s="538" t="s">
        <v>518</v>
      </c>
      <c r="C57" s="794"/>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4" t="s">
        <v>519</v>
      </c>
      <c r="C58" s="490"/>
      <c r="D58" s="73"/>
      <c r="E58" s="486">
        <f t="shared" ref="E58:N58" si="13">ROUND(SUM(D57*E16+E57*E17)/12,4)</f>
        <v>0</v>
      </c>
      <c r="F58" s="486">
        <f t="shared" si="13"/>
        <v>0</v>
      </c>
      <c r="G58" s="486">
        <f t="shared" si="13"/>
        <v>0</v>
      </c>
      <c r="H58" s="486">
        <f t="shared" si="13"/>
        <v>0</v>
      </c>
      <c r="I58" s="486">
        <f t="shared" si="13"/>
        <v>0</v>
      </c>
      <c r="J58" s="486">
        <f t="shared" si="13"/>
        <v>0</v>
      </c>
      <c r="K58" s="486">
        <f t="shared" si="13"/>
        <v>0</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792">
        <f>'2. LRAMVA Threshold'!J43</f>
        <v>0</v>
      </c>
      <c r="D60" s="47"/>
      <c r="E60" s="47"/>
      <c r="F60" s="47"/>
      <c r="G60" s="47"/>
      <c r="H60" s="47"/>
      <c r="I60" s="47"/>
      <c r="J60" s="47"/>
      <c r="K60" s="47"/>
      <c r="L60" s="47"/>
      <c r="M60" s="47"/>
      <c r="N60" s="47"/>
      <c r="O60" s="71"/>
    </row>
    <row r="61" spans="1:15" s="18" customFormat="1" hidden="1" outlineLevel="1">
      <c r="A61" s="4"/>
      <c r="B61" s="538" t="s">
        <v>516</v>
      </c>
      <c r="C61" s="793"/>
      <c r="D61" s="47"/>
      <c r="E61" s="47"/>
      <c r="F61" s="47"/>
      <c r="G61" s="47"/>
      <c r="H61" s="47"/>
      <c r="I61" s="47"/>
      <c r="J61" s="47"/>
      <c r="K61" s="47"/>
      <c r="L61" s="47"/>
      <c r="M61" s="47"/>
      <c r="N61" s="47"/>
      <c r="O61" s="71"/>
    </row>
    <row r="62" spans="1:15" s="18" customFormat="1" hidden="1" outlineLevel="1">
      <c r="A62" s="4"/>
      <c r="B62" s="538" t="s">
        <v>517</v>
      </c>
      <c r="C62" s="793"/>
      <c r="D62" s="47"/>
      <c r="E62" s="47"/>
      <c r="F62" s="47"/>
      <c r="G62" s="47"/>
      <c r="H62" s="47"/>
      <c r="I62" s="47"/>
      <c r="J62" s="47"/>
      <c r="K62" s="47"/>
      <c r="L62" s="47"/>
      <c r="M62" s="47"/>
      <c r="N62" s="47"/>
      <c r="O62" s="71"/>
    </row>
    <row r="63" spans="1:15" s="18" customFormat="1" hidden="1" outlineLevel="1">
      <c r="A63" s="4"/>
      <c r="B63" s="538" t="s">
        <v>493</v>
      </c>
      <c r="C63" s="793"/>
      <c r="D63" s="47"/>
      <c r="E63" s="47"/>
      <c r="F63" s="47"/>
      <c r="G63" s="47"/>
      <c r="H63" s="47"/>
      <c r="I63" s="47"/>
      <c r="J63" s="47"/>
      <c r="K63" s="47"/>
      <c r="L63" s="47"/>
      <c r="M63" s="47"/>
      <c r="N63" s="47"/>
      <c r="O63" s="71"/>
    </row>
    <row r="64" spans="1:15" s="18" customFormat="1" collapsed="1">
      <c r="A64" s="4"/>
      <c r="B64" s="538" t="s">
        <v>518</v>
      </c>
      <c r="C64" s="794"/>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519</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92">
        <f>'2. LRAMVA Threshold'!K43</f>
        <v>0</v>
      </c>
      <c r="D67" s="47"/>
      <c r="E67" s="47"/>
      <c r="F67" s="47"/>
      <c r="G67" s="47"/>
      <c r="H67" s="47"/>
      <c r="I67" s="47"/>
      <c r="J67" s="47"/>
      <c r="K67" s="47"/>
      <c r="L67" s="47"/>
      <c r="M67" s="47"/>
      <c r="N67" s="47"/>
      <c r="O67" s="71"/>
    </row>
    <row r="68" spans="1:15" s="18" customFormat="1" hidden="1" outlineLevel="1">
      <c r="A68" s="4"/>
      <c r="B68" s="538" t="s">
        <v>516</v>
      </c>
      <c r="C68" s="793"/>
      <c r="D68" s="47"/>
      <c r="E68" s="47"/>
      <c r="F68" s="47"/>
      <c r="G68" s="47"/>
      <c r="H68" s="47"/>
      <c r="I68" s="47"/>
      <c r="J68" s="47"/>
      <c r="K68" s="47"/>
      <c r="L68" s="47"/>
      <c r="M68" s="47"/>
      <c r="N68" s="47"/>
      <c r="O68" s="71"/>
    </row>
    <row r="69" spans="1:15" s="18" customFormat="1" hidden="1" outlineLevel="1">
      <c r="A69" s="4"/>
      <c r="B69" s="538" t="s">
        <v>517</v>
      </c>
      <c r="C69" s="793"/>
      <c r="D69" s="47"/>
      <c r="E69" s="47"/>
      <c r="F69" s="47"/>
      <c r="G69" s="47"/>
      <c r="H69" s="47"/>
      <c r="I69" s="47"/>
      <c r="J69" s="47"/>
      <c r="K69" s="47"/>
      <c r="L69" s="47"/>
      <c r="M69" s="47"/>
      <c r="N69" s="47"/>
      <c r="O69" s="71"/>
    </row>
    <row r="70" spans="1:15" s="18" customFormat="1" hidden="1" outlineLevel="1">
      <c r="A70" s="4"/>
      <c r="B70" s="538" t="s">
        <v>493</v>
      </c>
      <c r="C70" s="793"/>
      <c r="D70" s="47"/>
      <c r="E70" s="47"/>
      <c r="F70" s="47"/>
      <c r="G70" s="47"/>
      <c r="H70" s="47"/>
      <c r="I70" s="47"/>
      <c r="J70" s="47"/>
      <c r="K70" s="47"/>
      <c r="L70" s="47"/>
      <c r="M70" s="47"/>
      <c r="N70" s="47"/>
      <c r="O70" s="71"/>
    </row>
    <row r="71" spans="1:15" s="18" customFormat="1" collapsed="1">
      <c r="A71" s="4"/>
      <c r="B71" s="538" t="s">
        <v>518</v>
      </c>
      <c r="C71" s="794"/>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519</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92">
        <f>'2. LRAMVA Threshold'!L43</f>
        <v>0</v>
      </c>
      <c r="D74" s="47"/>
      <c r="E74" s="47"/>
      <c r="F74" s="47"/>
      <c r="G74" s="47"/>
      <c r="H74" s="47"/>
      <c r="I74" s="47"/>
      <c r="J74" s="47"/>
      <c r="K74" s="47"/>
      <c r="L74" s="47"/>
      <c r="M74" s="47"/>
      <c r="N74" s="47"/>
      <c r="O74" s="71"/>
    </row>
    <row r="75" spans="1:15" s="18" customFormat="1" hidden="1" outlineLevel="1">
      <c r="A75" s="4"/>
      <c r="B75" s="538" t="s">
        <v>516</v>
      </c>
      <c r="C75" s="793"/>
      <c r="D75" s="47"/>
      <c r="E75" s="47"/>
      <c r="F75" s="47"/>
      <c r="G75" s="47"/>
      <c r="H75" s="47"/>
      <c r="I75" s="47"/>
      <c r="J75" s="47"/>
      <c r="K75" s="47"/>
      <c r="L75" s="47"/>
      <c r="M75" s="47"/>
      <c r="N75" s="47"/>
      <c r="O75" s="71"/>
    </row>
    <row r="76" spans="1:15" s="18" customFormat="1" hidden="1" outlineLevel="1">
      <c r="A76" s="4"/>
      <c r="B76" s="538" t="s">
        <v>517</v>
      </c>
      <c r="C76" s="793"/>
      <c r="D76" s="47"/>
      <c r="E76" s="47"/>
      <c r="F76" s="47"/>
      <c r="G76" s="47"/>
      <c r="H76" s="47"/>
      <c r="I76" s="47"/>
      <c r="J76" s="47"/>
      <c r="K76" s="47"/>
      <c r="L76" s="47"/>
      <c r="M76" s="47"/>
      <c r="N76" s="47"/>
      <c r="O76" s="71"/>
    </row>
    <row r="77" spans="1:15" s="18" customFormat="1" hidden="1" outlineLevel="1">
      <c r="A77" s="4"/>
      <c r="B77" s="538" t="s">
        <v>493</v>
      </c>
      <c r="C77" s="793"/>
      <c r="D77" s="47"/>
      <c r="E77" s="47"/>
      <c r="F77" s="47"/>
      <c r="G77" s="47"/>
      <c r="H77" s="47"/>
      <c r="I77" s="47"/>
      <c r="J77" s="47"/>
      <c r="K77" s="47"/>
      <c r="L77" s="47"/>
      <c r="M77" s="47"/>
      <c r="N77" s="47"/>
      <c r="O77" s="71"/>
    </row>
    <row r="78" spans="1:15" s="18" customFormat="1" collapsed="1">
      <c r="A78" s="4"/>
      <c r="B78" s="538" t="s">
        <v>518</v>
      </c>
      <c r="C78" s="79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519</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92">
        <f>'2. LRAMVA Threshold'!M43</f>
        <v>0</v>
      </c>
      <c r="D81" s="47"/>
      <c r="E81" s="47"/>
      <c r="F81" s="47"/>
      <c r="G81" s="47"/>
      <c r="H81" s="47"/>
      <c r="I81" s="47"/>
      <c r="J81" s="47"/>
      <c r="K81" s="47"/>
      <c r="L81" s="47"/>
      <c r="M81" s="47"/>
      <c r="N81" s="47"/>
      <c r="O81" s="71"/>
    </row>
    <row r="82" spans="1:15" s="18" customFormat="1" hidden="1" outlineLevel="1">
      <c r="A82" s="4"/>
      <c r="B82" s="538" t="s">
        <v>516</v>
      </c>
      <c r="C82" s="793"/>
      <c r="D82" s="47"/>
      <c r="E82" s="47"/>
      <c r="F82" s="47"/>
      <c r="G82" s="47"/>
      <c r="H82" s="47"/>
      <c r="I82" s="47"/>
      <c r="J82" s="47"/>
      <c r="K82" s="47"/>
      <c r="L82" s="47"/>
      <c r="M82" s="47"/>
      <c r="N82" s="47"/>
      <c r="O82" s="71"/>
    </row>
    <row r="83" spans="1:15" s="18" customFormat="1" hidden="1" outlineLevel="1">
      <c r="A83" s="4"/>
      <c r="B83" s="538" t="s">
        <v>517</v>
      </c>
      <c r="C83" s="793"/>
      <c r="D83" s="47"/>
      <c r="E83" s="47"/>
      <c r="F83" s="47"/>
      <c r="G83" s="47"/>
      <c r="H83" s="47"/>
      <c r="I83" s="47"/>
      <c r="J83" s="47"/>
      <c r="K83" s="47"/>
      <c r="L83" s="47"/>
      <c r="M83" s="47"/>
      <c r="N83" s="47"/>
      <c r="O83" s="71"/>
    </row>
    <row r="84" spans="1:15" s="18" customFormat="1" hidden="1" outlineLevel="1">
      <c r="A84" s="4"/>
      <c r="B84" s="538" t="s">
        <v>493</v>
      </c>
      <c r="C84" s="793"/>
      <c r="D84" s="47"/>
      <c r="E84" s="47"/>
      <c r="F84" s="47"/>
      <c r="G84" s="47"/>
      <c r="H84" s="47"/>
      <c r="I84" s="47"/>
      <c r="J84" s="47"/>
      <c r="K84" s="47"/>
      <c r="L84" s="47"/>
      <c r="M84" s="47"/>
      <c r="N84" s="47"/>
      <c r="O84" s="71"/>
    </row>
    <row r="85" spans="1:15" s="18" customFormat="1" collapsed="1">
      <c r="A85" s="4"/>
      <c r="B85" s="538" t="s">
        <v>518</v>
      </c>
      <c r="C85" s="79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519</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92">
        <f>'2. LRAMVA Threshold'!N43</f>
        <v>0</v>
      </c>
      <c r="D88" s="47"/>
      <c r="E88" s="47"/>
      <c r="F88" s="47"/>
      <c r="G88" s="47"/>
      <c r="H88" s="47"/>
      <c r="I88" s="47"/>
      <c r="J88" s="47"/>
      <c r="K88" s="47"/>
      <c r="L88" s="47"/>
      <c r="M88" s="47"/>
      <c r="N88" s="47"/>
      <c r="O88" s="71"/>
    </row>
    <row r="89" spans="1:15" s="18" customFormat="1" hidden="1" outlineLevel="1">
      <c r="A89" s="4"/>
      <c r="B89" s="538" t="s">
        <v>516</v>
      </c>
      <c r="C89" s="793"/>
      <c r="D89" s="47"/>
      <c r="E89" s="47"/>
      <c r="F89" s="47"/>
      <c r="G89" s="47"/>
      <c r="H89" s="47"/>
      <c r="I89" s="47"/>
      <c r="J89" s="47"/>
      <c r="K89" s="47"/>
      <c r="L89" s="47"/>
      <c r="M89" s="47"/>
      <c r="N89" s="47"/>
      <c r="O89" s="71"/>
    </row>
    <row r="90" spans="1:15" s="18" customFormat="1" hidden="1" outlineLevel="1">
      <c r="A90" s="4"/>
      <c r="B90" s="538" t="s">
        <v>517</v>
      </c>
      <c r="C90" s="793"/>
      <c r="D90" s="47"/>
      <c r="E90" s="47"/>
      <c r="F90" s="47"/>
      <c r="G90" s="47"/>
      <c r="H90" s="47"/>
      <c r="I90" s="47"/>
      <c r="J90" s="47"/>
      <c r="K90" s="47"/>
      <c r="L90" s="47"/>
      <c r="M90" s="47"/>
      <c r="N90" s="47"/>
      <c r="O90" s="71"/>
    </row>
    <row r="91" spans="1:15" s="18" customFormat="1" hidden="1" outlineLevel="1">
      <c r="A91" s="4"/>
      <c r="B91" s="538" t="s">
        <v>493</v>
      </c>
      <c r="C91" s="793"/>
      <c r="D91" s="47"/>
      <c r="E91" s="47"/>
      <c r="F91" s="47"/>
      <c r="G91" s="47"/>
      <c r="H91" s="47"/>
      <c r="I91" s="47"/>
      <c r="J91" s="47"/>
      <c r="K91" s="47"/>
      <c r="L91" s="47"/>
      <c r="M91" s="47"/>
      <c r="N91" s="47"/>
      <c r="O91" s="71"/>
    </row>
    <row r="92" spans="1:15" s="18" customFormat="1" collapsed="1">
      <c r="A92" s="4"/>
      <c r="B92" s="538" t="s">
        <v>518</v>
      </c>
      <c r="C92" s="79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519</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92">
        <f>'2. LRAMVA Threshold'!O43</f>
        <v>0</v>
      </c>
      <c r="D95" s="47"/>
      <c r="E95" s="47"/>
      <c r="F95" s="47"/>
      <c r="G95" s="47"/>
      <c r="H95" s="47"/>
      <c r="I95" s="47"/>
      <c r="J95" s="47"/>
      <c r="K95" s="47"/>
      <c r="L95" s="47"/>
      <c r="M95" s="47"/>
      <c r="N95" s="47"/>
      <c r="O95" s="71"/>
    </row>
    <row r="96" spans="1:15" s="18" customFormat="1" hidden="1" outlineLevel="1">
      <c r="A96" s="4"/>
      <c r="B96" s="538" t="s">
        <v>516</v>
      </c>
      <c r="C96" s="793"/>
      <c r="D96" s="47"/>
      <c r="E96" s="47"/>
      <c r="F96" s="47"/>
      <c r="G96" s="47"/>
      <c r="H96" s="47"/>
      <c r="I96" s="47"/>
      <c r="J96" s="47"/>
      <c r="K96" s="47"/>
      <c r="L96" s="47"/>
      <c r="M96" s="47"/>
      <c r="N96" s="47"/>
      <c r="O96" s="71"/>
    </row>
    <row r="97" spans="1:15" s="18" customFormat="1" hidden="1" outlineLevel="1">
      <c r="A97" s="4"/>
      <c r="B97" s="538" t="s">
        <v>517</v>
      </c>
      <c r="C97" s="793"/>
      <c r="D97" s="47"/>
      <c r="E97" s="47"/>
      <c r="F97" s="47"/>
      <c r="G97" s="47"/>
      <c r="H97" s="47"/>
      <c r="I97" s="47"/>
      <c r="J97" s="47"/>
      <c r="K97" s="47"/>
      <c r="L97" s="47"/>
      <c r="M97" s="47"/>
      <c r="N97" s="47"/>
      <c r="O97" s="71"/>
    </row>
    <row r="98" spans="1:15" s="18" customFormat="1" hidden="1" outlineLevel="1">
      <c r="A98" s="4"/>
      <c r="B98" s="538" t="s">
        <v>493</v>
      </c>
      <c r="C98" s="793"/>
      <c r="D98" s="47"/>
      <c r="E98" s="47"/>
      <c r="F98" s="47"/>
      <c r="G98" s="47"/>
      <c r="H98" s="47"/>
      <c r="I98" s="47"/>
      <c r="J98" s="47"/>
      <c r="K98" s="47"/>
      <c r="L98" s="47"/>
      <c r="M98" s="47"/>
      <c r="N98" s="47"/>
      <c r="O98" s="71"/>
    </row>
    <row r="99" spans="1:15" s="18" customFormat="1" collapsed="1">
      <c r="A99" s="4"/>
      <c r="B99" s="538" t="s">
        <v>518</v>
      </c>
      <c r="C99" s="79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519</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92">
        <f>'2. LRAMVA Threshold'!P43</f>
        <v>0</v>
      </c>
      <c r="D102" s="47"/>
      <c r="E102" s="47"/>
      <c r="F102" s="47"/>
      <c r="G102" s="47"/>
      <c r="H102" s="47"/>
      <c r="I102" s="47"/>
      <c r="J102" s="47"/>
      <c r="K102" s="47"/>
      <c r="L102" s="47"/>
      <c r="M102" s="47"/>
      <c r="N102" s="47"/>
      <c r="O102" s="71"/>
    </row>
    <row r="103" spans="1:15" s="18" customFormat="1" hidden="1" outlineLevel="1">
      <c r="A103" s="4"/>
      <c r="B103" s="538" t="s">
        <v>516</v>
      </c>
      <c r="C103" s="793"/>
      <c r="D103" s="47"/>
      <c r="E103" s="47"/>
      <c r="F103" s="47"/>
      <c r="G103" s="47"/>
      <c r="H103" s="47"/>
      <c r="I103" s="47"/>
      <c r="J103" s="47"/>
      <c r="K103" s="47"/>
      <c r="L103" s="47"/>
      <c r="M103" s="47"/>
      <c r="N103" s="47"/>
      <c r="O103" s="71"/>
    </row>
    <row r="104" spans="1:15" s="18" customFormat="1" hidden="1" outlineLevel="1">
      <c r="A104" s="4"/>
      <c r="B104" s="538" t="s">
        <v>517</v>
      </c>
      <c r="C104" s="793"/>
      <c r="D104" s="47"/>
      <c r="E104" s="47"/>
      <c r="F104" s="47"/>
      <c r="G104" s="47"/>
      <c r="H104" s="47"/>
      <c r="I104" s="47"/>
      <c r="J104" s="47"/>
      <c r="K104" s="47"/>
      <c r="L104" s="47"/>
      <c r="M104" s="47"/>
      <c r="N104" s="47"/>
      <c r="O104" s="71"/>
    </row>
    <row r="105" spans="1:15" s="18" customFormat="1" hidden="1" outlineLevel="1">
      <c r="A105" s="4"/>
      <c r="B105" s="538" t="s">
        <v>493</v>
      </c>
      <c r="C105" s="793"/>
      <c r="D105" s="47"/>
      <c r="E105" s="47"/>
      <c r="F105" s="47"/>
      <c r="G105" s="47"/>
      <c r="H105" s="47"/>
      <c r="I105" s="47"/>
      <c r="J105" s="47"/>
      <c r="K105" s="47"/>
      <c r="L105" s="47"/>
      <c r="M105" s="47"/>
      <c r="N105" s="47"/>
      <c r="O105" s="71"/>
    </row>
    <row r="106" spans="1:15" s="18" customFormat="1" collapsed="1">
      <c r="A106" s="4"/>
      <c r="B106" s="538" t="s">
        <v>518</v>
      </c>
      <c r="C106" s="79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519</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92">
        <f>'2. LRAMVA Threshold'!Q43</f>
        <v>0</v>
      </c>
      <c r="D109" s="47"/>
      <c r="E109" s="47"/>
      <c r="F109" s="47"/>
      <c r="G109" s="47"/>
      <c r="H109" s="47"/>
      <c r="I109" s="47"/>
      <c r="J109" s="47"/>
      <c r="K109" s="47"/>
      <c r="L109" s="47"/>
      <c r="M109" s="47"/>
      <c r="N109" s="47"/>
      <c r="O109" s="71"/>
    </row>
    <row r="110" spans="1:15" s="18" customFormat="1" hidden="1" outlineLevel="1">
      <c r="A110" s="4"/>
      <c r="B110" s="538" t="s">
        <v>516</v>
      </c>
      <c r="C110" s="793"/>
      <c r="D110" s="47"/>
      <c r="E110" s="47"/>
      <c r="F110" s="47"/>
      <c r="G110" s="47"/>
      <c r="H110" s="47"/>
      <c r="I110" s="47"/>
      <c r="J110" s="47"/>
      <c r="K110" s="47"/>
      <c r="L110" s="47"/>
      <c r="M110" s="47"/>
      <c r="N110" s="47"/>
      <c r="O110" s="71"/>
    </row>
    <row r="111" spans="1:15" s="18" customFormat="1" hidden="1" outlineLevel="1">
      <c r="A111" s="4"/>
      <c r="B111" s="538" t="s">
        <v>517</v>
      </c>
      <c r="C111" s="793"/>
      <c r="D111" s="47"/>
      <c r="E111" s="47"/>
      <c r="F111" s="47"/>
      <c r="G111" s="47"/>
      <c r="H111" s="47"/>
      <c r="I111" s="47"/>
      <c r="J111" s="47"/>
      <c r="K111" s="47"/>
      <c r="L111" s="47"/>
      <c r="M111" s="47"/>
      <c r="N111" s="47"/>
      <c r="O111" s="71"/>
    </row>
    <row r="112" spans="1:15" s="18" customFormat="1" hidden="1" outlineLevel="1">
      <c r="A112" s="4"/>
      <c r="B112" s="538" t="s">
        <v>493</v>
      </c>
      <c r="C112" s="793"/>
      <c r="D112" s="47"/>
      <c r="E112" s="47"/>
      <c r="F112" s="47"/>
      <c r="G112" s="47"/>
      <c r="H112" s="47"/>
      <c r="I112" s="47"/>
      <c r="J112" s="47"/>
      <c r="K112" s="47"/>
      <c r="L112" s="47"/>
      <c r="M112" s="47"/>
      <c r="N112" s="47"/>
      <c r="O112" s="71"/>
    </row>
    <row r="113" spans="1:17" s="18" customFormat="1" collapsed="1">
      <c r="A113" s="4"/>
      <c r="B113" s="538" t="s">
        <v>518</v>
      </c>
      <c r="C113" s="79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519</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622</v>
      </c>
      <c r="C116" s="100"/>
      <c r="D116" s="501"/>
      <c r="E116" s="501"/>
      <c r="F116" s="501"/>
      <c r="G116" s="501"/>
      <c r="H116" s="501"/>
      <c r="I116" s="501"/>
      <c r="J116" s="501"/>
      <c r="K116" s="501"/>
      <c r="L116" s="501"/>
      <c r="M116" s="501"/>
      <c r="N116" s="501"/>
      <c r="O116" s="501"/>
    </row>
    <row r="119" spans="1:17" ht="15.75">
      <c r="B119" s="120" t="s">
        <v>487</v>
      </c>
      <c r="J119" s="18"/>
    </row>
    <row r="120" spans="1:17" s="14" customFormat="1" ht="55.5" customHeight="1">
      <c r="A120" s="74"/>
      <c r="B120" s="796" t="s">
        <v>624</v>
      </c>
      <c r="C120" s="796"/>
      <c r="D120" s="796"/>
      <c r="E120" s="796"/>
      <c r="F120" s="796"/>
      <c r="G120" s="796"/>
      <c r="H120" s="796"/>
      <c r="I120" s="796"/>
      <c r="J120" s="796"/>
      <c r="K120" s="796"/>
      <c r="L120" s="796"/>
      <c r="M120" s="796"/>
      <c r="N120" s="796"/>
      <c r="O120" s="796"/>
      <c r="P120" s="796"/>
    </row>
    <row r="121" spans="1:17" s="18" customFormat="1" ht="9" customHeight="1">
      <c r="A121" s="4"/>
      <c r="B121" s="120"/>
      <c r="C121" s="80"/>
    </row>
    <row r="122" spans="1:17" ht="63.75" customHeight="1">
      <c r="B122" s="246" t="s">
        <v>235</v>
      </c>
      <c r="C122" s="246" t="str">
        <f>'1.  LRAMVA Summary'!D50</f>
        <v>Residential</v>
      </c>
      <c r="D122" s="246" t="str">
        <f>'1.  LRAMVA Summary'!E50</f>
        <v>General Service &lt; 50 kW</v>
      </c>
      <c r="E122" s="246" t="str">
        <f>'1.  LRAMVA Summary'!F50</f>
        <v>General Service &gt; 50 to 4999 kW</v>
      </c>
      <c r="F122" s="246" t="str">
        <f>'1.  LRAMVA Summary'!G50</f>
        <v>Unmetered Scattered Load</v>
      </c>
      <c r="G122" s="246" t="str">
        <f>'1.  LRAMVA Summary'!H50</f>
        <v>Street Lighting</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kWh</v>
      </c>
      <c r="G123" s="588" t="str">
        <f>'1.  LRAMVA Summary'!H51</f>
        <v>kW</v>
      </c>
      <c r="H123" s="588">
        <f>'1.  LRAMVA Summary'!I51</f>
        <v>0</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0</v>
      </c>
      <c r="D124" s="684">
        <f>HLOOKUP(B124,$E$15:$O$114,16,FALSE)</f>
        <v>0</v>
      </c>
      <c r="E124" s="685">
        <f>HLOOKUP(B124,$E$15:$O$114,23,FALSE)</f>
        <v>0</v>
      </c>
      <c r="F124" s="684">
        <f>HLOOKUP(B124,$E$15:$O$114,30,FALSE)</f>
        <v>0</v>
      </c>
      <c r="G124" s="685">
        <f>HLOOKUP(B124,$E$15:$O$114,37,FALSE)</f>
        <v>0</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0</v>
      </c>
      <c r="D125" s="687">
        <f>HLOOKUP(B125,$E$15:$O$114,16,FALSE)</f>
        <v>0</v>
      </c>
      <c r="E125" s="688">
        <f>HLOOKUP(B125,$E$15:$O$114,23,FALSE)</f>
        <v>0</v>
      </c>
      <c r="F125" s="687">
        <f>HLOOKUP(B125,$E$15:$O$114,30,FALSE)</f>
        <v>0</v>
      </c>
      <c r="G125" s="688">
        <f>HLOOKUP(B125,$E$15:$O$114,37,FALSE)</f>
        <v>0</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1.2699999999999999E-2</v>
      </c>
      <c r="D126" s="687">
        <f t="shared" ref="D126:D133" si="32">HLOOKUP(B126,$E$15:$O$114,16,FALSE)</f>
        <v>1.67E-2</v>
      </c>
      <c r="E126" s="688">
        <f t="shared" ref="E126:E133" si="33">HLOOKUP(B126,$E$15:$O$114,23,FALSE)</f>
        <v>4.5228000000000002</v>
      </c>
      <c r="F126" s="687">
        <f t="shared" ref="F126:F133" si="34">HLOOKUP(B126,$E$15:$O$114,30,FALSE)</f>
        <v>1.04E-2</v>
      </c>
      <c r="G126" s="688">
        <f t="shared" ref="G126:G132" si="35">HLOOKUP(B126,$E$15:$O$114,37,FALSE)</f>
        <v>6.4833999999999996</v>
      </c>
      <c r="H126" s="687">
        <f t="shared" ref="H126:H133" si="36">HLOOKUP(B126,$E$15:$O$114,44,FALSE)</f>
        <v>0</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1.2699999999999999E-2</v>
      </c>
      <c r="D127" s="687">
        <f>HLOOKUP(B127,$E$15:$O$114,16,FALSE)</f>
        <v>1.67E-2</v>
      </c>
      <c r="E127" s="688">
        <f>HLOOKUP(B127,$E$15:$O$114,23,FALSE)</f>
        <v>4.5228000000000002</v>
      </c>
      <c r="F127" s="687">
        <f>HLOOKUP(B127,$E$15:$O$114,30,FALSE)</f>
        <v>1.04E-2</v>
      </c>
      <c r="G127" s="688">
        <f>HLOOKUP(B127,$E$15:$O$114,37,FALSE)</f>
        <v>6.4833999999999996</v>
      </c>
      <c r="H127" s="687">
        <f>HLOOKUP(B127,$E$15:$O$114,44,FALSE)</f>
        <v>0</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1.3599999999999999E-2</v>
      </c>
      <c r="D128" s="687">
        <f t="shared" si="32"/>
        <v>1.4E-2</v>
      </c>
      <c r="E128" s="688">
        <f t="shared" si="33"/>
        <v>3.5066000000000002</v>
      </c>
      <c r="F128" s="687">
        <f t="shared" si="34"/>
        <v>5.1999999999999998E-3</v>
      </c>
      <c r="G128" s="688">
        <f t="shared" si="35"/>
        <v>7.6727999999999996</v>
      </c>
      <c r="H128" s="687">
        <f t="shared" si="36"/>
        <v>0</v>
      </c>
      <c r="I128" s="688">
        <f t="shared" si="37"/>
        <v>0</v>
      </c>
      <c r="J128" s="688">
        <f t="shared" si="38"/>
        <v>0</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1.38E-2</v>
      </c>
      <c r="D129" s="687">
        <f t="shared" si="32"/>
        <v>1.4200000000000001E-2</v>
      </c>
      <c r="E129" s="688">
        <f t="shared" si="33"/>
        <v>3.5573999999999999</v>
      </c>
      <c r="F129" s="687">
        <f t="shared" si="34"/>
        <v>5.3E-3</v>
      </c>
      <c r="G129" s="688">
        <f t="shared" si="35"/>
        <v>7.7840999999999996</v>
      </c>
      <c r="H129" s="687">
        <f t="shared" si="36"/>
        <v>0</v>
      </c>
      <c r="I129" s="688">
        <f t="shared" si="37"/>
        <v>0</v>
      </c>
      <c r="J129" s="688">
        <f t="shared" si="38"/>
        <v>0</v>
      </c>
      <c r="K129" s="688">
        <f t="shared" si="39"/>
        <v>0</v>
      </c>
      <c r="L129" s="688">
        <f t="shared" si="43"/>
        <v>0</v>
      </c>
      <c r="M129" s="688">
        <f t="shared" si="40"/>
        <v>0</v>
      </c>
      <c r="N129" s="688">
        <f t="shared" si="41"/>
        <v>0</v>
      </c>
      <c r="O129" s="688">
        <f t="shared" si="42"/>
        <v>0</v>
      </c>
      <c r="P129" s="688">
        <f t="shared" si="31"/>
        <v>0</v>
      </c>
    </row>
    <row r="130" spans="2:16" hidden="1">
      <c r="B130" s="503">
        <v>2017</v>
      </c>
      <c r="C130" s="686">
        <f>HLOOKUP(B130,$E$15:$O$114,9,FALSE)</f>
        <v>1.06E-2</v>
      </c>
      <c r="D130" s="687">
        <f t="shared" si="32"/>
        <v>1.4500000000000001E-2</v>
      </c>
      <c r="E130" s="688">
        <f t="shared" si="33"/>
        <v>3.6267999999999998</v>
      </c>
      <c r="F130" s="687">
        <f t="shared" si="34"/>
        <v>5.4000000000000003E-3</v>
      </c>
      <c r="G130" s="688">
        <f t="shared" si="35"/>
        <v>7.9359000000000002</v>
      </c>
      <c r="H130" s="687">
        <f t="shared" si="36"/>
        <v>0</v>
      </c>
      <c r="I130" s="688">
        <f t="shared" si="37"/>
        <v>0</v>
      </c>
      <c r="J130" s="688">
        <f t="shared" si="38"/>
        <v>0</v>
      </c>
      <c r="K130" s="688">
        <f t="shared" si="39"/>
        <v>0</v>
      </c>
      <c r="L130" s="688">
        <f t="shared" si="43"/>
        <v>0</v>
      </c>
      <c r="M130" s="688">
        <f t="shared" si="40"/>
        <v>0</v>
      </c>
      <c r="N130" s="688">
        <f t="shared" si="41"/>
        <v>0</v>
      </c>
      <c r="O130" s="688">
        <f t="shared" si="42"/>
        <v>0</v>
      </c>
      <c r="P130" s="688">
        <f t="shared" si="31"/>
        <v>0</v>
      </c>
    </row>
    <row r="131" spans="2:16" hidden="1">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hidden="1">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hidden="1">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641</v>
      </c>
      <c r="C134" s="600"/>
      <c r="D134" s="601"/>
      <c r="E134" s="602"/>
      <c r="F134" s="601"/>
      <c r="G134" s="601"/>
      <c r="H134" s="601"/>
      <c r="I134" s="601"/>
      <c r="J134" s="601"/>
      <c r="K134" s="601"/>
      <c r="L134" s="601"/>
      <c r="M134" s="601"/>
      <c r="N134" s="601"/>
      <c r="O134" s="601"/>
      <c r="P134" s="601"/>
    </row>
    <row r="136" spans="2:16">
      <c r="B136" s="594" t="s">
        <v>531</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K26" sqref="K26"/>
    </sheetView>
  </sheetViews>
  <sheetFormatPr defaultRowHeight="15"/>
  <cols>
    <col min="1" max="16384" width="9.140625" style="12"/>
  </cols>
  <sheetData>
    <row r="14" spans="2:24" ht="15.75">
      <c r="B14" s="590" t="s">
        <v>509</v>
      </c>
    </row>
    <row r="15" spans="2:24" ht="15.75">
      <c r="B15" s="590"/>
    </row>
    <row r="16" spans="2:24" s="670" customFormat="1" ht="28.5" customHeight="1">
      <c r="B16" s="802" t="s">
        <v>646</v>
      </c>
      <c r="C16" s="802"/>
      <c r="D16" s="802"/>
      <c r="E16" s="802"/>
      <c r="F16" s="802"/>
      <c r="G16" s="802"/>
      <c r="H16" s="802"/>
      <c r="I16" s="802"/>
      <c r="J16" s="802"/>
      <c r="K16" s="802"/>
      <c r="L16" s="802"/>
      <c r="M16" s="802"/>
      <c r="N16" s="802"/>
      <c r="O16" s="802"/>
      <c r="P16" s="802"/>
      <c r="Q16" s="802"/>
      <c r="R16" s="802"/>
      <c r="S16" s="802"/>
      <c r="T16" s="802"/>
      <c r="U16" s="802"/>
      <c r="V16" s="802"/>
      <c r="W16" s="802"/>
      <c r="X16" s="80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78" zoomScale="70" zoomScaleNormal="70" zoomScaleSheetLayoutView="80" zoomScalePageLayoutView="85" workbookViewId="0">
      <selection activeCell="Y516" sqref="Y516"/>
    </sheetView>
  </sheetViews>
  <sheetFormatPr defaultRowHeight="14.25" outlineLevelRow="1" outlineLevelCol="1"/>
  <cols>
    <col min="1" max="1" width="4.7109375" style="511" customWidth="1"/>
    <col min="2" max="2" width="43.7109375" style="256" customWidth="1"/>
    <col min="3" max="3" width="14" style="256" customWidth="1"/>
    <col min="4" max="4" width="18.140625" style="255" customWidth="1"/>
    <col min="5" max="8" width="10.42578125" style="255" customWidth="1" outlineLevel="1"/>
    <col min="9"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03"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0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0" t="s">
        <v>556</v>
      </c>
      <c r="D5" s="80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03" t="s">
        <v>509</v>
      </c>
      <c r="C7" s="804" t="s">
        <v>644</v>
      </c>
      <c r="D7" s="804"/>
      <c r="E7" s="804"/>
      <c r="F7" s="804"/>
      <c r="G7" s="804"/>
      <c r="H7" s="804"/>
      <c r="I7" s="804"/>
      <c r="J7" s="804"/>
      <c r="K7" s="804"/>
      <c r="L7" s="804"/>
      <c r="M7" s="804"/>
      <c r="N7" s="804"/>
      <c r="O7" s="804"/>
      <c r="P7" s="804"/>
      <c r="Q7" s="804"/>
      <c r="R7" s="804"/>
      <c r="S7" s="804"/>
      <c r="T7" s="804"/>
      <c r="U7" s="804"/>
      <c r="V7" s="804"/>
      <c r="W7" s="804"/>
      <c r="X7" s="804"/>
      <c r="Y7" s="608"/>
      <c r="Z7" s="608"/>
      <c r="AA7" s="608"/>
      <c r="AB7" s="608"/>
      <c r="AC7" s="608"/>
      <c r="AD7" s="608"/>
      <c r="AE7" s="272"/>
      <c r="AF7" s="272"/>
      <c r="AG7" s="272"/>
      <c r="AH7" s="272"/>
      <c r="AI7" s="272"/>
      <c r="AJ7" s="272"/>
      <c r="AK7" s="272"/>
      <c r="AL7" s="272"/>
    </row>
    <row r="8" spans="1:39" s="273" customFormat="1" ht="58.5" customHeight="1">
      <c r="A8" s="511"/>
      <c r="B8" s="803"/>
      <c r="C8" s="804" t="s">
        <v>578</v>
      </c>
      <c r="D8" s="804"/>
      <c r="E8" s="804"/>
      <c r="F8" s="804"/>
      <c r="G8" s="804"/>
      <c r="H8" s="804"/>
      <c r="I8" s="804"/>
      <c r="J8" s="804"/>
      <c r="K8" s="804"/>
      <c r="L8" s="804"/>
      <c r="M8" s="804"/>
      <c r="N8" s="804"/>
      <c r="O8" s="804"/>
      <c r="P8" s="804"/>
      <c r="Q8" s="804"/>
      <c r="R8" s="804"/>
      <c r="S8" s="804"/>
      <c r="T8" s="804"/>
      <c r="U8" s="804"/>
      <c r="V8" s="804"/>
      <c r="W8" s="804"/>
      <c r="X8" s="804"/>
      <c r="Y8" s="608"/>
      <c r="Z8" s="608"/>
      <c r="AA8" s="608"/>
      <c r="AB8" s="608"/>
      <c r="AC8" s="608"/>
      <c r="AD8" s="608"/>
      <c r="AE8" s="274"/>
      <c r="AF8" s="257"/>
      <c r="AG8" s="257"/>
      <c r="AH8" s="257"/>
      <c r="AI8" s="257"/>
      <c r="AJ8" s="257"/>
      <c r="AK8" s="257"/>
      <c r="AL8" s="257"/>
      <c r="AM8" s="258"/>
    </row>
    <row r="9" spans="1:39" s="273" customFormat="1" ht="57.75" customHeight="1">
      <c r="A9" s="511"/>
      <c r="B9" s="275"/>
      <c r="C9" s="804" t="s">
        <v>577</v>
      </c>
      <c r="D9" s="804"/>
      <c r="E9" s="804"/>
      <c r="F9" s="804"/>
      <c r="G9" s="804"/>
      <c r="H9" s="804"/>
      <c r="I9" s="804"/>
      <c r="J9" s="804"/>
      <c r="K9" s="804"/>
      <c r="L9" s="804"/>
      <c r="M9" s="804"/>
      <c r="N9" s="804"/>
      <c r="O9" s="804"/>
      <c r="P9" s="804"/>
      <c r="Q9" s="804"/>
      <c r="R9" s="804"/>
      <c r="S9" s="804"/>
      <c r="T9" s="804"/>
      <c r="U9" s="804"/>
      <c r="V9" s="804"/>
      <c r="W9" s="804"/>
      <c r="X9" s="804"/>
      <c r="Y9" s="608"/>
      <c r="Z9" s="608"/>
      <c r="AA9" s="608"/>
      <c r="AB9" s="608"/>
      <c r="AC9" s="608"/>
      <c r="AD9" s="608"/>
      <c r="AE9" s="274"/>
      <c r="AF9" s="257"/>
      <c r="AG9" s="257"/>
      <c r="AH9" s="257"/>
      <c r="AI9" s="257"/>
      <c r="AJ9" s="257"/>
      <c r="AK9" s="257"/>
      <c r="AL9" s="257"/>
      <c r="AM9" s="258"/>
    </row>
    <row r="10" spans="1:39" ht="41.25" customHeight="1">
      <c r="B10" s="277"/>
      <c r="C10" s="804" t="s">
        <v>647</v>
      </c>
      <c r="D10" s="804"/>
      <c r="E10" s="804"/>
      <c r="F10" s="804"/>
      <c r="G10" s="804"/>
      <c r="H10" s="804"/>
      <c r="I10" s="804"/>
      <c r="J10" s="804"/>
      <c r="K10" s="804"/>
      <c r="L10" s="804"/>
      <c r="M10" s="804"/>
      <c r="N10" s="804"/>
      <c r="O10" s="804"/>
      <c r="P10" s="804"/>
      <c r="Q10" s="804"/>
      <c r="R10" s="804"/>
      <c r="S10" s="804"/>
      <c r="T10" s="804"/>
      <c r="U10" s="804"/>
      <c r="V10" s="804"/>
      <c r="W10" s="804"/>
      <c r="X10" s="804"/>
      <c r="Y10" s="608"/>
      <c r="Z10" s="608"/>
      <c r="AA10" s="608"/>
      <c r="AB10" s="608"/>
      <c r="AC10" s="608"/>
      <c r="AD10" s="608"/>
      <c r="AE10" s="274"/>
      <c r="AF10" s="278"/>
      <c r="AG10" s="278"/>
      <c r="AH10" s="278"/>
      <c r="AI10" s="278"/>
      <c r="AJ10" s="278"/>
      <c r="AK10" s="278"/>
      <c r="AL10" s="278"/>
    </row>
    <row r="11" spans="1:39" ht="53.25" customHeight="1">
      <c r="C11" s="804" t="s">
        <v>630</v>
      </c>
      <c r="D11" s="804"/>
      <c r="E11" s="804"/>
      <c r="F11" s="804"/>
      <c r="G11" s="804"/>
      <c r="H11" s="804"/>
      <c r="I11" s="804"/>
      <c r="J11" s="804"/>
      <c r="K11" s="804"/>
      <c r="L11" s="804"/>
      <c r="M11" s="804"/>
      <c r="N11" s="804"/>
      <c r="O11" s="804"/>
      <c r="P11" s="804"/>
      <c r="Q11" s="804"/>
      <c r="R11" s="804"/>
      <c r="S11" s="804"/>
      <c r="T11" s="804"/>
      <c r="U11" s="804"/>
      <c r="V11" s="804"/>
      <c r="W11" s="804"/>
      <c r="X11" s="804"/>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03" t="s">
        <v>532</v>
      </c>
      <c r="C13" s="593" t="s">
        <v>527</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03"/>
      <c r="C14" s="593" t="s">
        <v>528</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529</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530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5" t="s">
        <v>212</v>
      </c>
      <c r="C19" s="807" t="s">
        <v>33</v>
      </c>
      <c r="D19" s="286" t="s">
        <v>425</v>
      </c>
      <c r="E19" s="809" t="s">
        <v>210</v>
      </c>
      <c r="F19" s="810"/>
      <c r="G19" s="810"/>
      <c r="H19" s="810"/>
      <c r="I19" s="810"/>
      <c r="J19" s="810"/>
      <c r="K19" s="810"/>
      <c r="L19" s="810"/>
      <c r="M19" s="811"/>
      <c r="N19" s="815" t="s">
        <v>214</v>
      </c>
      <c r="O19" s="286" t="s">
        <v>426</v>
      </c>
      <c r="P19" s="809" t="s">
        <v>213</v>
      </c>
      <c r="Q19" s="810"/>
      <c r="R19" s="810"/>
      <c r="S19" s="810"/>
      <c r="T19" s="810"/>
      <c r="U19" s="810"/>
      <c r="V19" s="810"/>
      <c r="W19" s="810"/>
      <c r="X19" s="811"/>
      <c r="Y19" s="812" t="s">
        <v>245</v>
      </c>
      <c r="Z19" s="813"/>
      <c r="AA19" s="813"/>
      <c r="AB19" s="813"/>
      <c r="AC19" s="813"/>
      <c r="AD19" s="813"/>
      <c r="AE19" s="813"/>
      <c r="AF19" s="813"/>
      <c r="AG19" s="813"/>
      <c r="AH19" s="813"/>
      <c r="AI19" s="813"/>
      <c r="AJ19" s="813"/>
      <c r="AK19" s="813"/>
      <c r="AL19" s="813"/>
      <c r="AM19" s="814"/>
    </row>
    <row r="20" spans="1:39" s="285" customFormat="1" ht="59.25" customHeight="1">
      <c r="A20" s="511"/>
      <c r="B20" s="806"/>
      <c r="C20" s="808"/>
      <c r="D20" s="287">
        <v>2011</v>
      </c>
      <c r="E20" s="287">
        <v>2012</v>
      </c>
      <c r="F20" s="287">
        <v>2013</v>
      </c>
      <c r="G20" s="287">
        <v>2014</v>
      </c>
      <c r="H20" s="287">
        <v>2015</v>
      </c>
      <c r="I20" s="287">
        <v>2016</v>
      </c>
      <c r="J20" s="287">
        <v>2017</v>
      </c>
      <c r="K20" s="287">
        <v>2018</v>
      </c>
      <c r="L20" s="287">
        <v>2019</v>
      </c>
      <c r="M20" s="287">
        <v>2020</v>
      </c>
      <c r="N20" s="816"/>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 50 kW</v>
      </c>
      <c r="AA20" s="288" t="str">
        <f>'1.  LRAMVA Summary'!F50</f>
        <v>General Service &gt; 50 to 4999 kW</v>
      </c>
      <c r="AB20" s="288" t="str">
        <f>'1.  LRAMVA Summary'!G50</f>
        <v>Unmetered Scattered Load</v>
      </c>
      <c r="AC20" s="288" t="str">
        <f>'1.  LRAMVA Summary'!H50</f>
        <v>Street Lighting</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kWh</v>
      </c>
      <c r="AC21" s="293" t="str">
        <f>'1.  LRAMVA Summary'!H51</f>
        <v>kW</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outlineLevel="1">
      <c r="A29" s="511"/>
      <c r="B29" s="296" t="s">
        <v>215</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outlineLevel="1">
      <c r="A32" s="511"/>
      <c r="B32" s="296" t="s">
        <v>215</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outlineLevel="1">
      <c r="A35" s="511"/>
      <c r="B35" s="296" t="s">
        <v>215</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491</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596</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2" t="s">
        <v>531</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5" t="s">
        <v>212</v>
      </c>
      <c r="C147" s="807" t="s">
        <v>33</v>
      </c>
      <c r="D147" s="286" t="s">
        <v>425</v>
      </c>
      <c r="E147" s="809" t="s">
        <v>210</v>
      </c>
      <c r="F147" s="810"/>
      <c r="G147" s="810"/>
      <c r="H147" s="810"/>
      <c r="I147" s="810"/>
      <c r="J147" s="810"/>
      <c r="K147" s="810"/>
      <c r="L147" s="810"/>
      <c r="M147" s="811"/>
      <c r="N147" s="815" t="s">
        <v>214</v>
      </c>
      <c r="O147" s="286" t="s">
        <v>426</v>
      </c>
      <c r="P147" s="809" t="s">
        <v>213</v>
      </c>
      <c r="Q147" s="810"/>
      <c r="R147" s="810"/>
      <c r="S147" s="810"/>
      <c r="T147" s="810"/>
      <c r="U147" s="810"/>
      <c r="V147" s="810"/>
      <c r="W147" s="810"/>
      <c r="X147" s="811"/>
      <c r="Y147" s="812" t="s">
        <v>245</v>
      </c>
      <c r="Z147" s="813"/>
      <c r="AA147" s="813"/>
      <c r="AB147" s="813"/>
      <c r="AC147" s="813"/>
      <c r="AD147" s="813"/>
      <c r="AE147" s="813"/>
      <c r="AF147" s="813"/>
      <c r="AG147" s="813"/>
      <c r="AH147" s="813"/>
      <c r="AI147" s="813"/>
      <c r="AJ147" s="813"/>
      <c r="AK147" s="813"/>
      <c r="AL147" s="813"/>
      <c r="AM147" s="814"/>
    </row>
    <row r="148" spans="1:39" ht="60.75" customHeight="1">
      <c r="B148" s="806"/>
      <c r="C148" s="808"/>
      <c r="D148" s="287">
        <v>2012</v>
      </c>
      <c r="E148" s="287">
        <v>2013</v>
      </c>
      <c r="F148" s="287">
        <v>2014</v>
      </c>
      <c r="G148" s="287">
        <v>2015</v>
      </c>
      <c r="H148" s="287">
        <v>2016</v>
      </c>
      <c r="I148" s="287">
        <v>2017</v>
      </c>
      <c r="J148" s="287">
        <v>2018</v>
      </c>
      <c r="K148" s="287">
        <v>2019</v>
      </c>
      <c r="L148" s="287">
        <v>2020</v>
      </c>
      <c r="M148" s="287">
        <v>2021</v>
      </c>
      <c r="N148" s="816"/>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 50 kW</v>
      </c>
      <c r="AA148" s="287" t="str">
        <f>'1.  LRAMVA Summary'!F50</f>
        <v>General Service &gt; 50 to 4999 kW</v>
      </c>
      <c r="AB148" s="287" t="str">
        <f>'1.  LRAMVA Summary'!G50</f>
        <v>Unmetered Scattered Load</v>
      </c>
      <c r="AC148" s="287" t="str">
        <f>'1.  LRAMVA Summary'!H50</f>
        <v>Street Lighting</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kWh</v>
      </c>
      <c r="AC149" s="293" t="str">
        <f>'1.  LRAMVA Summary'!H51</f>
        <v>kW</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c r="E150" s="297"/>
      <c r="F150" s="297"/>
      <c r="G150" s="297"/>
      <c r="H150" s="297"/>
      <c r="I150" s="297"/>
      <c r="J150" s="297"/>
      <c r="K150" s="297"/>
      <c r="L150" s="297"/>
      <c r="M150" s="297"/>
      <c r="N150" s="293"/>
      <c r="O150" s="297"/>
      <c r="P150" s="297"/>
      <c r="Q150" s="297"/>
      <c r="R150" s="297"/>
      <c r="S150" s="297"/>
      <c r="T150" s="297"/>
      <c r="U150" s="297"/>
      <c r="V150" s="297"/>
      <c r="W150" s="297"/>
      <c r="X150" s="297"/>
      <c r="Y150" s="412"/>
      <c r="Z150" s="412"/>
      <c r="AA150" s="412"/>
      <c r="AB150" s="412"/>
      <c r="AC150" s="412"/>
      <c r="AD150" s="412"/>
      <c r="AE150" s="412"/>
      <c r="AF150" s="412"/>
      <c r="AG150" s="412"/>
      <c r="AH150" s="412"/>
      <c r="AI150" s="412"/>
      <c r="AJ150" s="412"/>
      <c r="AK150" s="412"/>
      <c r="AL150" s="412"/>
      <c r="AM150" s="298">
        <f>SUM(Y150:AL150)</f>
        <v>0</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0</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c r="E153" s="297"/>
      <c r="F153" s="297"/>
      <c r="G153" s="297"/>
      <c r="H153" s="297"/>
      <c r="I153" s="297"/>
      <c r="J153" s="297"/>
      <c r="K153" s="297"/>
      <c r="L153" s="297"/>
      <c r="M153" s="297"/>
      <c r="N153" s="293"/>
      <c r="O153" s="297"/>
      <c r="P153" s="297"/>
      <c r="Q153" s="297"/>
      <c r="R153" s="297"/>
      <c r="S153" s="297"/>
      <c r="T153" s="297"/>
      <c r="U153" s="297"/>
      <c r="V153" s="297"/>
      <c r="W153" s="297"/>
      <c r="X153" s="297"/>
      <c r="Y153" s="412"/>
      <c r="Z153" s="412"/>
      <c r="AA153" s="412"/>
      <c r="AB153" s="412"/>
      <c r="AC153" s="412"/>
      <c r="AD153" s="412"/>
      <c r="AE153" s="412"/>
      <c r="AF153" s="412"/>
      <c r="AG153" s="412"/>
      <c r="AH153" s="412"/>
      <c r="AI153" s="412"/>
      <c r="AJ153" s="412"/>
      <c r="AK153" s="412"/>
      <c r="AL153" s="412"/>
      <c r="AM153" s="298">
        <f>SUM(Y153:AL153)</f>
        <v>0</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0</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c r="E156" s="297"/>
      <c r="F156" s="297"/>
      <c r="G156" s="297"/>
      <c r="H156" s="297"/>
      <c r="I156" s="297"/>
      <c r="J156" s="297"/>
      <c r="K156" s="297"/>
      <c r="L156" s="297"/>
      <c r="M156" s="297"/>
      <c r="N156" s="293"/>
      <c r="O156" s="297"/>
      <c r="P156" s="297"/>
      <c r="Q156" s="297"/>
      <c r="R156" s="297"/>
      <c r="S156" s="297"/>
      <c r="T156" s="297"/>
      <c r="U156" s="297"/>
      <c r="V156" s="297"/>
      <c r="W156" s="297"/>
      <c r="X156" s="297"/>
      <c r="Y156" s="412"/>
      <c r="Z156" s="412"/>
      <c r="AA156" s="412"/>
      <c r="AB156" s="412"/>
      <c r="AC156" s="412"/>
      <c r="AD156" s="412"/>
      <c r="AE156" s="412"/>
      <c r="AF156" s="412"/>
      <c r="AG156" s="412"/>
      <c r="AH156" s="412"/>
      <c r="AI156" s="412"/>
      <c r="AJ156" s="412"/>
      <c r="AK156" s="412"/>
      <c r="AL156" s="412"/>
      <c r="AM156" s="298">
        <f>SUM(Y156:AL156)</f>
        <v>0</v>
      </c>
    </row>
    <row r="157" spans="1:39" ht="15" outlineLevel="1">
      <c r="B157" s="296" t="s">
        <v>246</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0</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c r="E159" s="297"/>
      <c r="F159" s="297"/>
      <c r="G159" s="297"/>
      <c r="H159" s="297"/>
      <c r="I159" s="297"/>
      <c r="J159" s="297"/>
      <c r="K159" s="297"/>
      <c r="L159" s="297"/>
      <c r="M159" s="297"/>
      <c r="N159" s="293"/>
      <c r="O159" s="297"/>
      <c r="P159" s="297"/>
      <c r="Q159" s="297"/>
      <c r="R159" s="297"/>
      <c r="S159" s="297"/>
      <c r="T159" s="297"/>
      <c r="U159" s="297"/>
      <c r="V159" s="297"/>
      <c r="W159" s="297"/>
      <c r="X159" s="297"/>
      <c r="Y159" s="412"/>
      <c r="Z159" s="412"/>
      <c r="AA159" s="412"/>
      <c r="AB159" s="412"/>
      <c r="AC159" s="412"/>
      <c r="AD159" s="412"/>
      <c r="AE159" s="412"/>
      <c r="AF159" s="412"/>
      <c r="AG159" s="412"/>
      <c r="AH159" s="412"/>
      <c r="AI159" s="412"/>
      <c r="AJ159" s="412"/>
      <c r="AK159" s="412"/>
      <c r="AL159" s="412"/>
      <c r="AM159" s="298">
        <f>SUM(Y159:AL159)</f>
        <v>0</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0</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c r="E162" s="297"/>
      <c r="F162" s="297"/>
      <c r="G162" s="297"/>
      <c r="H162" s="297"/>
      <c r="I162" s="297"/>
      <c r="J162" s="297"/>
      <c r="K162" s="297"/>
      <c r="L162" s="297"/>
      <c r="M162" s="297"/>
      <c r="N162" s="293"/>
      <c r="O162" s="297"/>
      <c r="P162" s="297"/>
      <c r="Q162" s="297"/>
      <c r="R162" s="297"/>
      <c r="S162" s="297"/>
      <c r="T162" s="297"/>
      <c r="U162" s="297"/>
      <c r="V162" s="297"/>
      <c r="W162" s="297"/>
      <c r="X162" s="297"/>
      <c r="Y162" s="412"/>
      <c r="Z162" s="412"/>
      <c r="AA162" s="412"/>
      <c r="AB162" s="412"/>
      <c r="AC162" s="412"/>
      <c r="AD162" s="412"/>
      <c r="AE162" s="412"/>
      <c r="AF162" s="412"/>
      <c r="AG162" s="412"/>
      <c r="AH162" s="412"/>
      <c r="AI162" s="412"/>
      <c r="AJ162" s="412"/>
      <c r="AK162" s="412"/>
      <c r="AL162" s="412"/>
      <c r="AM162" s="298">
        <f>SUM(Y162:AL162)</f>
        <v>0</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0</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outlineLevel="1">
      <c r="B179" s="296" t="s">
        <v>246</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c r="E181" s="297"/>
      <c r="F181" s="297"/>
      <c r="G181" s="297"/>
      <c r="H181" s="297"/>
      <c r="I181" s="297"/>
      <c r="J181" s="297"/>
      <c r="K181" s="297"/>
      <c r="L181" s="297"/>
      <c r="M181" s="297"/>
      <c r="N181" s="297">
        <v>12</v>
      </c>
      <c r="O181" s="297"/>
      <c r="P181" s="297"/>
      <c r="Q181" s="297"/>
      <c r="R181" s="297"/>
      <c r="S181" s="297"/>
      <c r="T181" s="297"/>
      <c r="U181" s="297"/>
      <c r="V181" s="297"/>
      <c r="W181" s="297"/>
      <c r="X181" s="297"/>
      <c r="Y181" s="417"/>
      <c r="Z181" s="471"/>
      <c r="AA181" s="417"/>
      <c r="AB181" s="417"/>
      <c r="AC181" s="417"/>
      <c r="AD181" s="417"/>
      <c r="AE181" s="417"/>
      <c r="AF181" s="417"/>
      <c r="AG181" s="417"/>
      <c r="AH181" s="417"/>
      <c r="AI181" s="417"/>
      <c r="AJ181" s="417"/>
      <c r="AK181" s="417"/>
      <c r="AL181" s="417"/>
      <c r="AM181" s="298">
        <f>SUM(Y181:AL181)</f>
        <v>0</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0</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246</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491</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247</v>
      </c>
      <c r="C255" s="331"/>
      <c r="D255" s="331">
        <f>SUM(D150:D253)</f>
        <v>0</v>
      </c>
      <c r="E255" s="331"/>
      <c r="F255" s="331"/>
      <c r="G255" s="331"/>
      <c r="H255" s="331"/>
      <c r="I255" s="331"/>
      <c r="J255" s="331"/>
      <c r="K255" s="331"/>
      <c r="L255" s="331"/>
      <c r="M255" s="331"/>
      <c r="N255" s="331"/>
      <c r="O255" s="331">
        <f>SUM(O150:O253)</f>
        <v>0</v>
      </c>
      <c r="P255" s="331"/>
      <c r="Q255" s="331"/>
      <c r="R255" s="331"/>
      <c r="S255" s="331"/>
      <c r="T255" s="331"/>
      <c r="U255" s="331"/>
      <c r="V255" s="331"/>
      <c r="W255" s="331"/>
      <c r="X255" s="331"/>
      <c r="Y255" s="331">
        <f>IF(Y149="kWh",SUMPRODUCT(D150:D253,Y150:Y253))</f>
        <v>0</v>
      </c>
      <c r="Z255" s="331">
        <f>IF(Z149="kWh",SUMPRODUCT(D150:D253,Z150:Z253))</f>
        <v>0</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0</v>
      </c>
    </row>
    <row r="261" spans="1:41" s="382" customFormat="1" ht="15.75">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75">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596</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4" t="s">
        <v>531</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5" t="s">
        <v>212</v>
      </c>
      <c r="C276" s="807" t="s">
        <v>33</v>
      </c>
      <c r="D276" s="286" t="s">
        <v>425</v>
      </c>
      <c r="E276" s="809" t="s">
        <v>210</v>
      </c>
      <c r="F276" s="810"/>
      <c r="G276" s="810"/>
      <c r="H276" s="810"/>
      <c r="I276" s="810"/>
      <c r="J276" s="810"/>
      <c r="K276" s="810"/>
      <c r="L276" s="810"/>
      <c r="M276" s="811"/>
      <c r="N276" s="815" t="s">
        <v>214</v>
      </c>
      <c r="O276" s="286" t="s">
        <v>426</v>
      </c>
      <c r="P276" s="809" t="s">
        <v>213</v>
      </c>
      <c r="Q276" s="810"/>
      <c r="R276" s="810"/>
      <c r="S276" s="810"/>
      <c r="T276" s="810"/>
      <c r="U276" s="810"/>
      <c r="V276" s="810"/>
      <c r="W276" s="810"/>
      <c r="X276" s="811"/>
      <c r="Y276" s="812" t="s">
        <v>245</v>
      </c>
      <c r="Z276" s="813"/>
      <c r="AA276" s="813"/>
      <c r="AB276" s="813"/>
      <c r="AC276" s="813"/>
      <c r="AD276" s="813"/>
      <c r="AE276" s="813"/>
      <c r="AF276" s="813"/>
      <c r="AG276" s="813"/>
      <c r="AH276" s="813"/>
      <c r="AI276" s="813"/>
      <c r="AJ276" s="813"/>
      <c r="AK276" s="813"/>
      <c r="AL276" s="813"/>
      <c r="AM276" s="814"/>
    </row>
    <row r="277" spans="1:39" ht="60.75" customHeight="1">
      <c r="B277" s="806"/>
      <c r="C277" s="808"/>
      <c r="D277" s="287">
        <v>2013</v>
      </c>
      <c r="E277" s="287">
        <v>2014</v>
      </c>
      <c r="F277" s="287">
        <v>2015</v>
      </c>
      <c r="G277" s="287">
        <v>2016</v>
      </c>
      <c r="H277" s="287">
        <v>2017</v>
      </c>
      <c r="I277" s="287">
        <v>2018</v>
      </c>
      <c r="J277" s="287">
        <v>2019</v>
      </c>
      <c r="K277" s="287">
        <v>2020</v>
      </c>
      <c r="L277" s="287">
        <v>2021</v>
      </c>
      <c r="M277" s="287">
        <v>2022</v>
      </c>
      <c r="N277" s="816"/>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 50 kW</v>
      </c>
      <c r="AA277" s="287" t="str">
        <f>'1.  LRAMVA Summary'!F50</f>
        <v>General Service &gt; 50 to 4999 kW</v>
      </c>
      <c r="AB277" s="287" t="str">
        <f>'1.  LRAMVA Summary'!G50</f>
        <v>Unmetered Scattered Load</v>
      </c>
      <c r="AC277" s="287" t="str">
        <f>'1.  LRAMVA Summary'!H50</f>
        <v>Street Lighting</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kWh</v>
      </c>
      <c r="AC278" s="293" t="str">
        <f>'1.  LRAMVA Summary'!H51</f>
        <v>kW</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c r="E279" s="297"/>
      <c r="F279" s="297"/>
      <c r="G279" s="297"/>
      <c r="H279" s="297"/>
      <c r="I279" s="297"/>
      <c r="J279" s="297"/>
      <c r="K279" s="297"/>
      <c r="L279" s="297"/>
      <c r="M279" s="297"/>
      <c r="N279" s="293"/>
      <c r="O279" s="297"/>
      <c r="P279" s="297"/>
      <c r="Q279" s="297"/>
      <c r="R279" s="297"/>
      <c r="S279" s="297"/>
      <c r="T279" s="297"/>
      <c r="U279" s="297"/>
      <c r="V279" s="297"/>
      <c r="W279" s="297"/>
      <c r="X279" s="297"/>
      <c r="Y279" s="412"/>
      <c r="Z279" s="412"/>
      <c r="AA279" s="412"/>
      <c r="AB279" s="412"/>
      <c r="AC279" s="412"/>
      <c r="AD279" s="412"/>
      <c r="AE279" s="412"/>
      <c r="AF279" s="412"/>
      <c r="AG279" s="412"/>
      <c r="AH279" s="412"/>
      <c r="AI279" s="412"/>
      <c r="AJ279" s="412"/>
      <c r="AK279" s="412"/>
      <c r="AL279" s="412"/>
      <c r="AM279" s="298">
        <f>SUM(Y279:AL279)</f>
        <v>0</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0</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c r="E282" s="297"/>
      <c r="F282" s="297"/>
      <c r="G282" s="297"/>
      <c r="H282" s="297"/>
      <c r="I282" s="297"/>
      <c r="J282" s="297"/>
      <c r="K282" s="297"/>
      <c r="L282" s="297"/>
      <c r="M282" s="297"/>
      <c r="N282" s="293"/>
      <c r="O282" s="297"/>
      <c r="P282" s="297"/>
      <c r="Q282" s="297"/>
      <c r="R282" s="297"/>
      <c r="S282" s="297"/>
      <c r="T282" s="297"/>
      <c r="U282" s="297"/>
      <c r="V282" s="297"/>
      <c r="W282" s="297"/>
      <c r="X282" s="297"/>
      <c r="Y282" s="412"/>
      <c r="Z282" s="412"/>
      <c r="AA282" s="412"/>
      <c r="AB282" s="412"/>
      <c r="AC282" s="412"/>
      <c r="AD282" s="412"/>
      <c r="AE282" s="412"/>
      <c r="AF282" s="412"/>
      <c r="AG282" s="412"/>
      <c r="AH282" s="412"/>
      <c r="AI282" s="412"/>
      <c r="AJ282" s="412"/>
      <c r="AK282" s="412"/>
      <c r="AL282" s="412"/>
      <c r="AM282" s="298">
        <f>SUM(Y282:AL282)</f>
        <v>0</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0</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c r="E285" s="297"/>
      <c r="F285" s="297"/>
      <c r="G285" s="297"/>
      <c r="H285" s="297"/>
      <c r="I285" s="297"/>
      <c r="J285" s="297"/>
      <c r="K285" s="297"/>
      <c r="L285" s="297"/>
      <c r="M285" s="297"/>
      <c r="N285" s="293"/>
      <c r="O285" s="297"/>
      <c r="P285" s="297"/>
      <c r="Q285" s="297"/>
      <c r="R285" s="297"/>
      <c r="S285" s="297"/>
      <c r="T285" s="297"/>
      <c r="U285" s="297"/>
      <c r="V285" s="297"/>
      <c r="W285" s="297"/>
      <c r="X285" s="297"/>
      <c r="Y285" s="412"/>
      <c r="Z285" s="412"/>
      <c r="AA285" s="412"/>
      <c r="AB285" s="412"/>
      <c r="AC285" s="412"/>
      <c r="AD285" s="412"/>
      <c r="AE285" s="412"/>
      <c r="AF285" s="412"/>
      <c r="AG285" s="412"/>
      <c r="AH285" s="412"/>
      <c r="AI285" s="412"/>
      <c r="AJ285" s="412"/>
      <c r="AK285" s="412"/>
      <c r="AL285" s="412"/>
      <c r="AM285" s="298">
        <f>SUM(Y285:AL285)</f>
        <v>0</v>
      </c>
    </row>
    <row r="286" spans="1:39" ht="15" outlineLevel="1">
      <c r="B286" s="296" t="s">
        <v>251</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0</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ht="15" outlineLevel="1">
      <c r="B289" s="296" t="s">
        <v>251</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0</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0</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12"/>
      <c r="Z307" s="505"/>
      <c r="AA307" s="505"/>
      <c r="AB307" s="505"/>
      <c r="AC307" s="417"/>
      <c r="AD307" s="417"/>
      <c r="AE307" s="417"/>
      <c r="AF307" s="417"/>
      <c r="AG307" s="417"/>
      <c r="AH307" s="417"/>
      <c r="AI307" s="417"/>
      <c r="AJ307" s="417"/>
      <c r="AK307" s="417"/>
      <c r="AL307" s="417"/>
      <c r="AM307" s="298">
        <f>SUM(Y307:AL307)</f>
        <v>0</v>
      </c>
    </row>
    <row r="308" spans="1:39" ht="15" outlineLevel="1">
      <c r="B308" s="296" t="s">
        <v>251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12"/>
      <c r="Z310" s="505"/>
      <c r="AA310" s="417"/>
      <c r="AB310" s="417"/>
      <c r="AC310" s="417"/>
      <c r="AD310" s="417"/>
      <c r="AE310" s="417"/>
      <c r="AF310" s="417"/>
      <c r="AG310" s="417"/>
      <c r="AH310" s="417"/>
      <c r="AI310" s="417"/>
      <c r="AJ310" s="417"/>
      <c r="AK310" s="417"/>
      <c r="AL310" s="417"/>
      <c r="AM310" s="298">
        <f>SUM(Y310:AL310)</f>
        <v>0</v>
      </c>
    </row>
    <row r="311" spans="1:39" ht="15"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0</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251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251</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c r="E348" s="297"/>
      <c r="F348" s="297"/>
      <c r="G348" s="297"/>
      <c r="H348" s="297"/>
      <c r="I348" s="297"/>
      <c r="J348" s="297"/>
      <c r="K348" s="297"/>
      <c r="L348" s="297"/>
      <c r="M348" s="297"/>
      <c r="N348" s="293"/>
      <c r="O348" s="297"/>
      <c r="P348" s="297"/>
      <c r="Q348" s="297"/>
      <c r="R348" s="297"/>
      <c r="S348" s="297"/>
      <c r="T348" s="297"/>
      <c r="U348" s="297"/>
      <c r="V348" s="297"/>
      <c r="W348" s="297"/>
      <c r="X348" s="297"/>
      <c r="Y348" s="472"/>
      <c r="Z348" s="412"/>
      <c r="AA348" s="412"/>
      <c r="AB348" s="412"/>
      <c r="AC348" s="412"/>
      <c r="AD348" s="412"/>
      <c r="AE348" s="412"/>
      <c r="AF348" s="412"/>
      <c r="AG348" s="412"/>
      <c r="AH348" s="412"/>
      <c r="AI348" s="412"/>
      <c r="AJ348" s="412"/>
      <c r="AK348" s="412"/>
      <c r="AL348" s="412"/>
      <c r="AM348" s="298">
        <f>SUM(Y348:AL348)</f>
        <v>0</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252</v>
      </c>
      <c r="C384" s="331"/>
      <c r="D384" s="331">
        <f>SUM(D279:D382)</f>
        <v>0</v>
      </c>
      <c r="E384" s="331"/>
      <c r="F384" s="331"/>
      <c r="G384" s="331"/>
      <c r="H384" s="331"/>
      <c r="I384" s="331"/>
      <c r="J384" s="331"/>
      <c r="K384" s="331"/>
      <c r="L384" s="331"/>
      <c r="M384" s="331"/>
      <c r="N384" s="331"/>
      <c r="O384" s="331">
        <f>SUM(O279:O382)</f>
        <v>0</v>
      </c>
      <c r="P384" s="331"/>
      <c r="Q384" s="331"/>
      <c r="R384" s="331"/>
      <c r="S384" s="331"/>
      <c r="T384" s="331"/>
      <c r="U384" s="331"/>
      <c r="V384" s="331"/>
      <c r="W384" s="331"/>
      <c r="X384" s="331"/>
      <c r="Y384" s="331">
        <f>IF(Y278="kWh",SUMPRODUCT(D279:D382,Y279:Y382))</f>
        <v>0</v>
      </c>
      <c r="Z384" s="331">
        <f>IF(Z278="kWh",SUMPRODUCT(D279:D382,Z279:Z382))</f>
        <v>0</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1.2699999999999999E-2</v>
      </c>
      <c r="Z387" s="343">
        <f>HLOOKUP(Z$20,'3.  Distribution Rates'!$C$122:$P$133,5,FALSE)</f>
        <v>1.67E-2</v>
      </c>
      <c r="AA387" s="343">
        <f>HLOOKUP(AA$20,'3.  Distribution Rates'!$C$122:$P$133,5,FALSE)</f>
        <v>4.5228000000000002</v>
      </c>
      <c r="AB387" s="343">
        <f>HLOOKUP(AB$20,'3.  Distribution Rates'!$C$122:$P$133,5,FALSE)</f>
        <v>1.04E-2</v>
      </c>
      <c r="AC387" s="343">
        <f>HLOOKUP(AC$20,'3.  Distribution Rates'!$C$122:$P$133,5,FALSE)</f>
        <v>6.4833999999999996</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0</v>
      </c>
      <c r="Z388" s="380">
        <f t="shared" si="110"/>
        <v>0</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0</v>
      </c>
      <c r="Z389" s="380">
        <f t="shared" si="111"/>
        <v>0</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2">Z384*Z387</f>
        <v>0</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0</v>
      </c>
    </row>
    <row r="391" spans="1:41" s="382" customFormat="1" ht="15.75">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0</v>
      </c>
    </row>
    <row r="392" spans="1:41" s="382" customFormat="1" ht="15.75">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0</v>
      </c>
      <c r="Z396" s="293">
        <f>SUMPRODUCT(F279:F382,Z279:Z382)</f>
        <v>0</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0</v>
      </c>
      <c r="Z401" s="328">
        <f>SUMPRODUCT(K279:K382,Z279:Z382)</f>
        <v>0</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596</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2" t="s">
        <v>526</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5" t="s">
        <v>212</v>
      </c>
      <c r="C405" s="807" t="s">
        <v>33</v>
      </c>
      <c r="D405" s="286" t="s">
        <v>425</v>
      </c>
      <c r="E405" s="809" t="s">
        <v>210</v>
      </c>
      <c r="F405" s="810"/>
      <c r="G405" s="810"/>
      <c r="H405" s="810"/>
      <c r="I405" s="810"/>
      <c r="J405" s="810"/>
      <c r="K405" s="810"/>
      <c r="L405" s="810"/>
      <c r="M405" s="811"/>
      <c r="N405" s="815" t="s">
        <v>214</v>
      </c>
      <c r="O405" s="286" t="s">
        <v>426</v>
      </c>
      <c r="P405" s="809" t="s">
        <v>213</v>
      </c>
      <c r="Q405" s="810"/>
      <c r="R405" s="810"/>
      <c r="S405" s="810"/>
      <c r="T405" s="810"/>
      <c r="U405" s="810"/>
      <c r="V405" s="810"/>
      <c r="W405" s="810"/>
      <c r="X405" s="811"/>
      <c r="Y405" s="812" t="s">
        <v>245</v>
      </c>
      <c r="Z405" s="813"/>
      <c r="AA405" s="813"/>
      <c r="AB405" s="813"/>
      <c r="AC405" s="813"/>
      <c r="AD405" s="813"/>
      <c r="AE405" s="813"/>
      <c r="AF405" s="813"/>
      <c r="AG405" s="813"/>
      <c r="AH405" s="813"/>
      <c r="AI405" s="813"/>
      <c r="AJ405" s="813"/>
      <c r="AK405" s="813"/>
      <c r="AL405" s="813"/>
      <c r="AM405" s="814"/>
    </row>
    <row r="406" spans="1:40" ht="45.75" customHeight="1">
      <c r="B406" s="806"/>
      <c r="C406" s="808"/>
      <c r="D406" s="287">
        <v>2014</v>
      </c>
      <c r="E406" s="287">
        <v>2015</v>
      </c>
      <c r="F406" s="287">
        <v>2016</v>
      </c>
      <c r="G406" s="287">
        <v>2017</v>
      </c>
      <c r="H406" s="287">
        <v>2018</v>
      </c>
      <c r="I406" s="287">
        <v>2019</v>
      </c>
      <c r="J406" s="287">
        <v>2020</v>
      </c>
      <c r="K406" s="287">
        <v>2021</v>
      </c>
      <c r="L406" s="287">
        <v>2022</v>
      </c>
      <c r="M406" s="287">
        <v>2023</v>
      </c>
      <c r="N406" s="816"/>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 50 kW</v>
      </c>
      <c r="AA406" s="287" t="str">
        <f>'1.  LRAMVA Summary'!F50</f>
        <v>General Service &gt; 50 to 4999 kW</v>
      </c>
      <c r="AB406" s="287" t="str">
        <f>'1.  LRAMVA Summary'!G50</f>
        <v>Unmetered Scattered Load</v>
      </c>
      <c r="AC406" s="287" t="str">
        <f>'1.  LRAMVA Summary'!H50</f>
        <v>Street Lighting</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kWh</v>
      </c>
      <c r="AC407" s="293" t="str">
        <f>'1.  LRAMVA Summary'!H51</f>
        <v>kW</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3</v>
      </c>
      <c r="E408" s="297"/>
      <c r="F408" s="297"/>
      <c r="G408" s="297"/>
      <c r="H408" s="297"/>
      <c r="I408" s="297"/>
      <c r="J408" s="297"/>
      <c r="K408" s="297"/>
      <c r="L408" s="297"/>
      <c r="M408" s="297"/>
      <c r="N408" s="293"/>
      <c r="O408" s="297">
        <v>0</v>
      </c>
      <c r="P408" s="297"/>
      <c r="Q408" s="297"/>
      <c r="R408" s="297"/>
      <c r="S408" s="297"/>
      <c r="T408" s="297"/>
      <c r="U408" s="297"/>
      <c r="V408" s="297"/>
      <c r="W408" s="297"/>
      <c r="X408" s="297"/>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369</v>
      </c>
      <c r="E411" s="297"/>
      <c r="F411" s="297"/>
      <c r="G411" s="297"/>
      <c r="H411" s="297"/>
      <c r="I411" s="297"/>
      <c r="J411" s="297"/>
      <c r="K411" s="297"/>
      <c r="L411" s="297"/>
      <c r="M411" s="297"/>
      <c r="N411" s="293"/>
      <c r="O411" s="297">
        <v>0.20699999999999999</v>
      </c>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18157.289000000001</v>
      </c>
      <c r="E414" s="297"/>
      <c r="F414" s="297"/>
      <c r="G414" s="297"/>
      <c r="H414" s="297"/>
      <c r="I414" s="297"/>
      <c r="J414" s="297"/>
      <c r="K414" s="297"/>
      <c r="L414" s="297"/>
      <c r="M414" s="297"/>
      <c r="N414" s="293"/>
      <c r="O414" s="297">
        <v>9.7200000000000006</v>
      </c>
      <c r="P414" s="297"/>
      <c r="Q414" s="297"/>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13915.587</v>
      </c>
      <c r="E417" s="297"/>
      <c r="F417" s="297"/>
      <c r="G417" s="297"/>
      <c r="H417" s="297"/>
      <c r="I417" s="297"/>
      <c r="J417" s="297"/>
      <c r="K417" s="297"/>
      <c r="L417" s="297"/>
      <c r="M417" s="297"/>
      <c r="N417" s="293"/>
      <c r="O417" s="297">
        <v>1.0409999999999999</v>
      </c>
      <c r="P417" s="297"/>
      <c r="Q417" s="297"/>
      <c r="R417" s="297"/>
      <c r="S417" s="297"/>
      <c r="T417" s="297"/>
      <c r="U417" s="297"/>
      <c r="V417" s="297"/>
      <c r="W417" s="297"/>
      <c r="X417" s="297"/>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60740.195</v>
      </c>
      <c r="E420" s="297"/>
      <c r="F420" s="297"/>
      <c r="G420" s="297"/>
      <c r="H420" s="297"/>
      <c r="I420" s="297"/>
      <c r="J420" s="297"/>
      <c r="K420" s="297"/>
      <c r="L420" s="297"/>
      <c r="M420" s="297"/>
      <c r="N420" s="293"/>
      <c r="O420" s="297">
        <v>3.9750000000000001</v>
      </c>
      <c r="P420" s="297"/>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17"/>
      <c r="Z436" s="471"/>
      <c r="AA436" s="471"/>
      <c r="AB436" s="471"/>
      <c r="AC436" s="417"/>
      <c r="AD436" s="417"/>
      <c r="AE436" s="417"/>
      <c r="AF436" s="417"/>
      <c r="AG436" s="417"/>
      <c r="AH436" s="417"/>
      <c r="AI436" s="417"/>
      <c r="AJ436" s="417"/>
      <c r="AK436" s="417"/>
      <c r="AL436" s="417"/>
      <c r="AM436" s="298">
        <f>SUM(Y436:AL436)</f>
        <v>0</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7">AA436</f>
        <v>0</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50136.341</v>
      </c>
      <c r="E439" s="297"/>
      <c r="F439" s="297"/>
      <c r="G439" s="297"/>
      <c r="H439" s="297"/>
      <c r="I439" s="297"/>
      <c r="J439" s="297"/>
      <c r="K439" s="297"/>
      <c r="L439" s="297"/>
      <c r="M439" s="297"/>
      <c r="N439" s="297">
        <v>12</v>
      </c>
      <c r="O439" s="297">
        <v>13.816000000000001</v>
      </c>
      <c r="P439" s="297"/>
      <c r="Q439" s="297"/>
      <c r="R439" s="297"/>
      <c r="S439" s="297"/>
      <c r="T439" s="297"/>
      <c r="U439" s="297"/>
      <c r="V439" s="297"/>
      <c r="W439" s="297"/>
      <c r="X439" s="297"/>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v>3</v>
      </c>
      <c r="E451" s="297"/>
      <c r="F451" s="297"/>
      <c r="G451" s="297"/>
      <c r="H451" s="297"/>
      <c r="I451" s="297"/>
      <c r="J451" s="297"/>
      <c r="K451" s="297"/>
      <c r="L451" s="297"/>
      <c r="M451" s="297"/>
      <c r="N451" s="293"/>
      <c r="O451" s="297">
        <v>2.5070000000000001</v>
      </c>
      <c r="P451" s="297"/>
      <c r="Q451" s="297"/>
      <c r="R451" s="297"/>
      <c r="S451" s="297"/>
      <c r="T451" s="297"/>
      <c r="U451" s="297"/>
      <c r="V451" s="297"/>
      <c r="W451" s="297"/>
      <c r="X451" s="297"/>
      <c r="Y451" s="417"/>
      <c r="Z451" s="417">
        <v>1</v>
      </c>
      <c r="AA451" s="417"/>
      <c r="AB451" s="417"/>
      <c r="AC451" s="417"/>
      <c r="AD451" s="417"/>
      <c r="AE451" s="417"/>
      <c r="AF451" s="417"/>
      <c r="AG451" s="417"/>
      <c r="AH451" s="417"/>
      <c r="AI451" s="417"/>
      <c r="AJ451" s="417"/>
      <c r="AK451" s="417"/>
      <c r="AL451" s="417"/>
      <c r="AM451" s="298">
        <f>SUM(Y451:AL451)</f>
        <v>1</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1</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72"/>
      <c r="Z477" s="412"/>
      <c r="AA477" s="412"/>
      <c r="AB477" s="412"/>
      <c r="AC477" s="412"/>
      <c r="AD477" s="412"/>
      <c r="AE477" s="412"/>
      <c r="AF477" s="412"/>
      <c r="AG477" s="412"/>
      <c r="AH477" s="412"/>
      <c r="AI477" s="412"/>
      <c r="AJ477" s="412"/>
      <c r="AK477" s="412"/>
      <c r="AL477" s="412"/>
      <c r="AM477" s="298">
        <f>SUM(Y477:AL477)</f>
        <v>0</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0</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491</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c r="E507" s="297"/>
      <c r="F507" s="297"/>
      <c r="G507" s="297"/>
      <c r="H507" s="297"/>
      <c r="I507" s="297"/>
      <c r="J507" s="297"/>
      <c r="K507" s="297"/>
      <c r="L507" s="297"/>
      <c r="M507" s="297"/>
      <c r="N507" s="297">
        <v>0</v>
      </c>
      <c r="O507" s="297">
        <v>14.007</v>
      </c>
      <c r="P507" s="297"/>
      <c r="Q507" s="297"/>
      <c r="R507" s="297"/>
      <c r="S507" s="297"/>
      <c r="T507" s="297"/>
      <c r="U507" s="297"/>
      <c r="V507" s="297"/>
      <c r="W507" s="297"/>
      <c r="X507" s="297"/>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262</v>
      </c>
      <c r="C513" s="331"/>
      <c r="D513" s="331">
        <f>SUM(D408:D511)</f>
        <v>143324.41200000001</v>
      </c>
      <c r="E513" s="331"/>
      <c r="F513" s="331"/>
      <c r="G513" s="331"/>
      <c r="H513" s="331"/>
      <c r="I513" s="331"/>
      <c r="J513" s="331"/>
      <c r="K513" s="331"/>
      <c r="L513" s="331"/>
      <c r="M513" s="331"/>
      <c r="N513" s="331"/>
      <c r="O513" s="331">
        <f>SUM(O408:O511)</f>
        <v>45.273000000000003</v>
      </c>
      <c r="P513" s="331"/>
      <c r="Q513" s="331"/>
      <c r="R513" s="331"/>
      <c r="S513" s="331"/>
      <c r="T513" s="331"/>
      <c r="U513" s="331"/>
      <c r="V513" s="331"/>
      <c r="W513" s="331"/>
      <c r="X513" s="331"/>
      <c r="Y513" s="331">
        <f>IF(Y407="kWh",SUMPRODUCT(D408:D511,Y408:Y511))</f>
        <v>93185.070999999996</v>
      </c>
      <c r="Z513" s="331">
        <f>IF(Z407="kWh",SUMPRODUCT(D408:D511,Z408:Z511))</f>
        <v>50139.341</v>
      </c>
      <c r="AA513" s="331">
        <f>IF(AA407="kW",SUMPRODUCT(N408:N511,O408:O511,AA408:AA511),SUMPRODUCT(D408:D511,AA408:AA511))</f>
        <v>0</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258830</v>
      </c>
      <c r="Z514" s="330">
        <f>HLOOKUP(Z406,'2. LRAMVA Threshold'!$B$42:$Q$53,6,FALSE)</f>
        <v>65523</v>
      </c>
      <c r="AA514" s="330">
        <f>HLOOKUP(AA406,'2. LRAMVA Threshold'!$B$42:$Q$53,6,FALSE)</f>
        <v>168</v>
      </c>
      <c r="AB514" s="330">
        <f>HLOOKUP(AB406,'2. LRAMVA Threshold'!$B$42:$Q$53,6,FALSE)</f>
        <v>1232</v>
      </c>
      <c r="AC514" s="330">
        <f>HLOOKUP(AC406,'2. LRAMVA Threshold'!$B$42:$Q$53,6,FALSE)</f>
        <v>14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1.2699999999999999E-2</v>
      </c>
      <c r="Z516" s="343">
        <f>HLOOKUP(Z$20,'3.  Distribution Rates'!$C$122:$P$133,6,FALSE)</f>
        <v>1.67E-2</v>
      </c>
      <c r="AA516" s="343">
        <f>HLOOKUP(AA$20,'3.  Distribution Rates'!$C$122:$P$133,6,FALSE)</f>
        <v>4.5228000000000002</v>
      </c>
      <c r="AB516" s="343">
        <f>HLOOKUP(AB$20,'3.  Distribution Rates'!$C$122:$P$133,6,FALSE)</f>
        <v>1.04E-2</v>
      </c>
      <c r="AC516" s="343">
        <f>HLOOKUP(AC$20,'3.  Distribution Rates'!$C$122:$P$133,6,FALSE)</f>
        <v>6.4833999999999996</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1">Z137*Z516</f>
        <v>0</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52">Z266*Z516</f>
        <v>0</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53">Z395*Z516</f>
        <v>0</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1183.4504016999999</v>
      </c>
      <c r="Z520" s="380">
        <f t="shared" ref="Z520:AK520" si="154">Z513*Z516</f>
        <v>837.3269947</v>
      </c>
      <c r="AA520" s="380">
        <f t="shared" si="154"/>
        <v>0</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2020.7773963999998</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1183.4504016999999</v>
      </c>
      <c r="Z521" s="348">
        <f t="shared" ref="Z521:AK521" si="155">SUM(Z517:Z520)</f>
        <v>837.3269947</v>
      </c>
      <c r="AA521" s="348">
        <f t="shared" si="155"/>
        <v>0</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2020.7773963999998</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3287.1410000000001</v>
      </c>
      <c r="Z522" s="349">
        <f t="shared" ref="Z522:AJ522" si="156">Z514*Z516</f>
        <v>1094.2340999999999</v>
      </c>
      <c r="AA522" s="349">
        <f>AA514*AA516</f>
        <v>759.83040000000005</v>
      </c>
      <c r="AB522" s="349">
        <f t="shared" si="156"/>
        <v>12.812799999999999</v>
      </c>
      <c r="AC522" s="349">
        <f t="shared" si="156"/>
        <v>90.767599999999987</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5244.7858999999999</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-3224.0085036</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0</v>
      </c>
      <c r="Z526" s="293">
        <f>SUMPRODUCT(E408:E511,Z408:Z511)</f>
        <v>0</v>
      </c>
      <c r="AA526" s="293">
        <f>IF(AA407="kW",SUMPRODUCT(N408:N511,P408:P511,AA408:AA511),SUMPRODUCT(E408:E511,AA408:AA511))</f>
        <v>0</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0</v>
      </c>
      <c r="Z531" s="328">
        <f>SUMPRODUCT(J408:J511,Z408:Z511)</f>
        <v>0</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596</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531</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96" zoomScale="70" zoomScaleNormal="70" workbookViewId="0">
      <pane xSplit="2" topLeftCell="E1" activePane="topRight" state="frozen"/>
      <selection pane="topRight" activeCell="Y198" sqref="Y198"/>
    </sheetView>
  </sheetViews>
  <sheetFormatPr defaultRowHeight="15" outlineLevelRow="1" outlineLevelCol="1"/>
  <cols>
    <col min="1" max="1" width="4.5703125" style="524" customWidth="1"/>
    <col min="2" max="2" width="44.140625" style="429" customWidth="1"/>
    <col min="3" max="3" width="13.42578125" style="429" customWidth="1"/>
    <col min="4" max="4" width="15.5703125" style="429" bestFit="1" customWidth="1"/>
    <col min="5" max="13" width="11.28515625" style="429" bestFit="1"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03"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03"/>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03"/>
      <c r="C16" s="800" t="s">
        <v>556</v>
      </c>
      <c r="D16" s="801"/>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03" t="s">
        <v>509</v>
      </c>
      <c r="C18" s="804" t="s">
        <v>680</v>
      </c>
      <c r="D18" s="804"/>
      <c r="E18" s="804"/>
      <c r="F18" s="804"/>
      <c r="G18" s="804"/>
      <c r="H18" s="804"/>
      <c r="I18" s="804"/>
      <c r="J18" s="804"/>
      <c r="K18" s="804"/>
      <c r="L18" s="804"/>
      <c r="M18" s="804"/>
      <c r="N18" s="804"/>
      <c r="O18" s="804"/>
      <c r="P18" s="804"/>
      <c r="Q18" s="804"/>
      <c r="R18" s="804"/>
      <c r="S18" s="804"/>
      <c r="T18" s="804"/>
      <c r="U18" s="804"/>
      <c r="V18" s="804"/>
      <c r="W18" s="804"/>
      <c r="X18" s="804"/>
      <c r="Y18" s="608"/>
      <c r="Z18" s="608"/>
      <c r="AA18" s="608"/>
      <c r="AB18" s="608"/>
      <c r="AC18" s="608"/>
      <c r="AD18" s="608"/>
      <c r="AE18" s="272"/>
      <c r="AF18" s="267"/>
      <c r="AG18" s="267"/>
      <c r="AH18" s="267"/>
      <c r="AI18" s="267"/>
      <c r="AJ18" s="267"/>
      <c r="AK18" s="267"/>
      <c r="AL18" s="267"/>
      <c r="AM18" s="267"/>
    </row>
    <row r="19" spans="2:39" ht="45.75" customHeight="1">
      <c r="B19" s="803"/>
      <c r="C19" s="804" t="s">
        <v>579</v>
      </c>
      <c r="D19" s="804"/>
      <c r="E19" s="804"/>
      <c r="F19" s="804"/>
      <c r="G19" s="804"/>
      <c r="H19" s="804"/>
      <c r="I19" s="804"/>
      <c r="J19" s="804"/>
      <c r="K19" s="804"/>
      <c r="L19" s="804"/>
      <c r="M19" s="804"/>
      <c r="N19" s="804"/>
      <c r="O19" s="804"/>
      <c r="P19" s="804"/>
      <c r="Q19" s="804"/>
      <c r="R19" s="804"/>
      <c r="S19" s="804"/>
      <c r="T19" s="804"/>
      <c r="U19" s="804"/>
      <c r="V19" s="804"/>
      <c r="W19" s="804"/>
      <c r="X19" s="804"/>
      <c r="Y19" s="608"/>
      <c r="Z19" s="608"/>
      <c r="AA19" s="608"/>
      <c r="AB19" s="608"/>
      <c r="AC19" s="608"/>
      <c r="AD19" s="608"/>
      <c r="AE19" s="272"/>
      <c r="AF19" s="267"/>
      <c r="AG19" s="267"/>
      <c r="AH19" s="267"/>
      <c r="AI19" s="267"/>
      <c r="AJ19" s="267"/>
      <c r="AK19" s="267"/>
      <c r="AL19" s="267"/>
      <c r="AM19" s="267"/>
    </row>
    <row r="20" spans="2:39" ht="62.25" customHeight="1">
      <c r="B20" s="275"/>
      <c r="C20" s="804" t="s">
        <v>577</v>
      </c>
      <c r="D20" s="804"/>
      <c r="E20" s="804"/>
      <c r="F20" s="804"/>
      <c r="G20" s="804"/>
      <c r="H20" s="804"/>
      <c r="I20" s="804"/>
      <c r="J20" s="804"/>
      <c r="K20" s="804"/>
      <c r="L20" s="804"/>
      <c r="M20" s="804"/>
      <c r="N20" s="804"/>
      <c r="O20" s="804"/>
      <c r="P20" s="804"/>
      <c r="Q20" s="804"/>
      <c r="R20" s="804"/>
      <c r="S20" s="804"/>
      <c r="T20" s="804"/>
      <c r="U20" s="804"/>
      <c r="V20" s="804"/>
      <c r="W20" s="804"/>
      <c r="X20" s="804"/>
      <c r="Y20" s="608"/>
      <c r="Z20" s="608"/>
      <c r="AA20" s="608"/>
      <c r="AB20" s="608"/>
      <c r="AC20" s="608"/>
      <c r="AD20" s="608"/>
      <c r="AE20" s="430"/>
      <c r="AF20" s="267"/>
      <c r="AG20" s="267"/>
      <c r="AH20" s="267"/>
      <c r="AI20" s="267"/>
      <c r="AJ20" s="267"/>
      <c r="AK20" s="267"/>
      <c r="AL20" s="267"/>
      <c r="AM20" s="267"/>
    </row>
    <row r="21" spans="2:39" ht="37.5" customHeight="1">
      <c r="B21" s="275"/>
      <c r="C21" s="804" t="s">
        <v>647</v>
      </c>
      <c r="D21" s="804"/>
      <c r="E21" s="804"/>
      <c r="F21" s="804"/>
      <c r="G21" s="804"/>
      <c r="H21" s="804"/>
      <c r="I21" s="804"/>
      <c r="J21" s="804"/>
      <c r="K21" s="804"/>
      <c r="L21" s="804"/>
      <c r="M21" s="804"/>
      <c r="N21" s="804"/>
      <c r="O21" s="804"/>
      <c r="P21" s="804"/>
      <c r="Q21" s="804"/>
      <c r="R21" s="804"/>
      <c r="S21" s="804"/>
      <c r="T21" s="804"/>
      <c r="U21" s="804"/>
      <c r="V21" s="804"/>
      <c r="W21" s="804"/>
      <c r="X21" s="804"/>
      <c r="Y21" s="608"/>
      <c r="Z21" s="608"/>
      <c r="AA21" s="608"/>
      <c r="AB21" s="608"/>
      <c r="AC21" s="608"/>
      <c r="AD21" s="608"/>
      <c r="AE21" s="278"/>
      <c r="AF21" s="267"/>
      <c r="AG21" s="267"/>
      <c r="AH21" s="267"/>
      <c r="AI21" s="267"/>
      <c r="AJ21" s="267"/>
      <c r="AK21" s="267"/>
      <c r="AL21" s="267"/>
      <c r="AM21" s="267"/>
    </row>
    <row r="22" spans="2:39" ht="54.75" customHeight="1">
      <c r="B22" s="275"/>
      <c r="C22" s="804" t="s">
        <v>629</v>
      </c>
      <c r="D22" s="804"/>
      <c r="E22" s="804"/>
      <c r="F22" s="804"/>
      <c r="G22" s="804"/>
      <c r="H22" s="804"/>
      <c r="I22" s="804"/>
      <c r="J22" s="804"/>
      <c r="K22" s="804"/>
      <c r="L22" s="804"/>
      <c r="M22" s="804"/>
      <c r="N22" s="804"/>
      <c r="O22" s="804"/>
      <c r="P22" s="804"/>
      <c r="Q22" s="804"/>
      <c r="R22" s="804"/>
      <c r="S22" s="804"/>
      <c r="T22" s="804"/>
      <c r="U22" s="804"/>
      <c r="V22" s="804"/>
      <c r="W22" s="804"/>
      <c r="X22" s="804"/>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03" t="s">
        <v>532</v>
      </c>
      <c r="C24" s="598" t="s">
        <v>534</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03"/>
      <c r="C25" s="598" t="s">
        <v>535</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536</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537</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538</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539</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5" t="s">
        <v>212</v>
      </c>
      <c r="C34" s="807" t="s">
        <v>33</v>
      </c>
      <c r="D34" s="286" t="s">
        <v>425</v>
      </c>
      <c r="E34" s="809" t="s">
        <v>210</v>
      </c>
      <c r="F34" s="810"/>
      <c r="G34" s="810"/>
      <c r="H34" s="810"/>
      <c r="I34" s="810"/>
      <c r="J34" s="810"/>
      <c r="K34" s="810"/>
      <c r="L34" s="810"/>
      <c r="M34" s="811"/>
      <c r="N34" s="815" t="s">
        <v>214</v>
      </c>
      <c r="O34" s="286" t="s">
        <v>426</v>
      </c>
      <c r="P34" s="809" t="s">
        <v>213</v>
      </c>
      <c r="Q34" s="810"/>
      <c r="R34" s="810"/>
      <c r="S34" s="810"/>
      <c r="T34" s="810"/>
      <c r="U34" s="810"/>
      <c r="V34" s="810"/>
      <c r="W34" s="810"/>
      <c r="X34" s="811"/>
      <c r="Y34" s="812" t="s">
        <v>245</v>
      </c>
      <c r="Z34" s="813"/>
      <c r="AA34" s="813"/>
      <c r="AB34" s="813"/>
      <c r="AC34" s="813"/>
      <c r="AD34" s="813"/>
      <c r="AE34" s="813"/>
      <c r="AF34" s="813"/>
      <c r="AG34" s="813"/>
      <c r="AH34" s="813"/>
      <c r="AI34" s="813"/>
      <c r="AJ34" s="813"/>
      <c r="AK34" s="813"/>
      <c r="AL34" s="813"/>
      <c r="AM34" s="814"/>
    </row>
    <row r="35" spans="1:39" ht="65.25" customHeight="1">
      <c r="B35" s="806"/>
      <c r="C35" s="808"/>
      <c r="D35" s="287">
        <v>2015</v>
      </c>
      <c r="E35" s="287">
        <v>2016</v>
      </c>
      <c r="F35" s="287">
        <v>2017</v>
      </c>
      <c r="G35" s="287">
        <v>2018</v>
      </c>
      <c r="H35" s="287">
        <v>2019</v>
      </c>
      <c r="I35" s="287">
        <v>2020</v>
      </c>
      <c r="J35" s="287">
        <v>2021</v>
      </c>
      <c r="K35" s="287">
        <v>2022</v>
      </c>
      <c r="L35" s="287">
        <v>2023</v>
      </c>
      <c r="M35" s="431">
        <v>2024</v>
      </c>
      <c r="N35" s="816"/>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 50 kW</v>
      </c>
      <c r="AA35" s="287" t="str">
        <f>'1.  LRAMVA Summary'!F50</f>
        <v>General Service &gt; 50 to 4999 kW</v>
      </c>
      <c r="AB35" s="287" t="str">
        <f>'1.  LRAMVA Summary'!G50</f>
        <v>Unmetered Scattered Load</v>
      </c>
      <c r="AC35" s="287" t="str">
        <f>'1.  LRAMVA Summary'!H50</f>
        <v>Street Lighting</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kWh</v>
      </c>
      <c r="AC36" s="293" t="str">
        <f>'1.  LRAMVA Summary'!H51</f>
        <v>kW</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25114</v>
      </c>
      <c r="E38" s="297">
        <v>24886</v>
      </c>
      <c r="F38" s="297">
        <v>24886</v>
      </c>
      <c r="G38" s="297">
        <v>24886</v>
      </c>
      <c r="H38" s="297">
        <v>24886</v>
      </c>
      <c r="I38" s="297">
        <v>24886</v>
      </c>
      <c r="J38" s="297">
        <v>24886</v>
      </c>
      <c r="K38" s="297">
        <v>24880</v>
      </c>
      <c r="L38" s="297">
        <v>24880</v>
      </c>
      <c r="M38" s="297">
        <v>24880</v>
      </c>
      <c r="N38" s="293"/>
      <c r="O38" s="297">
        <v>2</v>
      </c>
      <c r="P38" s="297">
        <v>2</v>
      </c>
      <c r="Q38" s="297">
        <v>2</v>
      </c>
      <c r="R38" s="297">
        <v>2</v>
      </c>
      <c r="S38" s="297">
        <v>2</v>
      </c>
      <c r="T38" s="297">
        <v>2</v>
      </c>
      <c r="U38" s="297">
        <v>2</v>
      </c>
      <c r="V38" s="297">
        <v>2</v>
      </c>
      <c r="W38" s="297">
        <v>2</v>
      </c>
      <c r="X38" s="297">
        <v>2</v>
      </c>
      <c r="Y38" s="412">
        <v>1</v>
      </c>
      <c r="Z38" s="412"/>
      <c r="AA38" s="412"/>
      <c r="AB38" s="412"/>
      <c r="AC38" s="412"/>
      <c r="AD38" s="412"/>
      <c r="AE38" s="412"/>
      <c r="AF38" s="412"/>
      <c r="AG38" s="412"/>
      <c r="AH38" s="412"/>
      <c r="AI38" s="412"/>
      <c r="AJ38" s="412"/>
      <c r="AK38" s="412"/>
      <c r="AL38" s="412"/>
      <c r="AM38" s="298">
        <f>SUM(Y38:AL38)</f>
        <v>1</v>
      </c>
    </row>
    <row r="39" spans="1:39" outlineLevel="1">
      <c r="B39" s="296" t="s">
        <v>269</v>
      </c>
      <c r="C39" s="293" t="s">
        <v>164</v>
      </c>
      <c r="D39" s="297">
        <v>4194</v>
      </c>
      <c r="E39" s="297">
        <v>4134</v>
      </c>
      <c r="F39" s="297">
        <v>4134</v>
      </c>
      <c r="G39" s="297">
        <v>4134</v>
      </c>
      <c r="H39" s="297">
        <v>4134</v>
      </c>
      <c r="I39" s="297">
        <v>4134</v>
      </c>
      <c r="J39" s="297">
        <v>4134</v>
      </c>
      <c r="K39" s="297">
        <v>4132</v>
      </c>
      <c r="L39" s="297">
        <v>4132</v>
      </c>
      <c r="M39" s="297">
        <v>4132</v>
      </c>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46397</v>
      </c>
      <c r="E41" s="297">
        <v>45573</v>
      </c>
      <c r="F41" s="297">
        <v>45573</v>
      </c>
      <c r="G41" s="297">
        <v>45573</v>
      </c>
      <c r="H41" s="297">
        <v>45573</v>
      </c>
      <c r="I41" s="297">
        <v>45573</v>
      </c>
      <c r="J41" s="297">
        <v>45573</v>
      </c>
      <c r="K41" s="297">
        <v>45549</v>
      </c>
      <c r="L41" s="297">
        <v>45549</v>
      </c>
      <c r="M41" s="297">
        <v>45549</v>
      </c>
      <c r="N41" s="293"/>
      <c r="O41" s="297">
        <v>3</v>
      </c>
      <c r="P41" s="297">
        <v>3</v>
      </c>
      <c r="Q41" s="297">
        <v>3</v>
      </c>
      <c r="R41" s="297">
        <v>3</v>
      </c>
      <c r="S41" s="297">
        <v>3</v>
      </c>
      <c r="T41" s="297">
        <v>3</v>
      </c>
      <c r="U41" s="297">
        <v>3</v>
      </c>
      <c r="V41" s="297">
        <v>3</v>
      </c>
      <c r="W41" s="297">
        <v>3</v>
      </c>
      <c r="X41" s="297">
        <v>3</v>
      </c>
      <c r="Y41" s="412">
        <v>3</v>
      </c>
      <c r="Z41" s="412"/>
      <c r="AA41" s="412"/>
      <c r="AB41" s="412"/>
      <c r="AC41" s="412"/>
      <c r="AD41" s="412"/>
      <c r="AE41" s="412"/>
      <c r="AF41" s="412"/>
      <c r="AG41" s="412"/>
      <c r="AH41" s="412"/>
      <c r="AI41" s="412"/>
      <c r="AJ41" s="412"/>
      <c r="AK41" s="412"/>
      <c r="AL41" s="412"/>
      <c r="AM41" s="298">
        <f>SUM(Y41:AL41)</f>
        <v>3</v>
      </c>
    </row>
    <row r="42" spans="1:39" outlineLevel="1">
      <c r="B42" s="296" t="s">
        <v>269</v>
      </c>
      <c r="C42" s="293" t="s">
        <v>164</v>
      </c>
      <c r="D42" s="297">
        <v>480</v>
      </c>
      <c r="E42" s="297">
        <v>474</v>
      </c>
      <c r="F42" s="297">
        <v>474</v>
      </c>
      <c r="G42" s="297">
        <v>474</v>
      </c>
      <c r="H42" s="297">
        <v>474</v>
      </c>
      <c r="I42" s="297">
        <v>474</v>
      </c>
      <c r="J42" s="297">
        <v>474</v>
      </c>
      <c r="K42" s="297">
        <v>473</v>
      </c>
      <c r="L42" s="297">
        <v>473</v>
      </c>
      <c r="M42" s="297">
        <v>473</v>
      </c>
      <c r="N42" s="470"/>
      <c r="O42" s="297"/>
      <c r="P42" s="297"/>
      <c r="Q42" s="297"/>
      <c r="R42" s="297"/>
      <c r="S42" s="297"/>
      <c r="T42" s="297"/>
      <c r="U42" s="297"/>
      <c r="V42" s="297"/>
      <c r="W42" s="297"/>
      <c r="X42" s="297"/>
      <c r="Y42" s="413">
        <f>Y41</f>
        <v>3</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1018</v>
      </c>
      <c r="E44" s="297">
        <v>1018</v>
      </c>
      <c r="F44" s="297">
        <v>1018</v>
      </c>
      <c r="G44" s="297">
        <v>1018</v>
      </c>
      <c r="H44" s="297">
        <v>0</v>
      </c>
      <c r="I44" s="297">
        <v>0</v>
      </c>
      <c r="J44" s="297">
        <v>0</v>
      </c>
      <c r="K44" s="297">
        <v>0</v>
      </c>
      <c r="L44" s="297">
        <v>0</v>
      </c>
      <c r="M44" s="297">
        <v>0</v>
      </c>
      <c r="N44" s="293"/>
      <c r="O44" s="297"/>
      <c r="P44" s="297"/>
      <c r="Q44" s="297"/>
      <c r="R44" s="297"/>
      <c r="S44" s="297"/>
      <c r="T44" s="297"/>
      <c r="U44" s="297"/>
      <c r="V44" s="297"/>
      <c r="W44" s="297"/>
      <c r="X44" s="297"/>
      <c r="Y44" s="412">
        <v>1</v>
      </c>
      <c r="Z44" s="412"/>
      <c r="AA44" s="412"/>
      <c r="AB44" s="412"/>
      <c r="AC44" s="412"/>
      <c r="AD44" s="412"/>
      <c r="AE44" s="412"/>
      <c r="AF44" s="412"/>
      <c r="AG44" s="412"/>
      <c r="AH44" s="412"/>
      <c r="AI44" s="412"/>
      <c r="AJ44" s="412"/>
      <c r="AK44" s="412"/>
      <c r="AL44" s="412"/>
      <c r="AM44" s="298">
        <f>SUM(Y44:AL44)</f>
        <v>1</v>
      </c>
    </row>
    <row r="45" spans="1:39" outlineLevel="1">
      <c r="B45" s="296" t="s">
        <v>269</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25174</v>
      </c>
      <c r="E47" s="297">
        <v>25174</v>
      </c>
      <c r="F47" s="297">
        <v>25174</v>
      </c>
      <c r="G47" s="297">
        <v>25174</v>
      </c>
      <c r="H47" s="297">
        <v>25174</v>
      </c>
      <c r="I47" s="297">
        <v>25174</v>
      </c>
      <c r="J47" s="297">
        <v>25174</v>
      </c>
      <c r="K47" s="297">
        <v>25174</v>
      </c>
      <c r="L47" s="297">
        <v>25174</v>
      </c>
      <c r="M47" s="297">
        <v>25174</v>
      </c>
      <c r="N47" s="293"/>
      <c r="O47" s="297">
        <v>13</v>
      </c>
      <c r="P47" s="297">
        <v>13</v>
      </c>
      <c r="Q47" s="297">
        <v>13</v>
      </c>
      <c r="R47" s="297">
        <v>13</v>
      </c>
      <c r="S47" s="297">
        <v>13</v>
      </c>
      <c r="T47" s="297">
        <v>13</v>
      </c>
      <c r="U47" s="297">
        <v>13</v>
      </c>
      <c r="V47" s="297">
        <v>13</v>
      </c>
      <c r="W47" s="297">
        <v>13</v>
      </c>
      <c r="X47" s="297">
        <v>13</v>
      </c>
      <c r="Y47" s="412">
        <v>1</v>
      </c>
      <c r="Z47" s="412"/>
      <c r="AA47" s="412"/>
      <c r="AB47" s="412"/>
      <c r="AC47" s="412"/>
      <c r="AD47" s="412"/>
      <c r="AE47" s="412"/>
      <c r="AF47" s="412"/>
      <c r="AG47" s="412"/>
      <c r="AH47" s="412"/>
      <c r="AI47" s="412"/>
      <c r="AJ47" s="412"/>
      <c r="AK47" s="412"/>
      <c r="AL47" s="412"/>
      <c r="AM47" s="298">
        <f>SUM(Y47:AL47)</f>
        <v>1</v>
      </c>
    </row>
    <row r="48" spans="1:39" outlineLevel="1">
      <c r="B48" s="296" t="s">
        <v>269</v>
      </c>
      <c r="C48" s="293" t="s">
        <v>164</v>
      </c>
      <c r="D48" s="297">
        <v>1073</v>
      </c>
      <c r="E48" s="297">
        <v>1073</v>
      </c>
      <c r="F48" s="297">
        <v>1073</v>
      </c>
      <c r="G48" s="297">
        <v>1073</v>
      </c>
      <c r="H48" s="297">
        <v>1073</v>
      </c>
      <c r="I48" s="297">
        <v>1073</v>
      </c>
      <c r="J48" s="297">
        <v>1073</v>
      </c>
      <c r="K48" s="297">
        <v>1073</v>
      </c>
      <c r="L48" s="297">
        <v>1073</v>
      </c>
      <c r="M48" s="297">
        <v>1073</v>
      </c>
      <c r="N48" s="470"/>
      <c r="O48" s="297">
        <v>1</v>
      </c>
      <c r="P48" s="297">
        <v>1</v>
      </c>
      <c r="Q48" s="297">
        <v>1</v>
      </c>
      <c r="R48" s="297">
        <v>1</v>
      </c>
      <c r="S48" s="297">
        <v>1</v>
      </c>
      <c r="T48" s="297">
        <v>1</v>
      </c>
      <c r="U48" s="297">
        <v>1</v>
      </c>
      <c r="V48" s="297">
        <v>1</v>
      </c>
      <c r="W48" s="297">
        <v>1</v>
      </c>
      <c r="X48" s="297">
        <v>1</v>
      </c>
      <c r="Y48" s="413">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269</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outlineLevel="1">
      <c r="B55" s="296" t="s">
        <v>269</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24810</v>
      </c>
      <c r="E57" s="297">
        <v>24810</v>
      </c>
      <c r="F57" s="297">
        <v>24810</v>
      </c>
      <c r="G57" s="297">
        <v>24810</v>
      </c>
      <c r="H57" s="297">
        <v>24810</v>
      </c>
      <c r="I57" s="297">
        <v>24810</v>
      </c>
      <c r="J57" s="297">
        <v>23811</v>
      </c>
      <c r="K57" s="297">
        <v>23811</v>
      </c>
      <c r="L57" s="297">
        <v>22147</v>
      </c>
      <c r="M57" s="297">
        <v>18255</v>
      </c>
      <c r="N57" s="297">
        <v>12</v>
      </c>
      <c r="O57" s="297">
        <v>2</v>
      </c>
      <c r="P57" s="297">
        <v>2</v>
      </c>
      <c r="Q57" s="297">
        <v>2</v>
      </c>
      <c r="R57" s="297">
        <v>2</v>
      </c>
      <c r="S57" s="297">
        <v>2</v>
      </c>
      <c r="T57" s="297">
        <v>2</v>
      </c>
      <c r="U57" s="297">
        <v>2</v>
      </c>
      <c r="V57" s="297">
        <v>2</v>
      </c>
      <c r="W57" s="297">
        <v>2</v>
      </c>
      <c r="X57" s="297">
        <v>1</v>
      </c>
      <c r="Y57" s="535"/>
      <c r="Z57" s="535">
        <v>1</v>
      </c>
      <c r="AA57" s="535"/>
      <c r="AB57" s="412"/>
      <c r="AC57" s="535"/>
      <c r="AD57" s="412"/>
      <c r="AE57" s="412"/>
      <c r="AF57" s="417"/>
      <c r="AG57" s="417"/>
      <c r="AH57" s="417"/>
      <c r="AI57" s="417"/>
      <c r="AJ57" s="417"/>
      <c r="AK57" s="417"/>
      <c r="AL57" s="417"/>
      <c r="AM57" s="298">
        <f>SUM(Y57:AL57)</f>
        <v>1</v>
      </c>
    </row>
    <row r="58" spans="1:39" outlineLevel="1">
      <c r="B58" s="296" t="s">
        <v>269</v>
      </c>
      <c r="C58" s="293" t="s">
        <v>164</v>
      </c>
      <c r="D58" s="297">
        <v>13552</v>
      </c>
      <c r="E58" s="297">
        <v>13552</v>
      </c>
      <c r="F58" s="297">
        <v>13552</v>
      </c>
      <c r="G58" s="297">
        <v>13552</v>
      </c>
      <c r="H58" s="297">
        <v>13552</v>
      </c>
      <c r="I58" s="297">
        <v>13552</v>
      </c>
      <c r="J58" s="297">
        <v>13552</v>
      </c>
      <c r="K58" s="297">
        <v>13552</v>
      </c>
      <c r="L58" s="297">
        <v>8984</v>
      </c>
      <c r="M58" s="297">
        <v>7726</v>
      </c>
      <c r="N58" s="297">
        <f>N57</f>
        <v>12</v>
      </c>
      <c r="O58" s="297"/>
      <c r="P58" s="297"/>
      <c r="Q58" s="297"/>
      <c r="R58" s="297"/>
      <c r="S58" s="297"/>
      <c r="T58" s="297"/>
      <c r="U58" s="297"/>
      <c r="V58" s="297"/>
      <c r="W58" s="297"/>
      <c r="X58" s="297"/>
      <c r="Y58" s="413">
        <f>Y57</f>
        <v>0</v>
      </c>
      <c r="Z58" s="413">
        <f>Z57</f>
        <v>1</v>
      </c>
      <c r="AA58" s="413">
        <f t="shared" ref="AA58" si="66">AA57</f>
        <v>0</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c r="E60" s="297"/>
      <c r="F60" s="297"/>
      <c r="G60" s="297"/>
      <c r="H60" s="297"/>
      <c r="I60" s="297"/>
      <c r="J60" s="297"/>
      <c r="K60" s="297"/>
      <c r="L60" s="297"/>
      <c r="M60" s="297"/>
      <c r="N60" s="297">
        <v>12</v>
      </c>
      <c r="O60" s="297"/>
      <c r="P60" s="297"/>
      <c r="Q60" s="297"/>
      <c r="R60" s="297"/>
      <c r="S60" s="297"/>
      <c r="T60" s="297"/>
      <c r="U60" s="297"/>
      <c r="V60" s="297"/>
      <c r="W60" s="297"/>
      <c r="X60" s="297"/>
      <c r="Y60" s="417"/>
      <c r="Z60" s="535"/>
      <c r="AA60" s="412"/>
      <c r="AB60" s="412"/>
      <c r="AC60" s="412"/>
      <c r="AD60" s="412"/>
      <c r="AE60" s="412"/>
      <c r="AF60" s="417"/>
      <c r="AG60" s="417"/>
      <c r="AH60" s="417"/>
      <c r="AI60" s="417"/>
      <c r="AJ60" s="417"/>
      <c r="AK60" s="417"/>
      <c r="AL60" s="417"/>
      <c r="AM60" s="298">
        <f>SUM(Y60:AL60)</f>
        <v>0</v>
      </c>
    </row>
    <row r="61" spans="1:39" outlineLevel="1">
      <c r="B61" s="296" t="s">
        <v>269</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0</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outlineLevel="1">
      <c r="B64" s="296" t="s">
        <v>269</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269</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269</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269</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outlineLevel="1">
      <c r="B77" s="522" t="s">
        <v>269</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c r="E80" s="297"/>
      <c r="F80" s="297"/>
      <c r="G80" s="297"/>
      <c r="H80" s="297"/>
      <c r="I80" s="297"/>
      <c r="J80" s="297"/>
      <c r="K80" s="297"/>
      <c r="L80" s="297"/>
      <c r="M80" s="297"/>
      <c r="N80" s="297">
        <v>12</v>
      </c>
      <c r="O80" s="297"/>
      <c r="P80" s="297"/>
      <c r="Q80" s="297"/>
      <c r="R80" s="297"/>
      <c r="S80" s="297"/>
      <c r="T80" s="297"/>
      <c r="U80" s="297"/>
      <c r="V80" s="297"/>
      <c r="W80" s="297"/>
      <c r="X80" s="297"/>
      <c r="Y80" s="535"/>
      <c r="Z80" s="412"/>
      <c r="AA80" s="412"/>
      <c r="AB80" s="412"/>
      <c r="AC80" s="412"/>
      <c r="AD80" s="412"/>
      <c r="AE80" s="412"/>
      <c r="AF80" s="412"/>
      <c r="AG80" s="412"/>
      <c r="AH80" s="412"/>
      <c r="AI80" s="412"/>
      <c r="AJ80" s="412"/>
      <c r="AK80" s="412"/>
      <c r="AL80" s="412"/>
      <c r="AM80" s="298">
        <f>SUM(Y80:AL80)</f>
        <v>0</v>
      </c>
    </row>
    <row r="81" spans="1:40" outlineLevel="1">
      <c r="B81" s="296" t="s">
        <v>269</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0</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498</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494</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499</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269</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269</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outlineLevel="1">
      <c r="B122" s="296" t="s">
        <v>269</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269</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273</v>
      </c>
      <c r="C195" s="331"/>
      <c r="D195" s="331">
        <f>SUM(D38:D193)</f>
        <v>141812</v>
      </c>
      <c r="E195" s="331"/>
      <c r="F195" s="331"/>
      <c r="G195" s="331"/>
      <c r="H195" s="331"/>
      <c r="I195" s="331"/>
      <c r="J195" s="331"/>
      <c r="K195" s="331"/>
      <c r="L195" s="331"/>
      <c r="M195" s="331"/>
      <c r="N195" s="331"/>
      <c r="O195" s="331">
        <f>SUM(O38:O193)</f>
        <v>21</v>
      </c>
      <c r="P195" s="331"/>
      <c r="Q195" s="331"/>
      <c r="R195" s="331"/>
      <c r="S195" s="331"/>
      <c r="T195" s="331"/>
      <c r="U195" s="331"/>
      <c r="V195" s="331"/>
      <c r="W195" s="331"/>
      <c r="X195" s="331"/>
      <c r="Y195" s="331">
        <f>IF(Y36="kWh",SUMPRODUCT(D38:D193,Y38:Y193))</f>
        <v>197204</v>
      </c>
      <c r="Z195" s="331">
        <f>IF(Z36="kWh",SUMPRODUCT(D38:D193,Z38:Z193))</f>
        <v>38362</v>
      </c>
      <c r="AA195" s="331">
        <f>IF(AA36="kw",SUMPRODUCT(N38:N193,O38:O193,AA38:AA193),SUMPRODUCT(D38:D193,AA38:AA193))</f>
        <v>0</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258830</v>
      </c>
      <c r="Z196" s="394">
        <f>HLOOKUP(Z35,'2. LRAMVA Threshold'!$B$42:$Q$53,7,FALSE)</f>
        <v>65523</v>
      </c>
      <c r="AA196" s="394">
        <f>HLOOKUP(AA35,'2. LRAMVA Threshold'!$B$42:$Q$53,7,FALSE)</f>
        <v>168</v>
      </c>
      <c r="AB196" s="394">
        <f>HLOOKUP(AB35,'2. LRAMVA Threshold'!$B$42:$Q$53,7,FALSE)</f>
        <v>1232</v>
      </c>
      <c r="AC196" s="394">
        <f>HLOOKUP(AC35,'2. LRAMVA Threshold'!$B$42:$Q$53,7,FALSE)</f>
        <v>14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1.3599999999999999E-2</v>
      </c>
      <c r="Z198" s="343">
        <f>HLOOKUP(Z$35,'3.  Distribution Rates'!$C$122:$P$133,7,FALSE)</f>
        <v>1.4E-2</v>
      </c>
      <c r="AA198" s="343">
        <f>HLOOKUP(AA$35,'3.  Distribution Rates'!$C$122:$P$133,7,FALSE)</f>
        <v>3.5066000000000002</v>
      </c>
      <c r="AB198" s="343">
        <f>HLOOKUP(AB$35,'3.  Distribution Rates'!$C$122:$P$133,7,FALSE)</f>
        <v>5.1999999999999998E-3</v>
      </c>
      <c r="AC198" s="343">
        <f>HLOOKUP(AC$35,'3.  Distribution Rates'!$C$122:$P$133,7,FALSE)</f>
        <v>7.6727999999999996</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0</v>
      </c>
      <c r="Z199" s="380">
        <f>'4.  2011-2014 LRAM'!Z138*Z198</f>
        <v>0</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0</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0</v>
      </c>
      <c r="Z200" s="380">
        <f>'4.  2011-2014 LRAM'!Z267*Z198</f>
        <v>0</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0</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0</v>
      </c>
      <c r="Z201" s="380">
        <f>'4.  2011-2014 LRAM'!Z396*Z198</f>
        <v>0</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0</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0</v>
      </c>
      <c r="Z202" s="380">
        <f>'4.  2011-2014 LRAM'!Z526*Z198</f>
        <v>0</v>
      </c>
      <c r="AA202" s="380">
        <f>'4.  2011-2014 LRAM'!AA526*AA198</f>
        <v>0</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0</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2681.9744000000001</v>
      </c>
      <c r="Z203" s="380">
        <f t="shared" ref="Z203:AL203" si="553">Z195*Z198</f>
        <v>537.06799999999998</v>
      </c>
      <c r="AA203" s="380">
        <f t="shared" si="553"/>
        <v>0</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3219.0424000000003</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2681.9744000000001</v>
      </c>
      <c r="Z204" s="348">
        <f>SUM(Z199:Z203)</f>
        <v>537.06799999999998</v>
      </c>
      <c r="AA204" s="348">
        <f t="shared" ref="AA204:AE204" si="554">SUM(AA199:AA203)</f>
        <v>0</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3219.0424000000003</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3520.0879999999997</v>
      </c>
      <c r="Z205" s="349">
        <f t="shared" ref="Z205:AE205" si="556">Z196*Z198</f>
        <v>917.322</v>
      </c>
      <c r="AA205" s="349">
        <f t="shared" si="556"/>
        <v>589.10879999999997</v>
      </c>
      <c r="AB205" s="349">
        <f t="shared" si="556"/>
        <v>6.4063999999999997</v>
      </c>
      <c r="AC205" s="349">
        <f t="shared" si="556"/>
        <v>107.41919999999999</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5140.3444</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-1921.3019999999997</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194426</v>
      </c>
      <c r="Z208" s="293">
        <f>SUMPRODUCT(E38:E193,Z38:Z193)</f>
        <v>38362</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194426</v>
      </c>
      <c r="Z209" s="293">
        <f>SUMPRODUCT(F38:F193,Z38:Z193)</f>
        <v>38362</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194426</v>
      </c>
      <c r="Z210" s="293">
        <f>SUMPRODUCT(G38:G193,Z38:Z193)</f>
        <v>38362</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193408</v>
      </c>
      <c r="Z211" s="293">
        <f>SUMPRODUCT(H38:H193,Z38:Z193)</f>
        <v>38362</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193408</v>
      </c>
      <c r="Z212" s="328">
        <f>SUMPRODUCT(I38:I193,Z38:Z193)</f>
        <v>38362</v>
      </c>
      <c r="AA212" s="328">
        <f>IF(AA36="kw",SUMPRODUCT(N38:N193,T38:T193,AA38:AA193),SUMPRODUCT(I38:I193,AA38:AA193))</f>
        <v>0</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596</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2" t="s">
        <v>531</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5" t="s">
        <v>212</v>
      </c>
      <c r="C217" s="807" t="s">
        <v>33</v>
      </c>
      <c r="D217" s="286" t="s">
        <v>425</v>
      </c>
      <c r="E217" s="809" t="s">
        <v>210</v>
      </c>
      <c r="F217" s="810"/>
      <c r="G217" s="810"/>
      <c r="H217" s="810"/>
      <c r="I217" s="810"/>
      <c r="J217" s="810"/>
      <c r="K217" s="810"/>
      <c r="L217" s="810"/>
      <c r="M217" s="811"/>
      <c r="N217" s="815" t="s">
        <v>214</v>
      </c>
      <c r="O217" s="286" t="s">
        <v>426</v>
      </c>
      <c r="P217" s="809" t="s">
        <v>213</v>
      </c>
      <c r="Q217" s="810"/>
      <c r="R217" s="810"/>
      <c r="S217" s="810"/>
      <c r="T217" s="810"/>
      <c r="U217" s="810"/>
      <c r="V217" s="810"/>
      <c r="W217" s="810"/>
      <c r="X217" s="811"/>
      <c r="Y217" s="812" t="s">
        <v>245</v>
      </c>
      <c r="Z217" s="813"/>
      <c r="AA217" s="813"/>
      <c r="AB217" s="813"/>
      <c r="AC217" s="813"/>
      <c r="AD217" s="813"/>
      <c r="AE217" s="813"/>
      <c r="AF217" s="813"/>
      <c r="AG217" s="813"/>
      <c r="AH217" s="813"/>
      <c r="AI217" s="813"/>
      <c r="AJ217" s="813"/>
      <c r="AK217" s="813"/>
      <c r="AL217" s="813"/>
      <c r="AM217" s="814"/>
    </row>
    <row r="218" spans="1:39" ht="60.75" customHeight="1">
      <c r="B218" s="806"/>
      <c r="C218" s="808"/>
      <c r="D218" s="287">
        <v>2016</v>
      </c>
      <c r="E218" s="287">
        <v>2017</v>
      </c>
      <c r="F218" s="287">
        <v>2018</v>
      </c>
      <c r="G218" s="287">
        <v>2019</v>
      </c>
      <c r="H218" s="287">
        <v>2020</v>
      </c>
      <c r="I218" s="287">
        <v>2021</v>
      </c>
      <c r="J218" s="287">
        <v>2022</v>
      </c>
      <c r="K218" s="287">
        <v>2023</v>
      </c>
      <c r="L218" s="287">
        <v>2024</v>
      </c>
      <c r="M218" s="287">
        <v>2025</v>
      </c>
      <c r="N218" s="816"/>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 50 kW</v>
      </c>
      <c r="AA218" s="287" t="str">
        <f>'1.  LRAMVA Summary'!F50</f>
        <v>General Service &gt; 50 to 4999 kW</v>
      </c>
      <c r="AB218" s="287" t="str">
        <f>'1.  LRAMVA Summary'!G50</f>
        <v>Unmetered Scattered Load</v>
      </c>
      <c r="AC218" s="287" t="str">
        <f>'1.  LRAMVA Summary'!H50</f>
        <v>Street Lighting</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kWh</v>
      </c>
      <c r="AC219" s="293" t="str">
        <f>'1.  LRAMVA Summary'!H51</f>
        <v>kW</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291</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291</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291</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291</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291</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272597</v>
      </c>
      <c r="E288" s="297">
        <v>272597</v>
      </c>
      <c r="F288" s="297">
        <v>272597</v>
      </c>
      <c r="G288" s="297">
        <v>272597</v>
      </c>
      <c r="H288" s="297">
        <v>272597</v>
      </c>
      <c r="I288" s="297">
        <v>272597</v>
      </c>
      <c r="J288" s="297">
        <v>272597</v>
      </c>
      <c r="K288" s="297">
        <v>272561</v>
      </c>
      <c r="L288" s="297">
        <v>272561</v>
      </c>
      <c r="M288" s="297">
        <v>271377</v>
      </c>
      <c r="N288" s="293"/>
      <c r="O288" s="297">
        <v>18</v>
      </c>
      <c r="P288" s="297">
        <v>18</v>
      </c>
      <c r="Q288" s="297">
        <v>18</v>
      </c>
      <c r="R288" s="297">
        <v>18</v>
      </c>
      <c r="S288" s="297">
        <v>18</v>
      </c>
      <c r="T288" s="297">
        <v>18</v>
      </c>
      <c r="U288" s="297">
        <v>18</v>
      </c>
      <c r="V288" s="297">
        <v>18</v>
      </c>
      <c r="W288" s="297">
        <v>18</v>
      </c>
      <c r="X288" s="297">
        <v>18</v>
      </c>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291</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41778</v>
      </c>
      <c r="E291" s="297">
        <v>41778</v>
      </c>
      <c r="F291" s="297">
        <v>41778</v>
      </c>
      <c r="G291" s="297">
        <v>41778</v>
      </c>
      <c r="H291" s="297">
        <v>41778</v>
      </c>
      <c r="I291" s="297">
        <v>41778</v>
      </c>
      <c r="J291" s="297">
        <v>41778</v>
      </c>
      <c r="K291" s="297">
        <v>41778</v>
      </c>
      <c r="L291" s="297">
        <v>41778</v>
      </c>
      <c r="M291" s="297">
        <v>41778</v>
      </c>
      <c r="N291" s="293"/>
      <c r="O291" s="297">
        <v>12</v>
      </c>
      <c r="P291" s="297">
        <v>12</v>
      </c>
      <c r="Q291" s="297">
        <v>12</v>
      </c>
      <c r="R291" s="297">
        <v>12</v>
      </c>
      <c r="S291" s="297">
        <v>12</v>
      </c>
      <c r="T291" s="297">
        <v>12</v>
      </c>
      <c r="U291" s="297">
        <v>12</v>
      </c>
      <c r="V291" s="297">
        <v>12</v>
      </c>
      <c r="W291" s="297">
        <v>12</v>
      </c>
      <c r="X291" s="297">
        <v>12</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291</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1173</v>
      </c>
      <c r="E297" s="297">
        <v>1123</v>
      </c>
      <c r="F297" s="297">
        <v>1074</v>
      </c>
      <c r="G297" s="297">
        <v>1074</v>
      </c>
      <c r="H297" s="297">
        <v>1074</v>
      </c>
      <c r="I297" s="297">
        <v>1074</v>
      </c>
      <c r="J297" s="297">
        <v>1074</v>
      </c>
      <c r="K297" s="297">
        <v>1074</v>
      </c>
      <c r="L297" s="297">
        <v>665</v>
      </c>
      <c r="M297" s="297">
        <v>0</v>
      </c>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291</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416719</v>
      </c>
      <c r="E304" s="297">
        <v>415358</v>
      </c>
      <c r="F304" s="297">
        <v>415358</v>
      </c>
      <c r="G304" s="297">
        <v>415358</v>
      </c>
      <c r="H304" s="297">
        <v>415358</v>
      </c>
      <c r="I304" s="297">
        <v>415358</v>
      </c>
      <c r="J304" s="297">
        <v>415358</v>
      </c>
      <c r="K304" s="297">
        <v>415358</v>
      </c>
      <c r="L304" s="297">
        <v>415358</v>
      </c>
      <c r="M304" s="297">
        <v>415358</v>
      </c>
      <c r="N304" s="297">
        <v>12</v>
      </c>
      <c r="O304" s="297">
        <v>8</v>
      </c>
      <c r="P304" s="297">
        <v>7</v>
      </c>
      <c r="Q304" s="297">
        <v>7</v>
      </c>
      <c r="R304" s="297">
        <v>7</v>
      </c>
      <c r="S304" s="297">
        <v>7</v>
      </c>
      <c r="T304" s="297">
        <v>7</v>
      </c>
      <c r="U304" s="297">
        <v>7</v>
      </c>
      <c r="V304" s="297">
        <v>7</v>
      </c>
      <c r="W304" s="297">
        <v>7</v>
      </c>
      <c r="X304" s="297">
        <v>7</v>
      </c>
      <c r="Y304" s="428"/>
      <c r="Z304" s="412">
        <v>1</v>
      </c>
      <c r="AA304" s="412"/>
      <c r="AB304" s="412"/>
      <c r="AC304" s="412"/>
      <c r="AD304" s="412"/>
      <c r="AE304" s="412"/>
      <c r="AF304" s="412"/>
      <c r="AG304" s="417"/>
      <c r="AH304" s="417"/>
      <c r="AI304" s="417"/>
      <c r="AJ304" s="417"/>
      <c r="AK304" s="417"/>
      <c r="AL304" s="417"/>
      <c r="AM304" s="298">
        <f>SUM(Y304:AL304)</f>
        <v>1</v>
      </c>
    </row>
    <row r="305" spans="1:39" outlineLevel="1">
      <c r="B305" s="296" t="s">
        <v>291</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1</v>
      </c>
      <c r="AA305" s="413">
        <f t="shared" ref="AA305" si="812">AA304</f>
        <v>0</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291</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291</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291</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291</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276</v>
      </c>
      <c r="C378" s="331"/>
      <c r="D378" s="331">
        <f>SUM(D221:D376)</f>
        <v>732267</v>
      </c>
      <c r="E378" s="331"/>
      <c r="F378" s="331"/>
      <c r="G378" s="331"/>
      <c r="H378" s="331"/>
      <c r="I378" s="331"/>
      <c r="J378" s="331"/>
      <c r="K378" s="331"/>
      <c r="L378" s="331"/>
      <c r="M378" s="331"/>
      <c r="N378" s="331"/>
      <c r="O378" s="331">
        <f>SUM(O221:O376)</f>
        <v>38</v>
      </c>
      <c r="P378" s="331"/>
      <c r="Q378" s="331"/>
      <c r="R378" s="331"/>
      <c r="S378" s="331"/>
      <c r="T378" s="331"/>
      <c r="U378" s="331"/>
      <c r="V378" s="331"/>
      <c r="W378" s="331"/>
      <c r="X378" s="331"/>
      <c r="Y378" s="331">
        <f>IF(Y219="kWh",SUMPRODUCT(D221:D376,Y221:Y376))</f>
        <v>315548</v>
      </c>
      <c r="Z378" s="331">
        <f>IF(Z219="kWh",SUMPRODUCT(D221:D376,Z221:Z376))</f>
        <v>416719</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258830</v>
      </c>
      <c r="Z379" s="394">
        <f>HLOOKUP(Z218,'2. LRAMVA Threshold'!$B$42:$Q$53,8,FALSE)</f>
        <v>65523</v>
      </c>
      <c r="AA379" s="394">
        <f>HLOOKUP(AA218,'2. LRAMVA Threshold'!$B$42:$Q$53,8,FALSE)</f>
        <v>168</v>
      </c>
      <c r="AB379" s="394">
        <f>HLOOKUP(AB218,'2. LRAMVA Threshold'!$B$42:$Q$53,8,FALSE)</f>
        <v>1232</v>
      </c>
      <c r="AC379" s="394">
        <f>HLOOKUP(AC218,'2. LRAMVA Threshold'!$B$42:$Q$53,8,FALSE)</f>
        <v>14</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1.38E-2</v>
      </c>
      <c r="Z381" s="343">
        <f>HLOOKUP(Z$35,'3.  Distribution Rates'!$C$122:$P$133,8,FALSE)</f>
        <v>1.4200000000000001E-2</v>
      </c>
      <c r="AA381" s="343">
        <f>HLOOKUP(AA$35,'3.  Distribution Rates'!$C$122:$P$133,8,FALSE)</f>
        <v>3.5573999999999999</v>
      </c>
      <c r="AB381" s="343">
        <f>HLOOKUP(AB$35,'3.  Distribution Rates'!$C$122:$P$133,8,FALSE)</f>
        <v>5.3E-3</v>
      </c>
      <c r="AC381" s="343">
        <f>HLOOKUP(AC$35,'3.  Distribution Rates'!$C$122:$P$133,8,FALSE)</f>
        <v>7.7840999999999996</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0</v>
      </c>
      <c r="Z382" s="380">
        <f>'4.  2011-2014 LRAM'!Z139*Z381</f>
        <v>0</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0</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0</v>
      </c>
      <c r="Z383" s="380">
        <f>'4.  2011-2014 LRAM'!Z268*Z381</f>
        <v>0</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0</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0</v>
      </c>
      <c r="Z384" s="380">
        <f>'4.  2011-2014 LRAM'!Z397*Z381</f>
        <v>0</v>
      </c>
      <c r="AA384" s="380">
        <f>'4.  2011-2014 LRAM'!AA397*AA381</f>
        <v>0</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0</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0</v>
      </c>
      <c r="Z385" s="380">
        <f>'4.  2011-2014 LRAM'!Z527*Z381</f>
        <v>0</v>
      </c>
      <c r="AA385" s="380">
        <f>'4.  2011-2014 LRAM'!AA527*AA381</f>
        <v>0</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0</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2683.0787999999998</v>
      </c>
      <c r="Z386" s="380">
        <f t="shared" si="1124"/>
        <v>544.74040000000002</v>
      </c>
      <c r="AA386" s="380">
        <f t="shared" si="1124"/>
        <v>0</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3227.8191999999999</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4354.5623999999998</v>
      </c>
      <c r="Z387" s="380">
        <f t="shared" ref="Z387:AL387" si="1125">Z378*Z381</f>
        <v>5917.4098000000004</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10271.9722</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7037.6412</v>
      </c>
      <c r="Z388" s="348">
        <f t="shared" ref="Z388:AE388" si="1126">SUM(Z382:Z387)</f>
        <v>6462.1502</v>
      </c>
      <c r="AA388" s="348">
        <f t="shared" si="1126"/>
        <v>0</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13499.7914</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3571.8539999999998</v>
      </c>
      <c r="Z389" s="349">
        <f t="shared" ref="Z389:AE389" si="1128">Z379*Z381</f>
        <v>930.42660000000001</v>
      </c>
      <c r="AA389" s="349">
        <f t="shared" si="1128"/>
        <v>597.64319999999998</v>
      </c>
      <c r="AB389" s="349">
        <f t="shared" si="1128"/>
        <v>6.5296000000000003</v>
      </c>
      <c r="AC389" s="349">
        <f t="shared" si="1128"/>
        <v>108.97739999999999</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5215.4308000000001</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8284.3606</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315498</v>
      </c>
      <c r="Z392" s="293">
        <f>SUMPRODUCT(E221:E376,Z221:Z376)</f>
        <v>415358</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315449</v>
      </c>
      <c r="Z393" s="293">
        <f>SUMPRODUCT(F221:F376,Z221:Z376)</f>
        <v>415358</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315449</v>
      </c>
      <c r="Z394" s="293">
        <f>SUMPRODUCT(G221:G376,Z221:Z376)</f>
        <v>415358</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315449</v>
      </c>
      <c r="Z395" s="328">
        <f>SUMPRODUCT(H221:H376,Z221:Z376)</f>
        <v>415358</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596</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293</v>
      </c>
      <c r="C399" s="283"/>
      <c r="D399" s="592" t="s">
        <v>531</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5" t="s">
        <v>212</v>
      </c>
      <c r="C400" s="807" t="s">
        <v>33</v>
      </c>
      <c r="D400" s="286" t="s">
        <v>425</v>
      </c>
      <c r="E400" s="809" t="s">
        <v>210</v>
      </c>
      <c r="F400" s="810"/>
      <c r="G400" s="810"/>
      <c r="H400" s="810"/>
      <c r="I400" s="810"/>
      <c r="J400" s="810"/>
      <c r="K400" s="810"/>
      <c r="L400" s="810"/>
      <c r="M400" s="811"/>
      <c r="N400" s="815" t="s">
        <v>214</v>
      </c>
      <c r="O400" s="286" t="s">
        <v>426</v>
      </c>
      <c r="P400" s="809" t="s">
        <v>213</v>
      </c>
      <c r="Q400" s="810"/>
      <c r="R400" s="810"/>
      <c r="S400" s="810"/>
      <c r="T400" s="810"/>
      <c r="U400" s="810"/>
      <c r="V400" s="810"/>
      <c r="W400" s="810"/>
      <c r="X400" s="811"/>
      <c r="Y400" s="812" t="s">
        <v>245</v>
      </c>
      <c r="Z400" s="813"/>
      <c r="AA400" s="813"/>
      <c r="AB400" s="813"/>
      <c r="AC400" s="813"/>
      <c r="AD400" s="813"/>
      <c r="AE400" s="813"/>
      <c r="AF400" s="813"/>
      <c r="AG400" s="813"/>
      <c r="AH400" s="813"/>
      <c r="AI400" s="813"/>
      <c r="AJ400" s="813"/>
      <c r="AK400" s="813"/>
      <c r="AL400" s="813"/>
      <c r="AM400" s="814"/>
    </row>
    <row r="401" spans="1:39" ht="61.5" customHeight="1">
      <c r="B401" s="806"/>
      <c r="C401" s="808"/>
      <c r="D401" s="287">
        <v>2017</v>
      </c>
      <c r="E401" s="287">
        <v>2018</v>
      </c>
      <c r="F401" s="287">
        <v>2019</v>
      </c>
      <c r="G401" s="287">
        <v>2020</v>
      </c>
      <c r="H401" s="287">
        <v>2021</v>
      </c>
      <c r="I401" s="287">
        <v>2022</v>
      </c>
      <c r="J401" s="287">
        <v>2023</v>
      </c>
      <c r="K401" s="287">
        <v>2024</v>
      </c>
      <c r="L401" s="287">
        <v>2025</v>
      </c>
      <c r="M401" s="287">
        <v>2026</v>
      </c>
      <c r="N401" s="816"/>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General Service &lt; 50 kW</v>
      </c>
      <c r="AA401" s="287" t="str">
        <f>'1.  LRAMVA Summary'!F50</f>
        <v>General Service &gt; 50 to 4999 kW</v>
      </c>
      <c r="AB401" s="287" t="str">
        <f>'1.  LRAMVA Summary'!G50</f>
        <v>Unmetered Scattered Load</v>
      </c>
      <c r="AC401" s="287" t="str">
        <f>'1.  LRAMVA Summary'!H50</f>
        <v>Street Lighting</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kWh</v>
      </c>
      <c r="AC402" s="293" t="str">
        <f>'1.  LRAMVA Summary'!H51</f>
        <v>kW</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310</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310</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310</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310</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310</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310</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294</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1.06E-2</v>
      </c>
      <c r="Z564" s="343">
        <f>HLOOKUP(Z$35,'3.  Distribution Rates'!$C$122:$P$133,9,FALSE)</f>
        <v>1.4500000000000001E-2</v>
      </c>
      <c r="AA564" s="343">
        <f>HLOOKUP(AA$35,'3.  Distribution Rates'!$C$122:$P$133,9,FALSE)</f>
        <v>3.6267999999999998</v>
      </c>
      <c r="AB564" s="343">
        <f>HLOOKUP(AB$35,'3.  Distribution Rates'!$C$122:$P$133,9,FALSE)</f>
        <v>5.4000000000000003E-3</v>
      </c>
      <c r="AC564" s="343">
        <f>HLOOKUP(AC$35,'3.  Distribution Rates'!$C$122:$P$133,9,FALSE)</f>
        <v>7.9359000000000002</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0</v>
      </c>
      <c r="Z565" s="380">
        <f>'4.  2011-2014 LRAM'!Z140*Z564</f>
        <v>0</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0</v>
      </c>
    </row>
    <row r="566" spans="2:39">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0</v>
      </c>
      <c r="Z566" s="380">
        <f>'4.  2011-2014 LRAM'!Z269*Z564</f>
        <v>0</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0</v>
      </c>
    </row>
    <row r="567" spans="2:39">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0</v>
      </c>
      <c r="Z567" s="380">
        <f>'4.  2011-2014 LRAM'!Z398*Z564</f>
        <v>0</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0</v>
      </c>
    </row>
    <row r="568" spans="2:39">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0</v>
      </c>
      <c r="Z568" s="380">
        <f>'4.  2011-2014 LRAM'!Z528*Z564</f>
        <v>0</v>
      </c>
      <c r="AA568" s="380">
        <f>'4.  2011-2014 LRAM'!AA528*AA564</f>
        <v>0</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0</v>
      </c>
    </row>
    <row r="569" spans="2:39">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2060.9155999999998</v>
      </c>
      <c r="Z569" s="380">
        <f t="shared" si="1700"/>
        <v>556.24900000000002</v>
      </c>
      <c r="AA569" s="380">
        <f t="shared" si="1700"/>
        <v>0</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2617.1646000000001</v>
      </c>
    </row>
    <row r="570" spans="2:39">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3344.2788</v>
      </c>
      <c r="Z570" s="380">
        <f t="shared" si="1701"/>
        <v>6022.6910000000007</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9366.9698000000008</v>
      </c>
    </row>
    <row r="571" spans="2:39">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5405.1944000000003</v>
      </c>
      <c r="Z572" s="348">
        <f>SUM(Z565:Z571)</f>
        <v>6578.9400000000005</v>
      </c>
      <c r="AA572" s="348">
        <f t="shared" ref="AA572:AE572" si="1703">SUM(AA565:AA571)</f>
        <v>0</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11984.134400000001</v>
      </c>
    </row>
    <row r="573" spans="2:39" ht="15.75">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11984.134400000001</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596</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311</v>
      </c>
      <c r="C582" s="283"/>
      <c r="D582" s="592" t="s">
        <v>531</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5" t="s">
        <v>212</v>
      </c>
      <c r="C583" s="807" t="s">
        <v>33</v>
      </c>
      <c r="D583" s="286" t="s">
        <v>425</v>
      </c>
      <c r="E583" s="809" t="s">
        <v>210</v>
      </c>
      <c r="F583" s="810"/>
      <c r="G583" s="810"/>
      <c r="H583" s="810"/>
      <c r="I583" s="810"/>
      <c r="J583" s="810"/>
      <c r="K583" s="810"/>
      <c r="L583" s="810"/>
      <c r="M583" s="811"/>
      <c r="N583" s="815" t="s">
        <v>214</v>
      </c>
      <c r="O583" s="286" t="s">
        <v>426</v>
      </c>
      <c r="P583" s="809" t="s">
        <v>213</v>
      </c>
      <c r="Q583" s="810"/>
      <c r="R583" s="810"/>
      <c r="S583" s="810"/>
      <c r="T583" s="810"/>
      <c r="U583" s="810"/>
      <c r="V583" s="810"/>
      <c r="W583" s="810"/>
      <c r="X583" s="811"/>
      <c r="Y583" s="812" t="s">
        <v>245</v>
      </c>
      <c r="Z583" s="813"/>
      <c r="AA583" s="813"/>
      <c r="AB583" s="813"/>
      <c r="AC583" s="813"/>
      <c r="AD583" s="813"/>
      <c r="AE583" s="813"/>
      <c r="AF583" s="813"/>
      <c r="AG583" s="813"/>
      <c r="AH583" s="813"/>
      <c r="AI583" s="813"/>
      <c r="AJ583" s="813"/>
      <c r="AK583" s="813"/>
      <c r="AL583" s="813"/>
      <c r="AM583" s="814"/>
    </row>
    <row r="584" spans="1:39" ht="68.25" customHeight="1">
      <c r="B584" s="806"/>
      <c r="C584" s="808"/>
      <c r="D584" s="287">
        <v>2018</v>
      </c>
      <c r="E584" s="287">
        <v>2019</v>
      </c>
      <c r="F584" s="287">
        <v>2020</v>
      </c>
      <c r="G584" s="287">
        <v>2021</v>
      </c>
      <c r="H584" s="287">
        <v>2022</v>
      </c>
      <c r="I584" s="287">
        <v>2023</v>
      </c>
      <c r="J584" s="287">
        <v>2024</v>
      </c>
      <c r="K584" s="287">
        <v>2025</v>
      </c>
      <c r="L584" s="287">
        <v>2026</v>
      </c>
      <c r="M584" s="287">
        <v>2027</v>
      </c>
      <c r="N584" s="816"/>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General Service &lt; 50 kW</v>
      </c>
      <c r="AA584" s="287" t="str">
        <f>'1.  LRAMVA Summary'!F50</f>
        <v>General Service &gt; 50 to 4999 kW</v>
      </c>
      <c r="AB584" s="287" t="str">
        <f>'1.  LRAMVA Summary'!G50</f>
        <v>Unmetered Scattered Load</v>
      </c>
      <c r="AC584" s="287" t="str">
        <f>'1.  LRAMVA Summary'!H50</f>
        <v>Street Lighting</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kWh</v>
      </c>
      <c r="AC585" s="293" t="str">
        <f>'1.  LRAMVA Summary'!H51</f>
        <v>kW</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312</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312</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312</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312</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312</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312</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312</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313</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596</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329</v>
      </c>
      <c r="C765" s="283"/>
      <c r="D765" s="592" t="s">
        <v>531</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5" t="s">
        <v>212</v>
      </c>
      <c r="C766" s="807" t="s">
        <v>33</v>
      </c>
      <c r="D766" s="286" t="s">
        <v>425</v>
      </c>
      <c r="E766" s="809" t="s">
        <v>210</v>
      </c>
      <c r="F766" s="810"/>
      <c r="G766" s="810"/>
      <c r="H766" s="810"/>
      <c r="I766" s="810"/>
      <c r="J766" s="810"/>
      <c r="K766" s="810"/>
      <c r="L766" s="810"/>
      <c r="M766" s="811"/>
      <c r="N766" s="815" t="s">
        <v>214</v>
      </c>
      <c r="O766" s="286" t="s">
        <v>426</v>
      </c>
      <c r="P766" s="809" t="s">
        <v>213</v>
      </c>
      <c r="Q766" s="810"/>
      <c r="R766" s="810"/>
      <c r="S766" s="810"/>
      <c r="T766" s="810"/>
      <c r="U766" s="810"/>
      <c r="V766" s="810"/>
      <c r="W766" s="810"/>
      <c r="X766" s="811"/>
      <c r="Y766" s="812" t="s">
        <v>245</v>
      </c>
      <c r="Z766" s="813"/>
      <c r="AA766" s="813"/>
      <c r="AB766" s="813"/>
      <c r="AC766" s="813"/>
      <c r="AD766" s="813"/>
      <c r="AE766" s="813"/>
      <c r="AF766" s="813"/>
      <c r="AG766" s="813"/>
      <c r="AH766" s="813"/>
      <c r="AI766" s="813"/>
      <c r="AJ766" s="813"/>
      <c r="AK766" s="813"/>
      <c r="AL766" s="813"/>
      <c r="AM766" s="814"/>
    </row>
    <row r="767" spans="1:40" ht="65.25" customHeight="1">
      <c r="B767" s="806"/>
      <c r="C767" s="808"/>
      <c r="D767" s="287">
        <v>2019</v>
      </c>
      <c r="E767" s="287">
        <v>2020</v>
      </c>
      <c r="F767" s="287">
        <v>2021</v>
      </c>
      <c r="G767" s="287">
        <v>2022</v>
      </c>
      <c r="H767" s="287">
        <v>2023</v>
      </c>
      <c r="I767" s="287">
        <v>2024</v>
      </c>
      <c r="J767" s="287">
        <v>2025</v>
      </c>
      <c r="K767" s="287">
        <v>2026</v>
      </c>
      <c r="L767" s="287">
        <v>2027</v>
      </c>
      <c r="M767" s="287">
        <v>2028</v>
      </c>
      <c r="N767" s="816"/>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General Service &lt; 50 kW</v>
      </c>
      <c r="AA767" s="287" t="str">
        <f>'1.  LRAMVA Summary'!F50</f>
        <v>General Service &gt; 50 to 4999 kW</v>
      </c>
      <c r="AB767" s="287" t="str">
        <f>'1.  LRAMVA Summary'!G50</f>
        <v>Unmetered Scattered Load</v>
      </c>
      <c r="AC767" s="287" t="str">
        <f>'1.  LRAMVA Summary'!H50</f>
        <v>Street Lighting</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kWh</v>
      </c>
      <c r="AC768" s="293" t="str">
        <f>'1.  LRAMVA Summary'!H51</f>
        <v>kW</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344</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344</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344</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344</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344</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344</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596</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343</v>
      </c>
      <c r="C948" s="283"/>
      <c r="D948" s="592" t="s">
        <v>531</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5" t="s">
        <v>212</v>
      </c>
      <c r="C949" s="807" t="s">
        <v>33</v>
      </c>
      <c r="D949" s="286" t="s">
        <v>425</v>
      </c>
      <c r="E949" s="809" t="s">
        <v>210</v>
      </c>
      <c r="F949" s="810"/>
      <c r="G949" s="810"/>
      <c r="H949" s="810"/>
      <c r="I949" s="810"/>
      <c r="J949" s="810"/>
      <c r="K949" s="810"/>
      <c r="L949" s="810"/>
      <c r="M949" s="811"/>
      <c r="N949" s="815" t="s">
        <v>214</v>
      </c>
      <c r="O949" s="286" t="s">
        <v>426</v>
      </c>
      <c r="P949" s="809" t="s">
        <v>213</v>
      </c>
      <c r="Q949" s="810"/>
      <c r="R949" s="810"/>
      <c r="S949" s="810"/>
      <c r="T949" s="810"/>
      <c r="U949" s="810"/>
      <c r="V949" s="810"/>
      <c r="W949" s="810"/>
      <c r="X949" s="811"/>
      <c r="Y949" s="812" t="s">
        <v>245</v>
      </c>
      <c r="Z949" s="813"/>
      <c r="AA949" s="813"/>
      <c r="AB949" s="813"/>
      <c r="AC949" s="813"/>
      <c r="AD949" s="813"/>
      <c r="AE949" s="813"/>
      <c r="AF949" s="813"/>
      <c r="AG949" s="813"/>
      <c r="AH949" s="813"/>
      <c r="AI949" s="813"/>
      <c r="AJ949" s="813"/>
      <c r="AK949" s="813"/>
      <c r="AL949" s="813"/>
      <c r="AM949" s="814"/>
    </row>
    <row r="950" spans="1:39" ht="65.25" customHeight="1">
      <c r="B950" s="806"/>
      <c r="C950" s="808"/>
      <c r="D950" s="287">
        <v>2020</v>
      </c>
      <c r="E950" s="287">
        <v>2021</v>
      </c>
      <c r="F950" s="287">
        <v>2022</v>
      </c>
      <c r="G950" s="287">
        <v>2023</v>
      </c>
      <c r="H950" s="287">
        <v>2024</v>
      </c>
      <c r="I950" s="287">
        <v>2025</v>
      </c>
      <c r="J950" s="287">
        <v>2026</v>
      </c>
      <c r="K950" s="287">
        <v>2027</v>
      </c>
      <c r="L950" s="287">
        <v>2028</v>
      </c>
      <c r="M950" s="287">
        <v>2029</v>
      </c>
      <c r="N950" s="816"/>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General Service &lt; 50 kW</v>
      </c>
      <c r="AA950" s="287" t="str">
        <f>'1.  LRAMVA Summary'!F50</f>
        <v>General Service &gt; 50 to 4999 kW</v>
      </c>
      <c r="AB950" s="287" t="str">
        <f>'1.  LRAMVA Summary'!G50</f>
        <v>Unmetered Scattered Load</v>
      </c>
      <c r="AC950" s="287" t="str">
        <f>'1.  LRAMVA Summary'!H50</f>
        <v>Street Lighting</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kWh</v>
      </c>
      <c r="AC951" s="293" t="str">
        <f>'1.  LRAMVA Summary'!H51</f>
        <v>kW</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348</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348</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348</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348</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348</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348</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596</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531</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52" zoomScale="90" zoomScaleNormal="90" workbookViewId="0">
      <selection activeCell="C48" sqref="C48"/>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556</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509</v>
      </c>
      <c r="C8" s="818" t="s">
        <v>681</v>
      </c>
      <c r="D8" s="818"/>
      <c r="E8" s="818"/>
      <c r="F8" s="818"/>
      <c r="G8" s="818"/>
      <c r="H8" s="818"/>
      <c r="I8" s="818"/>
      <c r="J8" s="818"/>
      <c r="K8" s="818"/>
      <c r="L8" s="818"/>
      <c r="M8" s="818"/>
      <c r="N8" s="818"/>
      <c r="O8" s="818"/>
      <c r="P8" s="818"/>
      <c r="Q8" s="818"/>
      <c r="R8" s="818"/>
      <c r="S8" s="818"/>
      <c r="T8" s="107"/>
      <c r="U8" s="107"/>
      <c r="V8" s="107"/>
      <c r="W8" s="107"/>
    </row>
    <row r="9" spans="1:28" s="9" customFormat="1" ht="45" customHeight="1">
      <c r="B9" s="57"/>
      <c r="C9" s="818" t="s">
        <v>569</v>
      </c>
      <c r="D9" s="818"/>
      <c r="E9" s="818"/>
      <c r="F9" s="818"/>
      <c r="G9" s="818"/>
      <c r="H9" s="818"/>
      <c r="I9" s="818"/>
      <c r="J9" s="818"/>
      <c r="K9" s="818"/>
      <c r="L9" s="818"/>
      <c r="M9" s="818"/>
      <c r="N9" s="818"/>
      <c r="O9" s="818"/>
      <c r="P9" s="818"/>
      <c r="Q9" s="818"/>
      <c r="R9" s="818"/>
      <c r="S9" s="81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7" t="s">
        <v>236</v>
      </c>
      <c r="C12" s="817"/>
      <c r="D12" s="183"/>
      <c r="E12" s="184" t="s">
        <v>237</v>
      </c>
      <c r="F12" s="52"/>
      <c r="G12" s="52"/>
      <c r="H12" s="45"/>
      <c r="I12" s="52"/>
      <c r="K12" s="594" t="s">
        <v>540</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General Service &lt; 50 kW</v>
      </c>
      <c r="K14" s="206" t="str">
        <f>'1.  LRAMVA Summary'!F50</f>
        <v>General Service &gt; 50 to 4999 kW</v>
      </c>
      <c r="L14" s="206" t="str">
        <f>'1.  LRAMVA Summary'!G50</f>
        <v>Unmetered Scattered Load</v>
      </c>
      <c r="M14" s="206" t="str">
        <f>'1.  LRAMVA Summary'!H50</f>
        <v>Street Lighting</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1.0999999999999999E-2</v>
      </c>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1.0999999999999999E-2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1.0999999999999999E-2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466</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-0.21475174857645835</v>
      </c>
      <c r="J61" s="232">
        <f>(SUM('1.  LRAMVA Summary'!E$52:E$60)+SUM('1.  LRAMVA Summary'!E$61:E$62)*(MONTH($E61)-1)/12)*$H61</f>
        <v>-2.6225933666041652E-2</v>
      </c>
      <c r="K61" s="232">
        <f>(SUM('1.  LRAMVA Summary'!F$52:F$60)+SUM('1.  LRAMVA Summary'!F$61:F$62)*(MONTH($E61)-1)/12)*$H61</f>
        <v>-7.7566019999999999E-2</v>
      </c>
      <c r="L61" s="232">
        <f>(SUM('1.  LRAMVA Summary'!G$52:G$60)+SUM('1.  LRAMVA Summary'!G$61:G$62)*(MONTH($E61)-1)/12)*$H61</f>
        <v>-1.3079733333333332E-3</v>
      </c>
      <c r="M61" s="232">
        <f>(SUM('1.  LRAMVA Summary'!H$52:H$60)+SUM('1.  LRAMVA Summary'!H$61:H$62)*(MONTH($E61)-1)/12)*$H61</f>
        <v>-9.2658591666666644E-3</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-0.3291175347425</v>
      </c>
    </row>
    <row r="62" spans="1:23" s="9" customFormat="1">
      <c r="B62" s="68"/>
      <c r="E62" s="216">
        <v>41699</v>
      </c>
      <c r="F62" s="216" t="s">
        <v>181</v>
      </c>
      <c r="G62" s="217" t="s">
        <v>65</v>
      </c>
      <c r="H62" s="231">
        <f>C$27/12</f>
        <v>1.225E-3</v>
      </c>
      <c r="I62" s="232">
        <f>(SUM('1.  LRAMVA Summary'!D$52:D$60)+SUM('1.  LRAMVA Summary'!D$61:D$62)*(MONTH($E62)-1)/12)*$H62</f>
        <v>-0.42950349715291669</v>
      </c>
      <c r="J62" s="232">
        <f>(SUM('1.  LRAMVA Summary'!E$52:E$60)+SUM('1.  LRAMVA Summary'!E$61:E$62)*(MONTH($E62)-1)/12)*$H62</f>
        <v>-5.2451867332083305E-2</v>
      </c>
      <c r="K62" s="232">
        <f>(SUM('1.  LRAMVA Summary'!F$52:F$60)+SUM('1.  LRAMVA Summary'!F$61:F$62)*(MONTH($E62)-1)/12)*$H62</f>
        <v>-0.15513204</v>
      </c>
      <c r="L62" s="232">
        <f>(SUM('1.  LRAMVA Summary'!G$52:G$60)+SUM('1.  LRAMVA Summary'!G$61:G$62)*(MONTH($E62)-1)/12)*$H62</f>
        <v>-2.6159466666666664E-3</v>
      </c>
      <c r="M62" s="232">
        <f>(SUM('1.  LRAMVA Summary'!H$52:H$60)+SUM('1.  LRAMVA Summary'!H$61:H$62)*(MONTH($E62)-1)/12)*$H62</f>
        <v>-1.8531718333333329E-2</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-0.65823506948499999</v>
      </c>
    </row>
    <row r="63" spans="1:23" s="9" customFormat="1">
      <c r="B63" s="68"/>
      <c r="E63" s="216">
        <v>41730</v>
      </c>
      <c r="F63" s="216" t="s">
        <v>181</v>
      </c>
      <c r="G63" s="217" t="s">
        <v>66</v>
      </c>
      <c r="H63" s="234">
        <f>C$28/12</f>
        <v>1.225E-3</v>
      </c>
      <c r="I63" s="232">
        <f>(SUM('1.  LRAMVA Summary'!D$52:D$60)+SUM('1.  LRAMVA Summary'!D$61:D$62)*(MONTH($E63)-1)/12)*$H63</f>
        <v>-0.64425524572937498</v>
      </c>
      <c r="J63" s="232">
        <f>(SUM('1.  LRAMVA Summary'!E$52:E$60)+SUM('1.  LRAMVA Summary'!E$61:E$62)*(MONTH($E63)-1)/12)*$H63</f>
        <v>-7.8677800998124964E-2</v>
      </c>
      <c r="K63" s="232">
        <f>(SUM('1.  LRAMVA Summary'!F$52:F$60)+SUM('1.  LRAMVA Summary'!F$61:F$62)*(MONTH($E63)-1)/12)*$H63</f>
        <v>-0.23269806000000004</v>
      </c>
      <c r="L63" s="232">
        <f>(SUM('1.  LRAMVA Summary'!G$52:G$60)+SUM('1.  LRAMVA Summary'!G$61:G$62)*(MONTH($E63)-1)/12)*$H63</f>
        <v>-3.92392E-3</v>
      </c>
      <c r="M63" s="232">
        <f>(SUM('1.  LRAMVA Summary'!H$52:H$60)+SUM('1.  LRAMVA Summary'!H$61:H$62)*(MONTH($E63)-1)/12)*$H63</f>
        <v>-2.779757749999999E-2</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-0.98735260422749993</v>
      </c>
    </row>
    <row r="64" spans="1:23" s="9" customFormat="1">
      <c r="B64" s="68"/>
      <c r="E64" s="216">
        <v>41760</v>
      </c>
      <c r="F64" s="216" t="s">
        <v>181</v>
      </c>
      <c r="G64" s="217" t="s">
        <v>66</v>
      </c>
      <c r="H64" s="231">
        <f>C$28/12</f>
        <v>1.225E-3</v>
      </c>
      <c r="I64" s="232">
        <f>(SUM('1.  LRAMVA Summary'!D$52:D$60)+SUM('1.  LRAMVA Summary'!D$61:D$62)*(MONTH($E64)-1)/12)*$H64</f>
        <v>-0.85900699430583338</v>
      </c>
      <c r="J64" s="232">
        <f>(SUM('1.  LRAMVA Summary'!E$52:E$60)+SUM('1.  LRAMVA Summary'!E$61:E$62)*(MONTH($E64)-1)/12)*$H64</f>
        <v>-0.10490373466416661</v>
      </c>
      <c r="K64" s="232">
        <f>(SUM('1.  LRAMVA Summary'!F$52:F$60)+SUM('1.  LRAMVA Summary'!F$61:F$62)*(MONTH($E64)-1)/12)*$H64</f>
        <v>-0.31026408</v>
      </c>
      <c r="L64" s="232">
        <f>(SUM('1.  LRAMVA Summary'!G$52:G$60)+SUM('1.  LRAMVA Summary'!G$61:G$62)*(MONTH($E64)-1)/12)*$H64</f>
        <v>-5.2318933333333328E-3</v>
      </c>
      <c r="M64" s="232">
        <f>(SUM('1.  LRAMVA Summary'!H$52:H$60)+SUM('1.  LRAMVA Summary'!H$61:H$62)*(MONTH($E64)-1)/12)*$H64</f>
        <v>-3.7063436666666658E-2</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-1.31647013897</v>
      </c>
    </row>
    <row r="65" spans="2:23" s="9" customFormat="1">
      <c r="B65" s="68"/>
      <c r="E65" s="216">
        <v>41791</v>
      </c>
      <c r="F65" s="216" t="s">
        <v>181</v>
      </c>
      <c r="G65" s="217" t="s">
        <v>66</v>
      </c>
      <c r="H65" s="231">
        <f>C$28/12</f>
        <v>1.225E-3</v>
      </c>
      <c r="I65" s="232">
        <f>(SUM('1.  LRAMVA Summary'!D$52:D$60)+SUM('1.  LRAMVA Summary'!D$61:D$62)*(MONTH($E65)-1)/12)*$H65</f>
        <v>-1.0737587428822917</v>
      </c>
      <c r="J65" s="232">
        <f>(SUM('1.  LRAMVA Summary'!E$52:E$60)+SUM('1.  LRAMVA Summary'!E$61:E$62)*(MONTH($E65)-1)/12)*$H65</f>
        <v>-0.13112966833020825</v>
      </c>
      <c r="K65" s="232">
        <f>(SUM('1.  LRAMVA Summary'!F$52:F$60)+SUM('1.  LRAMVA Summary'!F$61:F$62)*(MONTH($E65)-1)/12)*$H65</f>
        <v>-0.38783010000000001</v>
      </c>
      <c r="L65" s="232">
        <f>(SUM('1.  LRAMVA Summary'!G$52:G$60)+SUM('1.  LRAMVA Summary'!G$61:G$62)*(MONTH($E65)-1)/12)*$H65</f>
        <v>-6.5398666666666655E-3</v>
      </c>
      <c r="M65" s="232">
        <f>(SUM('1.  LRAMVA Summary'!H$52:H$60)+SUM('1.  LRAMVA Summary'!H$61:H$62)*(MONTH($E65)-1)/12)*$H65</f>
        <v>-4.6329295833333325E-2</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-1.6455876737124999</v>
      </c>
    </row>
    <row r="66" spans="2:23" s="9" customFormat="1">
      <c r="B66" s="68"/>
      <c r="E66" s="216">
        <v>41821</v>
      </c>
      <c r="F66" s="216" t="s">
        <v>181</v>
      </c>
      <c r="G66" s="217" t="s">
        <v>68</v>
      </c>
      <c r="H66" s="234">
        <f>C$29/12</f>
        <v>1.225E-3</v>
      </c>
      <c r="I66" s="232">
        <f>(SUM('1.  LRAMVA Summary'!D$52:D$60)+SUM('1.  LRAMVA Summary'!D$61:D$62)*(MONTH($E66)-1)/12)*$H66</f>
        <v>-1.28851049145875</v>
      </c>
      <c r="J66" s="232">
        <f>(SUM('1.  LRAMVA Summary'!E$52:E$60)+SUM('1.  LRAMVA Summary'!E$61:E$62)*(MONTH($E66)-1)/12)*$H66</f>
        <v>-0.15735560199624993</v>
      </c>
      <c r="K66" s="232">
        <f>(SUM('1.  LRAMVA Summary'!F$52:F$60)+SUM('1.  LRAMVA Summary'!F$61:F$62)*(MONTH($E66)-1)/12)*$H66</f>
        <v>-0.46539612000000008</v>
      </c>
      <c r="L66" s="232">
        <f>(SUM('1.  LRAMVA Summary'!G$52:G$60)+SUM('1.  LRAMVA Summary'!G$61:G$62)*(MONTH($E66)-1)/12)*$H66</f>
        <v>-7.84784E-3</v>
      </c>
      <c r="M66" s="232">
        <f>(SUM('1.  LRAMVA Summary'!H$52:H$60)+SUM('1.  LRAMVA Summary'!H$61:H$62)*(MONTH($E66)-1)/12)*$H66</f>
        <v>-5.5595154999999979E-2</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-1.9747052084549999</v>
      </c>
    </row>
    <row r="67" spans="2:23" s="9" customFormat="1">
      <c r="B67" s="68"/>
      <c r="E67" s="216">
        <v>41852</v>
      </c>
      <c r="F67" s="216" t="s">
        <v>181</v>
      </c>
      <c r="G67" s="217" t="s">
        <v>68</v>
      </c>
      <c r="H67" s="231">
        <f>C$29/12</f>
        <v>1.225E-3</v>
      </c>
      <c r="I67" s="232">
        <f>(SUM('1.  LRAMVA Summary'!D$52:D$60)+SUM('1.  LRAMVA Summary'!D$61:D$62)*(MONTH($E67)-1)/12)*$H67</f>
        <v>-1.5032622400352085</v>
      </c>
      <c r="J67" s="232">
        <f>(SUM('1.  LRAMVA Summary'!E$52:E$60)+SUM('1.  LRAMVA Summary'!E$61:E$62)*(MONTH($E67)-1)/12)*$H67</f>
        <v>-0.1835815356622916</v>
      </c>
      <c r="K67" s="232">
        <f>(SUM('1.  LRAMVA Summary'!F$52:F$60)+SUM('1.  LRAMVA Summary'!F$61:F$62)*(MONTH($E67)-1)/12)*$H67</f>
        <v>-0.54296214000000009</v>
      </c>
      <c r="L67" s="232">
        <f>(SUM('1.  LRAMVA Summary'!G$52:G$60)+SUM('1.  LRAMVA Summary'!G$61:G$62)*(MONTH($E67)-1)/12)*$H67</f>
        <v>-9.1558133333333337E-3</v>
      </c>
      <c r="M67" s="232">
        <f>(SUM('1.  LRAMVA Summary'!H$52:H$60)+SUM('1.  LRAMVA Summary'!H$61:H$62)*(MONTH($E67)-1)/12)*$H67</f>
        <v>-6.4861014166666661E-2</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-2.3038227431975002</v>
      </c>
    </row>
    <row r="68" spans="2:23" s="9" customFormat="1">
      <c r="B68" s="68"/>
      <c r="E68" s="216">
        <v>41883</v>
      </c>
      <c r="F68" s="216" t="s">
        <v>181</v>
      </c>
      <c r="G68" s="217" t="s">
        <v>68</v>
      </c>
      <c r="H68" s="231">
        <f>C$29/12</f>
        <v>1.225E-3</v>
      </c>
      <c r="I68" s="232">
        <f>(SUM('1.  LRAMVA Summary'!D$52:D$60)+SUM('1.  LRAMVA Summary'!D$61:D$62)*(MONTH($E68)-1)/12)*$H68</f>
        <v>-1.7180139886116668</v>
      </c>
      <c r="J68" s="232">
        <f>(SUM('1.  LRAMVA Summary'!E$52:E$60)+SUM('1.  LRAMVA Summary'!E$61:E$62)*(MONTH($E68)-1)/12)*$H68</f>
        <v>-0.20980746932833322</v>
      </c>
      <c r="K68" s="232">
        <f>(SUM('1.  LRAMVA Summary'!F$52:F$60)+SUM('1.  LRAMVA Summary'!F$61:F$62)*(MONTH($E68)-1)/12)*$H68</f>
        <v>-0.62052816</v>
      </c>
      <c r="L68" s="232">
        <f>(SUM('1.  LRAMVA Summary'!G$52:G$60)+SUM('1.  LRAMVA Summary'!G$61:G$62)*(MONTH($E68)-1)/12)*$H68</f>
        <v>-1.0463786666666666E-2</v>
      </c>
      <c r="M68" s="232">
        <f>(SUM('1.  LRAMVA Summary'!H$52:H$60)+SUM('1.  LRAMVA Summary'!H$61:H$62)*(MONTH($E68)-1)/12)*$H68</f>
        <v>-7.4126873333333315E-2</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-2.63294027794</v>
      </c>
    </row>
    <row r="69" spans="2:23" s="9" customFormat="1">
      <c r="B69" s="68"/>
      <c r="E69" s="216">
        <v>41913</v>
      </c>
      <c r="F69" s="216" t="s">
        <v>181</v>
      </c>
      <c r="G69" s="217" t="s">
        <v>69</v>
      </c>
      <c r="H69" s="234">
        <f>C$30/12</f>
        <v>1.225E-3</v>
      </c>
      <c r="I69" s="232">
        <f>(SUM('1.  LRAMVA Summary'!D$52:D$60)+SUM('1.  LRAMVA Summary'!D$61:D$62)*(MONTH($E69)-1)/12)*$H69</f>
        <v>-1.9327657371881248</v>
      </c>
      <c r="J69" s="232">
        <f>(SUM('1.  LRAMVA Summary'!E$52:E$60)+SUM('1.  LRAMVA Summary'!E$61:E$62)*(MONTH($E69)-1)/12)*$H69</f>
        <v>-0.23603340299437489</v>
      </c>
      <c r="K69" s="232">
        <f>(SUM('1.  LRAMVA Summary'!F$52:F$60)+SUM('1.  LRAMVA Summary'!F$61:F$62)*(MONTH($E69)-1)/12)*$H69</f>
        <v>-0.69809418000000001</v>
      </c>
      <c r="L69" s="232">
        <f>(SUM('1.  LRAMVA Summary'!G$52:G$60)+SUM('1.  LRAMVA Summary'!G$61:G$62)*(MONTH($E69)-1)/12)*$H69</f>
        <v>-1.1771759999999997E-2</v>
      </c>
      <c r="M69" s="232">
        <f>(SUM('1.  LRAMVA Summary'!H$52:H$60)+SUM('1.  LRAMVA Summary'!H$61:H$62)*(MONTH($E69)-1)/12)*$H69</f>
        <v>-8.3392732499999997E-2</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-2.9620578126824997</v>
      </c>
    </row>
    <row r="70" spans="2:23" s="9" customFormat="1">
      <c r="B70" s="68"/>
      <c r="E70" s="216">
        <v>41944</v>
      </c>
      <c r="F70" s="216" t="s">
        <v>181</v>
      </c>
      <c r="G70" s="217" t="s">
        <v>69</v>
      </c>
      <c r="H70" s="231">
        <f>C$30/12</f>
        <v>1.225E-3</v>
      </c>
      <c r="I70" s="232">
        <f>(SUM('1.  LRAMVA Summary'!D$52:D$60)+SUM('1.  LRAMVA Summary'!D$61:D$62)*(MONTH($E70)-1)/12)*$H70</f>
        <v>-2.1475174857645833</v>
      </c>
      <c r="J70" s="232">
        <f>(SUM('1.  LRAMVA Summary'!E$52:E$60)+SUM('1.  LRAMVA Summary'!E$61:E$62)*(MONTH($E70)-1)/12)*$H70</f>
        <v>-0.26225933666041651</v>
      </c>
      <c r="K70" s="232">
        <f>(SUM('1.  LRAMVA Summary'!F$52:F$60)+SUM('1.  LRAMVA Summary'!F$61:F$62)*(MONTH($E70)-1)/12)*$H70</f>
        <v>-0.77566020000000002</v>
      </c>
      <c r="L70" s="232">
        <f>(SUM('1.  LRAMVA Summary'!G$52:G$60)+SUM('1.  LRAMVA Summary'!G$61:G$62)*(MONTH($E70)-1)/12)*$H70</f>
        <v>-1.3079733333333331E-2</v>
      </c>
      <c r="M70" s="232">
        <f>(SUM('1.  LRAMVA Summary'!H$52:H$60)+SUM('1.  LRAMVA Summary'!H$61:H$62)*(MONTH($E70)-1)/12)*$H70</f>
        <v>-9.2658591666666651E-2</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-3.2911753474249998</v>
      </c>
    </row>
    <row r="71" spans="2:23" s="9" customFormat="1">
      <c r="B71" s="68"/>
      <c r="E71" s="216">
        <v>41974</v>
      </c>
      <c r="F71" s="216" t="s">
        <v>181</v>
      </c>
      <c r="G71" s="217" t="s">
        <v>69</v>
      </c>
      <c r="H71" s="231">
        <f>C$30/12</f>
        <v>1.225E-3</v>
      </c>
      <c r="I71" s="232">
        <f>(SUM('1.  LRAMVA Summary'!D$52:D$60)+SUM('1.  LRAMVA Summary'!D$61:D$62)*(MONTH($E71)-1)/12)*$H71</f>
        <v>-2.3622692343410416</v>
      </c>
      <c r="J71" s="232">
        <f>(SUM('1.  LRAMVA Summary'!E$52:E$60)+SUM('1.  LRAMVA Summary'!E$61:E$62)*(MONTH($E71)-1)/12)*$H71</f>
        <v>-0.28848527032645821</v>
      </c>
      <c r="K71" s="232">
        <f>(SUM('1.  LRAMVA Summary'!F$52:F$60)+SUM('1.  LRAMVA Summary'!F$61:F$62)*(MONTH($E71)-1)/12)*$H71</f>
        <v>-0.85322622000000004</v>
      </c>
      <c r="L71" s="232">
        <f>(SUM('1.  LRAMVA Summary'!G$52:G$60)+SUM('1.  LRAMVA Summary'!G$61:G$62)*(MONTH($E71)-1)/12)*$H71</f>
        <v>-1.4387706666666666E-2</v>
      </c>
      <c r="M71" s="232">
        <f>(SUM('1.  LRAMVA Summary'!H$52:H$60)+SUM('1.  LRAMVA Summary'!H$61:H$62)*(MONTH($E71)-1)/12)*$H71</f>
        <v>-0.1019244508333333</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-3.6202928821674996</v>
      </c>
    </row>
    <row r="72" spans="2:23" s="9" customFormat="1" ht="15.75" thickBot="1">
      <c r="B72" s="68"/>
      <c r="E72" s="218" t="s">
        <v>467</v>
      </c>
      <c r="F72" s="218"/>
      <c r="G72" s="219"/>
      <c r="H72" s="220"/>
      <c r="I72" s="221">
        <f>SUM(I59:I71)</f>
        <v>-14.173615406046251</v>
      </c>
      <c r="J72" s="221">
        <f t="shared" ref="J72:V72" si="16">SUM(J59:J71)</f>
        <v>-1.730911621958749</v>
      </c>
      <c r="K72" s="221">
        <f t="shared" si="16"/>
        <v>-5.1193573200000007</v>
      </c>
      <c r="L72" s="221">
        <f t="shared" si="16"/>
        <v>-8.6326239999999999E-2</v>
      </c>
      <c r="M72" s="221">
        <f t="shared" si="16"/>
        <v>-0.61154670499999997</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-21.721757293005002</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-14.173615406046251</v>
      </c>
      <c r="J74" s="230">
        <f t="shared" si="17"/>
        <v>-1.730911621958749</v>
      </c>
      <c r="K74" s="230">
        <f t="shared" si="17"/>
        <v>-5.1193573200000007</v>
      </c>
      <c r="L74" s="230">
        <f t="shared" si="17"/>
        <v>-8.6326239999999999E-2</v>
      </c>
      <c r="M74" s="230">
        <f t="shared" si="17"/>
        <v>-0.61154670499999997</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-21.721757293005002</v>
      </c>
    </row>
    <row r="75" spans="2:23" s="9" customFormat="1">
      <c r="B75" s="68"/>
      <c r="E75" s="216">
        <v>42005</v>
      </c>
      <c r="F75" s="216" t="s">
        <v>182</v>
      </c>
      <c r="G75" s="217" t="s">
        <v>65</v>
      </c>
      <c r="H75" s="231">
        <f>C$31/12</f>
        <v>1.225E-3</v>
      </c>
      <c r="I75" s="232">
        <f>(SUM('1.  LRAMVA Summary'!D$52:D$63)+SUM('1.  LRAMVA Summary'!D$64:D$65)*(MONTH($E75)-1)/12)*$H75</f>
        <v>-2.5770209829174999</v>
      </c>
      <c r="J75" s="232">
        <f>(SUM('1.  LRAMVA Summary'!E$52:E$63)+SUM('1.  LRAMVA Summary'!E$64:E$65)*(MONTH($E75)-1)/12)*$H75</f>
        <v>-0.31471120399249985</v>
      </c>
      <c r="K75" s="232">
        <f>(SUM('1.  LRAMVA Summary'!F$52:F$63)+SUM('1.  LRAMVA Summary'!F$64:F$65)*(MONTH($E75)-1)/12)*$H75</f>
        <v>-0.93079224000000005</v>
      </c>
      <c r="L75" s="232">
        <f>(SUM('1.  LRAMVA Summary'!G$52:G$63)+SUM('1.  LRAMVA Summary'!G$64:G$65)*(MONTH($E75)-1)/12)*$H75</f>
        <v>-1.569568E-2</v>
      </c>
      <c r="M75" s="232">
        <f>(SUM('1.  LRAMVA Summary'!H$52:H$63)+SUM('1.  LRAMVA Summary'!H$64:H$65)*(MONTH($E75)-1)/12)*$H75</f>
        <v>-0.11119030999999999</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-3.9494104169099997</v>
      </c>
    </row>
    <row r="76" spans="2:23" s="240" customFormat="1">
      <c r="B76" s="239"/>
      <c r="E76" s="216">
        <v>42036</v>
      </c>
      <c r="F76" s="216" t="s">
        <v>182</v>
      </c>
      <c r="G76" s="217" t="s">
        <v>65</v>
      </c>
      <c r="H76" s="231">
        <f t="shared" ref="H76:H77" si="19">C$31/12</f>
        <v>1.225E-3</v>
      </c>
      <c r="I76" s="232">
        <f>(SUM('1.  LRAMVA Summary'!D$52:D$63)+SUM('1.  LRAMVA Summary'!D$64:D$65)*(MONTH($E76)-1)/12)*$H76</f>
        <v>-2.6625784129175001</v>
      </c>
      <c r="J76" s="232">
        <f>(SUM('1.  LRAMVA Summary'!E$52:E$63)+SUM('1.  LRAMVA Summary'!E$64:E$65)*(MONTH($E76)-1)/12)*$H76</f>
        <v>-0.35352879982583318</v>
      </c>
      <c r="K76" s="232">
        <f>(SUM('1.  LRAMVA Summary'!F$52:F$63)+SUM('1.  LRAMVA Summary'!F$64:F$65)*(MONTH($E76)-1)/12)*$H76</f>
        <v>-0.99093043000000003</v>
      </c>
      <c r="L76" s="232">
        <f>(SUM('1.  LRAMVA Summary'!G$52:G$63)+SUM('1.  LRAMVA Summary'!G$64:G$65)*(MONTH($E76)-1)/12)*$H76</f>
        <v>-1.6349666666666665E-2</v>
      </c>
      <c r="M76" s="232">
        <f>(SUM('1.  LRAMVA Summary'!H$52:H$63)+SUM('1.  LRAMVA Summary'!H$64:H$65)*(MONTH($E76)-1)/12)*$H76</f>
        <v>-0.12215601999999998</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-4.1455433294099997</v>
      </c>
    </row>
    <row r="77" spans="2:23" s="9" customFormat="1">
      <c r="B77" s="68"/>
      <c r="E77" s="216">
        <v>42064</v>
      </c>
      <c r="F77" s="216" t="s">
        <v>182</v>
      </c>
      <c r="G77" s="217" t="s">
        <v>65</v>
      </c>
      <c r="H77" s="231">
        <f t="shared" si="19"/>
        <v>1.225E-3</v>
      </c>
      <c r="I77" s="232">
        <f>(SUM('1.  LRAMVA Summary'!D$52:D$63)+SUM('1.  LRAMVA Summary'!D$64:D$65)*(MONTH($E77)-1)/12)*$H77</f>
        <v>-2.7481358429174998</v>
      </c>
      <c r="J77" s="232">
        <f>(SUM('1.  LRAMVA Summary'!E$52:E$63)+SUM('1.  LRAMVA Summary'!E$64:E$65)*(MONTH($E77)-1)/12)*$H77</f>
        <v>-0.39234639565916657</v>
      </c>
      <c r="K77" s="232">
        <f>(SUM('1.  LRAMVA Summary'!F$52:F$63)+SUM('1.  LRAMVA Summary'!F$64:F$65)*(MONTH($E77)-1)/12)*$H77</f>
        <v>-1.0510686200000001</v>
      </c>
      <c r="L77" s="232">
        <f>(SUM('1.  LRAMVA Summary'!G$52:G$63)+SUM('1.  LRAMVA Summary'!G$64:G$65)*(MONTH($E77)-1)/12)*$H77</f>
        <v>-1.700365333333333E-2</v>
      </c>
      <c r="M77" s="232">
        <f>(SUM('1.  LRAMVA Summary'!H$52:H$63)+SUM('1.  LRAMVA Summary'!H$64:H$65)*(MONTH($E77)-1)/12)*$H77</f>
        <v>-0.13312172999999997</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-4.3416762419100001</v>
      </c>
    </row>
    <row r="78" spans="2:23" s="9" customFormat="1">
      <c r="B78" s="68"/>
      <c r="E78" s="216">
        <v>42095</v>
      </c>
      <c r="F78" s="216" t="s">
        <v>182</v>
      </c>
      <c r="G78" s="217" t="s">
        <v>66</v>
      </c>
      <c r="H78" s="231">
        <f>C$32/12</f>
        <v>9.1666666666666665E-4</v>
      </c>
      <c r="I78" s="232">
        <f>(SUM('1.  LRAMVA Summary'!D$52:D$63)+SUM('1.  LRAMVA Summary'!D$64:D$65)*(MONTH($E78)-1)/12)*$H78</f>
        <v>-2.1204507484416664</v>
      </c>
      <c r="J78" s="232">
        <f>(SUM('1.  LRAMVA Summary'!E$52:E$63)+SUM('1.  LRAMVA Summary'!E$64:E$65)*(MONTH($E78)-1)/12)*$H78</f>
        <v>-0.32263972152499992</v>
      </c>
      <c r="K78" s="232">
        <f>(SUM('1.  LRAMVA Summary'!F$52:F$63)+SUM('1.  LRAMVA Summary'!F$64:F$65)*(MONTH($E78)-1)/12)*$H78</f>
        <v>-0.83151530000000007</v>
      </c>
      <c r="L78" s="232">
        <f>(SUM('1.  LRAMVA Summary'!G$52:G$63)+SUM('1.  LRAMVA Summary'!G$64:G$65)*(MONTH($E78)-1)/12)*$H78</f>
        <v>-1.3213199999999998E-2</v>
      </c>
      <c r="M78" s="232">
        <f>(SUM('1.  LRAMVA Summary'!H$52:H$63)+SUM('1.  LRAMVA Summary'!H$64:H$65)*(MONTH($E78)-1)/12)*$H78</f>
        <v>-0.10782053333333332</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-3.3956395032999995</v>
      </c>
    </row>
    <row r="79" spans="2:23" s="9" customFormat="1">
      <c r="B79" s="68"/>
      <c r="E79" s="216">
        <v>42125</v>
      </c>
      <c r="F79" s="216" t="s">
        <v>182</v>
      </c>
      <c r="G79" s="217" t="s">
        <v>66</v>
      </c>
      <c r="H79" s="231">
        <f t="shared" ref="H79:H80" si="21">C$32/12</f>
        <v>9.1666666666666665E-4</v>
      </c>
      <c r="I79" s="232">
        <f>(SUM('1.  LRAMVA Summary'!D$52:D$63)+SUM('1.  LRAMVA Summary'!D$64:D$65)*(MONTH($E79)-1)/12)*$H79</f>
        <v>-2.1844733151083333</v>
      </c>
      <c r="J79" s="232">
        <f>(SUM('1.  LRAMVA Summary'!E$52:E$63)+SUM('1.  LRAMVA Summary'!E$64:E$65)*(MONTH($E79)-1)/12)*$H79</f>
        <v>-0.35168690208055542</v>
      </c>
      <c r="K79" s="232">
        <f>(SUM('1.  LRAMVA Summary'!F$52:F$63)+SUM('1.  LRAMVA Summary'!F$64:F$65)*(MONTH($E79)-1)/12)*$H79</f>
        <v>-0.87651666666666672</v>
      </c>
      <c r="L79" s="232">
        <f>(SUM('1.  LRAMVA Summary'!G$52:G$63)+SUM('1.  LRAMVA Summary'!G$64:G$65)*(MONTH($E79)-1)/12)*$H79</f>
        <v>-1.3702577777777777E-2</v>
      </c>
      <c r="M79" s="232">
        <f>(SUM('1.  LRAMVA Summary'!H$52:H$63)+SUM('1.  LRAMVA Summary'!H$64:H$65)*(MONTH($E79)-1)/12)*$H79</f>
        <v>-0.11602616666666665</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-3.5424056283000001</v>
      </c>
    </row>
    <row r="80" spans="2:23" s="9" customFormat="1">
      <c r="B80" s="68"/>
      <c r="E80" s="216">
        <v>42156</v>
      </c>
      <c r="F80" s="216" t="s">
        <v>182</v>
      </c>
      <c r="G80" s="217" t="s">
        <v>66</v>
      </c>
      <c r="H80" s="231">
        <f t="shared" si="21"/>
        <v>9.1666666666666665E-4</v>
      </c>
      <c r="I80" s="232">
        <f>(SUM('1.  LRAMVA Summary'!D$52:D$63)+SUM('1.  LRAMVA Summary'!D$64:D$65)*(MONTH($E80)-1)/12)*$H80</f>
        <v>-2.2484958817750003</v>
      </c>
      <c r="J80" s="232">
        <f>(SUM('1.  LRAMVA Summary'!E$52:E$63)+SUM('1.  LRAMVA Summary'!E$64:E$65)*(MONTH($E80)-1)/12)*$H80</f>
        <v>-0.38073408263611103</v>
      </c>
      <c r="K80" s="232">
        <f>(SUM('1.  LRAMVA Summary'!F$52:F$63)+SUM('1.  LRAMVA Summary'!F$64:F$65)*(MONTH($E80)-1)/12)*$H80</f>
        <v>-0.92151803333333338</v>
      </c>
      <c r="L80" s="232">
        <f>(SUM('1.  LRAMVA Summary'!G$52:G$63)+SUM('1.  LRAMVA Summary'!G$64:G$65)*(MONTH($E80)-1)/12)*$H80</f>
        <v>-1.4191955555555554E-2</v>
      </c>
      <c r="M80" s="232">
        <f>(SUM('1.  LRAMVA Summary'!H$52:H$63)+SUM('1.  LRAMVA Summary'!H$64:H$65)*(MONTH($E80)-1)/12)*$H80</f>
        <v>-0.12423179999999999</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-3.6891717533000001</v>
      </c>
    </row>
    <row r="81" spans="2:23" s="9" customFormat="1">
      <c r="B81" s="68"/>
      <c r="E81" s="216">
        <v>42186</v>
      </c>
      <c r="F81" s="216" t="s">
        <v>182</v>
      </c>
      <c r="G81" s="217" t="s">
        <v>68</v>
      </c>
      <c r="H81" s="231">
        <f>C$33/12</f>
        <v>9.1666666666666665E-4</v>
      </c>
      <c r="I81" s="232">
        <f>(SUM('1.  LRAMVA Summary'!D$52:D$63)+SUM('1.  LRAMVA Summary'!D$64:D$65)*(MONTH($E81)-1)/12)*$H81</f>
        <v>-2.3125184484416668</v>
      </c>
      <c r="J81" s="232">
        <f>(SUM('1.  LRAMVA Summary'!E$52:E$63)+SUM('1.  LRAMVA Summary'!E$64:E$65)*(MONTH($E81)-1)/12)*$H81</f>
        <v>-0.40978126319166663</v>
      </c>
      <c r="K81" s="232">
        <f>(SUM('1.  LRAMVA Summary'!F$52:F$63)+SUM('1.  LRAMVA Summary'!F$64:F$65)*(MONTH($E81)-1)/12)*$H81</f>
        <v>-0.96651940000000003</v>
      </c>
      <c r="L81" s="232">
        <f>(SUM('1.  LRAMVA Summary'!G$52:G$63)+SUM('1.  LRAMVA Summary'!G$64:G$65)*(MONTH($E81)-1)/12)*$H81</f>
        <v>-1.4681333333333331E-2</v>
      </c>
      <c r="M81" s="232">
        <f>(SUM('1.  LRAMVA Summary'!H$52:H$63)+SUM('1.  LRAMVA Summary'!H$64:H$65)*(MONTH($E81)-1)/12)*$H81</f>
        <v>-0.13243743333333333</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-3.8359378782999998</v>
      </c>
    </row>
    <row r="82" spans="2:23" s="9" customFormat="1">
      <c r="B82" s="68"/>
      <c r="E82" s="216">
        <v>42217</v>
      </c>
      <c r="F82" s="216" t="s">
        <v>182</v>
      </c>
      <c r="G82" s="217" t="s">
        <v>68</v>
      </c>
      <c r="H82" s="231">
        <f t="shared" ref="H82:H83" si="22">C$33/12</f>
        <v>9.1666666666666665E-4</v>
      </c>
      <c r="I82" s="232">
        <f>(SUM('1.  LRAMVA Summary'!D$52:D$63)+SUM('1.  LRAMVA Summary'!D$64:D$65)*(MONTH($E82)-1)/12)*$H82</f>
        <v>-2.3765410151083333</v>
      </c>
      <c r="J82" s="232">
        <f>(SUM('1.  LRAMVA Summary'!E$52:E$63)+SUM('1.  LRAMVA Summary'!E$64:E$65)*(MONTH($E82)-1)/12)*$H82</f>
        <v>-0.43882844374722213</v>
      </c>
      <c r="K82" s="232">
        <f>(SUM('1.  LRAMVA Summary'!F$52:F$63)+SUM('1.  LRAMVA Summary'!F$64:F$65)*(MONTH($E82)-1)/12)*$H82</f>
        <v>-1.0115207666666668</v>
      </c>
      <c r="L82" s="232">
        <f>(SUM('1.  LRAMVA Summary'!G$52:G$63)+SUM('1.  LRAMVA Summary'!G$64:G$65)*(MONTH($E82)-1)/12)*$H82</f>
        <v>-1.517071111111111E-2</v>
      </c>
      <c r="M82" s="232">
        <f>(SUM('1.  LRAMVA Summary'!H$52:H$63)+SUM('1.  LRAMVA Summary'!H$64:H$65)*(MONTH($E82)-1)/12)*$H82</f>
        <v>-0.14064306666666662</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-3.9827040032999999</v>
      </c>
    </row>
    <row r="83" spans="2:23" s="9" customFormat="1">
      <c r="B83" s="68"/>
      <c r="E83" s="216">
        <v>42248</v>
      </c>
      <c r="F83" s="216" t="s">
        <v>182</v>
      </c>
      <c r="G83" s="217" t="s">
        <v>68</v>
      </c>
      <c r="H83" s="231">
        <f t="shared" si="22"/>
        <v>9.1666666666666665E-4</v>
      </c>
      <c r="I83" s="232">
        <f>(SUM('1.  LRAMVA Summary'!D$52:D$63)+SUM('1.  LRAMVA Summary'!D$64:D$65)*(MONTH($E83)-1)/12)*$H83</f>
        <v>-2.4405635817749998</v>
      </c>
      <c r="J83" s="232">
        <f>(SUM('1.  LRAMVA Summary'!E$52:E$63)+SUM('1.  LRAMVA Summary'!E$64:E$65)*(MONTH($E83)-1)/12)*$H83</f>
        <v>-0.46787562430277763</v>
      </c>
      <c r="K83" s="232">
        <f>(SUM('1.  LRAMVA Summary'!F$52:F$63)+SUM('1.  LRAMVA Summary'!F$64:F$65)*(MONTH($E83)-1)/12)*$H83</f>
        <v>-1.0565221333333334</v>
      </c>
      <c r="L83" s="232">
        <f>(SUM('1.  LRAMVA Summary'!G$52:G$63)+SUM('1.  LRAMVA Summary'!G$64:G$65)*(MONTH($E83)-1)/12)*$H83</f>
        <v>-1.5660088888888885E-2</v>
      </c>
      <c r="M83" s="232">
        <f>(SUM('1.  LRAMVA Summary'!H$52:H$63)+SUM('1.  LRAMVA Summary'!H$64:H$65)*(MONTH($E83)-1)/12)*$H83</f>
        <v>-0.14884869999999997</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-4.1294701282999995</v>
      </c>
    </row>
    <row r="84" spans="2:23" s="9" customFormat="1">
      <c r="B84" s="68"/>
      <c r="E84" s="216">
        <v>42278</v>
      </c>
      <c r="F84" s="216" t="s">
        <v>182</v>
      </c>
      <c r="G84" s="217" t="s">
        <v>69</v>
      </c>
      <c r="H84" s="231">
        <f>C$34/12</f>
        <v>9.1666666666666665E-4</v>
      </c>
      <c r="I84" s="232">
        <f>(SUM('1.  LRAMVA Summary'!D$52:D$63)+SUM('1.  LRAMVA Summary'!D$64:D$65)*(MONTH($E84)-1)/12)*$H84</f>
        <v>-2.5045861484416667</v>
      </c>
      <c r="J84" s="232">
        <f>(SUM('1.  LRAMVA Summary'!E$52:E$63)+SUM('1.  LRAMVA Summary'!E$64:E$65)*(MONTH($E84)-1)/12)*$H84</f>
        <v>-0.49692280485833329</v>
      </c>
      <c r="K84" s="232">
        <f>(SUM('1.  LRAMVA Summary'!F$52:F$63)+SUM('1.  LRAMVA Summary'!F$64:F$65)*(MONTH($E84)-1)/12)*$H84</f>
        <v>-1.1015235000000001</v>
      </c>
      <c r="L84" s="232">
        <f>(SUM('1.  LRAMVA Summary'!G$52:G$63)+SUM('1.  LRAMVA Summary'!G$64:G$65)*(MONTH($E84)-1)/12)*$H84</f>
        <v>-1.6149466666666668E-2</v>
      </c>
      <c r="M84" s="232">
        <f>(SUM('1.  LRAMVA Summary'!H$52:H$63)+SUM('1.  LRAMVA Summary'!H$64:H$65)*(MONTH($E84)-1)/12)*$H84</f>
        <v>-0.15705433333333332</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-4.2762362532999996</v>
      </c>
    </row>
    <row r="85" spans="2:23" s="9" customFormat="1">
      <c r="B85" s="68"/>
      <c r="E85" s="216">
        <v>42309</v>
      </c>
      <c r="F85" s="216" t="s">
        <v>182</v>
      </c>
      <c r="G85" s="217" t="s">
        <v>69</v>
      </c>
      <c r="H85" s="231">
        <f t="shared" ref="H85:H86" si="23">C$34/12</f>
        <v>9.1666666666666665E-4</v>
      </c>
      <c r="I85" s="232">
        <f>(SUM('1.  LRAMVA Summary'!D$52:D$63)+SUM('1.  LRAMVA Summary'!D$64:D$65)*(MONTH($E85)-1)/12)*$H85</f>
        <v>-2.5686087151083332</v>
      </c>
      <c r="J85" s="232">
        <f>(SUM('1.  LRAMVA Summary'!E$52:E$63)+SUM('1.  LRAMVA Summary'!E$64:E$65)*(MONTH($E85)-1)/12)*$H85</f>
        <v>-0.52596998541388873</v>
      </c>
      <c r="K85" s="232">
        <f>(SUM('1.  LRAMVA Summary'!F$52:F$63)+SUM('1.  LRAMVA Summary'!F$64:F$65)*(MONTH($E85)-1)/12)*$H85</f>
        <v>-1.1465248666666668</v>
      </c>
      <c r="L85" s="232">
        <f>(SUM('1.  LRAMVA Summary'!G$52:G$63)+SUM('1.  LRAMVA Summary'!G$64:G$65)*(MONTH($E85)-1)/12)*$H85</f>
        <v>-1.6638844444444443E-2</v>
      </c>
      <c r="M85" s="232">
        <f>(SUM('1.  LRAMVA Summary'!H$52:H$63)+SUM('1.  LRAMVA Summary'!H$64:H$65)*(MONTH($E85)-1)/12)*$H85</f>
        <v>-0.16525996666666665</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-4.4230023782999996</v>
      </c>
    </row>
    <row r="86" spans="2:23" s="9" customFormat="1">
      <c r="B86" s="68"/>
      <c r="E86" s="216">
        <v>42339</v>
      </c>
      <c r="F86" s="216" t="s">
        <v>182</v>
      </c>
      <c r="G86" s="217" t="s">
        <v>69</v>
      </c>
      <c r="H86" s="231">
        <f t="shared" si="23"/>
        <v>9.1666666666666665E-4</v>
      </c>
      <c r="I86" s="232">
        <f>(SUM('1.  LRAMVA Summary'!D$52:D$63)+SUM('1.  LRAMVA Summary'!D$64:D$65)*(MONTH($E86)-1)/12)*$H86</f>
        <v>-2.6326312817749997</v>
      </c>
      <c r="J86" s="232">
        <f>(SUM('1.  LRAMVA Summary'!E$52:E$63)+SUM('1.  LRAMVA Summary'!E$64:E$65)*(MONTH($E86)-1)/12)*$H86</f>
        <v>-0.55501716596944428</v>
      </c>
      <c r="K86" s="232">
        <f>(SUM('1.  LRAMVA Summary'!F$52:F$63)+SUM('1.  LRAMVA Summary'!F$64:F$65)*(MONTH($E86)-1)/12)*$H86</f>
        <v>-1.1915262333333334</v>
      </c>
      <c r="L86" s="232">
        <f>(SUM('1.  LRAMVA Summary'!G$52:G$63)+SUM('1.  LRAMVA Summary'!G$64:G$65)*(MONTH($E86)-1)/12)*$H86</f>
        <v>-1.7128222222222222E-2</v>
      </c>
      <c r="M86" s="232">
        <f>(SUM('1.  LRAMVA Summary'!H$52:H$63)+SUM('1.  LRAMVA Summary'!H$64:H$65)*(MONTH($E86)-1)/12)*$H86</f>
        <v>-0.17346559999999997</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-4.5697685032999997</v>
      </c>
    </row>
    <row r="87" spans="2:23" s="9" customFormat="1" ht="15.75" thickBot="1">
      <c r="B87" s="68"/>
      <c r="E87" s="218" t="s">
        <v>468</v>
      </c>
      <c r="F87" s="218"/>
      <c r="G87" s="219"/>
      <c r="H87" s="220"/>
      <c r="I87" s="221">
        <f>SUM(I74:I86)</f>
        <v>-43.550219780773752</v>
      </c>
      <c r="J87" s="221">
        <f>SUM(J74:J86)</f>
        <v>-6.7409540151612486</v>
      </c>
      <c r="K87" s="221">
        <f t="shared" ref="K87:O87" si="24">SUM(K74:K86)</f>
        <v>-17.195835510000002</v>
      </c>
      <c r="L87" s="221">
        <f t="shared" si="24"/>
        <v>-0.27191164000000001</v>
      </c>
      <c r="M87" s="221">
        <f t="shared" si="24"/>
        <v>-2.2438023650000001</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-70.002723310934996</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I87+I88</f>
        <v>-43.550219780773752</v>
      </c>
      <c r="J89" s="230">
        <f t="shared" ref="J89" si="26">J87+J88</f>
        <v>-6.7409540151612486</v>
      </c>
      <c r="K89" s="230">
        <f t="shared" ref="K89" si="27">K87+K88</f>
        <v>-17.195835510000002</v>
      </c>
      <c r="L89" s="230">
        <f t="shared" ref="L89" si="28">L87+L88</f>
        <v>-0.27191164000000001</v>
      </c>
      <c r="M89" s="230">
        <f t="shared" ref="M89" si="29">M87+M88</f>
        <v>-2.2438023650000001</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-70.002723310934996</v>
      </c>
    </row>
    <row r="90" spans="2:23" s="9" customFormat="1">
      <c r="B90" s="68"/>
      <c r="E90" s="216">
        <v>42370</v>
      </c>
      <c r="F90" s="216" t="s">
        <v>184</v>
      </c>
      <c r="G90" s="217" t="s">
        <v>65</v>
      </c>
      <c r="H90" s="231">
        <f>$C$35/12</f>
        <v>9.1666666666666665E-4</v>
      </c>
      <c r="I90" s="232">
        <f>(SUM('1.  LRAMVA Summary'!D$52:D$66)+SUM('1.  LRAMVA Summary'!D$67:D$68)*(MONTH($E90)-1)/12)*$H90</f>
        <v>-2.6966538484416667</v>
      </c>
      <c r="J90" s="232">
        <f>(SUM('1.  LRAMVA Summary'!E$52:E$66)+SUM('1.  LRAMVA Summary'!E$67:E$68)*(MONTH($E90)-1)/12)*$H90</f>
        <v>-0.58406434652499994</v>
      </c>
      <c r="K90" s="232">
        <f>(SUM('1.  LRAMVA Summary'!F$52:F$66)+SUM('1.  LRAMVA Summary'!F$67:F$68)*(MONTH($E90)-1)/12)*$H90</f>
        <v>-1.2365276000000001</v>
      </c>
      <c r="L90" s="232">
        <f>(SUM('1.  LRAMVA Summary'!G$52:G$66)+SUM('1.  LRAMVA Summary'!G$67:G$68)*(MONTH($E90)-1)/12)*$H90</f>
        <v>-1.7617600000000001E-2</v>
      </c>
      <c r="M90" s="232">
        <f>(SUM('1.  LRAMVA Summary'!H$52:H$66)+SUM('1.  LRAMVA Summary'!H$67:H$68)*(MONTH($E90)-1)/12)*$H90</f>
        <v>-0.18167123333333332</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-4.7165346283000007</v>
      </c>
    </row>
    <row r="91" spans="2:23" s="9" customFormat="1">
      <c r="B91" s="68"/>
      <c r="E91" s="216">
        <v>42401</v>
      </c>
      <c r="F91" s="216" t="s">
        <v>184</v>
      </c>
      <c r="G91" s="217" t="s">
        <v>65</v>
      </c>
      <c r="H91" s="231">
        <f t="shared" ref="H91:H92" si="34">$C$35/12</f>
        <v>9.1666666666666665E-4</v>
      </c>
      <c r="I91" s="232">
        <f>(SUM('1.  LRAMVA Summary'!D$52:D$66)+SUM('1.  LRAMVA Summary'!D$67:D$68)*(MONTH($E91)-1)/12)*$H91</f>
        <v>-2.431906215108333</v>
      </c>
      <c r="J91" s="232">
        <f>(SUM('1.  LRAMVA Summary'!E$52:E$66)+SUM('1.  LRAMVA Summary'!E$67:E$68)*(MONTH($E91)-1)/12)*$H91</f>
        <v>-0.16150212708055547</v>
      </c>
      <c r="K91" s="232">
        <f>(SUM('1.  LRAMVA Summary'!F$52:F$66)+SUM('1.  LRAMVA Summary'!F$67:F$68)*(MONTH($E91)-1)/12)*$H91</f>
        <v>-1.2821809</v>
      </c>
      <c r="L91" s="232">
        <f>(SUM('1.  LRAMVA Summary'!G$52:G$66)+SUM('1.  LRAMVA Summary'!G$67:G$68)*(MONTH($E91)-1)/12)*$H91</f>
        <v>-1.811638888888889E-2</v>
      </c>
      <c r="M91" s="232">
        <f>(SUM('1.  LRAMVA Summary'!H$52:H$66)+SUM('1.  LRAMVA Summary'!H$67:H$68)*(MONTH($E91)-1)/12)*$H91</f>
        <v>-0.18999589583333329</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-4.0837015269111108</v>
      </c>
    </row>
    <row r="92" spans="2:23" s="9" customFormat="1" ht="14.25" customHeight="1">
      <c r="B92" s="68"/>
      <c r="E92" s="216">
        <v>42430</v>
      </c>
      <c r="F92" s="216" t="s">
        <v>184</v>
      </c>
      <c r="G92" s="217" t="s">
        <v>65</v>
      </c>
      <c r="H92" s="231">
        <f t="shared" si="34"/>
        <v>9.1666666666666665E-4</v>
      </c>
      <c r="I92" s="232">
        <f>(SUM('1.  LRAMVA Summary'!D$52:D$66)+SUM('1.  LRAMVA Summary'!D$67:D$68)*(MONTH($E92)-1)/12)*$H92</f>
        <v>-2.1671585817749994</v>
      </c>
      <c r="J92" s="232">
        <f>(SUM('1.  LRAMVA Summary'!E$52:E$66)+SUM('1.  LRAMVA Summary'!E$67:E$68)*(MONTH($E92)-1)/12)*$H92</f>
        <v>0.26106009236388894</v>
      </c>
      <c r="K92" s="232">
        <f>(SUM('1.  LRAMVA Summary'!F$52:F$66)+SUM('1.  LRAMVA Summary'!F$67:F$68)*(MONTH($E92)-1)/12)*$H92</f>
        <v>-1.3278341999999999</v>
      </c>
      <c r="L92" s="232">
        <f>(SUM('1.  LRAMVA Summary'!G$52:G$66)+SUM('1.  LRAMVA Summary'!G$67:G$68)*(MONTH($E92)-1)/12)*$H92</f>
        <v>-1.8615177777777776E-2</v>
      </c>
      <c r="M92" s="232">
        <f>(SUM('1.  LRAMVA Summary'!H$52:H$66)+SUM('1.  LRAMVA Summary'!H$67:H$68)*(MONTH($E92)-1)/12)*$H92</f>
        <v>-0.19832055833333331</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-3.4508684255222213</v>
      </c>
    </row>
    <row r="93" spans="2:23" s="8" customFormat="1">
      <c r="B93" s="241"/>
      <c r="D93" s="9"/>
      <c r="E93" s="216">
        <v>42461</v>
      </c>
      <c r="F93" s="216" t="s">
        <v>184</v>
      </c>
      <c r="G93" s="217" t="s">
        <v>66</v>
      </c>
      <c r="H93" s="231">
        <f>$C$36/12</f>
        <v>9.1666666666666665E-4</v>
      </c>
      <c r="I93" s="232">
        <f>(SUM('1.  LRAMVA Summary'!D$52:D$66)+SUM('1.  LRAMVA Summary'!D$67:D$68)*(MONTH($E93)-1)/12)*$H93</f>
        <v>-1.9024109484416662</v>
      </c>
      <c r="J93" s="232">
        <f>(SUM('1.  LRAMVA Summary'!E$52:E$66)+SUM('1.  LRAMVA Summary'!E$67:E$68)*(MONTH($E93)-1)/12)*$H93</f>
        <v>0.68362231180833344</v>
      </c>
      <c r="K93" s="232">
        <f>(SUM('1.  LRAMVA Summary'!F$52:F$66)+SUM('1.  LRAMVA Summary'!F$67:F$68)*(MONTH($E93)-1)/12)*$H93</f>
        <v>-1.3734875</v>
      </c>
      <c r="L93" s="232">
        <f>(SUM('1.  LRAMVA Summary'!G$52:G$66)+SUM('1.  LRAMVA Summary'!G$67:G$68)*(MONTH($E93)-1)/12)*$H93</f>
        <v>-1.9113966666666666E-2</v>
      </c>
      <c r="M93" s="232">
        <f>(SUM('1.  LRAMVA Summary'!H$52:H$66)+SUM('1.  LRAMVA Summary'!H$67:H$68)*(MONTH($E93)-1)/12)*$H93</f>
        <v>-0.20664522083333331</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-2.8180353241333327</v>
      </c>
    </row>
    <row r="94" spans="2:23" s="9" customFormat="1">
      <c r="B94" s="68"/>
      <c r="E94" s="216">
        <v>42491</v>
      </c>
      <c r="F94" s="216" t="s">
        <v>184</v>
      </c>
      <c r="G94" s="217" t="s">
        <v>66</v>
      </c>
      <c r="H94" s="231">
        <f t="shared" ref="H94:H95" si="36">$C$36/12</f>
        <v>9.1666666666666665E-4</v>
      </c>
      <c r="I94" s="232">
        <f>(SUM('1.  LRAMVA Summary'!D$52:D$66)+SUM('1.  LRAMVA Summary'!D$67:D$68)*(MONTH($E94)-1)/12)*$H94</f>
        <v>-1.6376633151083331</v>
      </c>
      <c r="J94" s="232">
        <f>(SUM('1.  LRAMVA Summary'!E$52:E$66)+SUM('1.  LRAMVA Summary'!E$67:E$68)*(MONTH($E94)-1)/12)*$H94</f>
        <v>1.1061845312527778</v>
      </c>
      <c r="K94" s="232">
        <f>(SUM('1.  LRAMVA Summary'!F$52:F$66)+SUM('1.  LRAMVA Summary'!F$67:F$68)*(MONTH($E94)-1)/12)*$H94</f>
        <v>-1.4191408000000001</v>
      </c>
      <c r="L94" s="232">
        <f>(SUM('1.  LRAMVA Summary'!G$52:G$66)+SUM('1.  LRAMVA Summary'!G$67:G$68)*(MONTH($E94)-1)/12)*$H94</f>
        <v>-1.9612755555555555E-2</v>
      </c>
      <c r="M94" s="232">
        <f>(SUM('1.  LRAMVA Summary'!H$52:H$66)+SUM('1.  LRAMVA Summary'!H$67:H$68)*(MONTH($E94)-1)/12)*$H94</f>
        <v>-0.21496988333333331</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-2.1852022227444441</v>
      </c>
    </row>
    <row r="95" spans="2:23" s="240" customFormat="1">
      <c r="B95" s="239"/>
      <c r="D95" s="9"/>
      <c r="E95" s="216">
        <v>42522</v>
      </c>
      <c r="F95" s="216" t="s">
        <v>184</v>
      </c>
      <c r="G95" s="217" t="s">
        <v>66</v>
      </c>
      <c r="H95" s="231">
        <f t="shared" si="36"/>
        <v>9.1666666666666665E-4</v>
      </c>
      <c r="I95" s="232">
        <f>(SUM('1.  LRAMVA Summary'!D$52:D$66)+SUM('1.  LRAMVA Summary'!D$67:D$68)*(MONTH($E95)-1)/12)*$H95</f>
        <v>-1.3729156817749997</v>
      </c>
      <c r="J95" s="232">
        <f>(SUM('1.  LRAMVA Summary'!E$52:E$66)+SUM('1.  LRAMVA Summary'!E$67:E$68)*(MONTH($E95)-1)/12)*$H95</f>
        <v>1.5287467506972225</v>
      </c>
      <c r="K95" s="232">
        <f>(SUM('1.  LRAMVA Summary'!F$52:F$66)+SUM('1.  LRAMVA Summary'!F$67:F$68)*(MONTH($E95)-1)/12)*$H95</f>
        <v>-1.4647941</v>
      </c>
      <c r="L95" s="232">
        <f>(SUM('1.  LRAMVA Summary'!G$52:G$66)+SUM('1.  LRAMVA Summary'!G$67:G$68)*(MONTH($E95)-1)/12)*$H95</f>
        <v>-2.0111544444444445E-2</v>
      </c>
      <c r="M95" s="232">
        <f>(SUM('1.  LRAMVA Summary'!H$52:H$66)+SUM('1.  LRAMVA Summary'!H$67:H$68)*(MONTH($E95)-1)/12)*$H95</f>
        <v>-0.2232945458333333</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-1.5523691213555548</v>
      </c>
    </row>
    <row r="96" spans="2:23" s="9" customFormat="1">
      <c r="B96" s="68"/>
      <c r="E96" s="216">
        <v>42552</v>
      </c>
      <c r="F96" s="216" t="s">
        <v>184</v>
      </c>
      <c r="G96" s="217" t="s">
        <v>68</v>
      </c>
      <c r="H96" s="231">
        <f>$C$37/12</f>
        <v>9.1666666666666665E-4</v>
      </c>
      <c r="I96" s="232">
        <f>(SUM('1.  LRAMVA Summary'!D$52:D$66)+SUM('1.  LRAMVA Summary'!D$67:D$68)*(MONTH($E96)-1)/12)*$H96</f>
        <v>-1.1081680484416665</v>
      </c>
      <c r="J96" s="232">
        <f>(SUM('1.  LRAMVA Summary'!E$52:E$66)+SUM('1.  LRAMVA Summary'!E$67:E$68)*(MONTH($E96)-1)/12)*$H96</f>
        <v>1.9513089701416666</v>
      </c>
      <c r="K96" s="232">
        <f>(SUM('1.  LRAMVA Summary'!F$52:F$66)+SUM('1.  LRAMVA Summary'!F$67:F$68)*(MONTH($E96)-1)/12)*$H96</f>
        <v>-1.5104473999999999</v>
      </c>
      <c r="L96" s="232">
        <f>(SUM('1.  LRAMVA Summary'!G$52:G$66)+SUM('1.  LRAMVA Summary'!G$67:G$68)*(MONTH($E96)-1)/12)*$H96</f>
        <v>-2.0610333333333335E-2</v>
      </c>
      <c r="M96" s="232">
        <f>(SUM('1.  LRAMVA Summary'!H$52:H$66)+SUM('1.  LRAMVA Summary'!H$67:H$68)*(MONTH($E96)-1)/12)*$H96</f>
        <v>-0.2316192083333333</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-0.91953601996666634</v>
      </c>
    </row>
    <row r="97" spans="2:23" s="9" customFormat="1">
      <c r="B97" s="68"/>
      <c r="E97" s="216">
        <v>42583</v>
      </c>
      <c r="F97" s="216" t="s">
        <v>184</v>
      </c>
      <c r="G97" s="217" t="s">
        <v>68</v>
      </c>
      <c r="H97" s="231">
        <f t="shared" ref="H97:H98" si="37">$C$37/12</f>
        <v>9.1666666666666665E-4</v>
      </c>
      <c r="I97" s="232">
        <f>(SUM('1.  LRAMVA Summary'!D$52:D$66)+SUM('1.  LRAMVA Summary'!D$67:D$68)*(MONTH($E97)-1)/12)*$H97</f>
        <v>-0.84342041510833299</v>
      </c>
      <c r="J97" s="232">
        <f>(SUM('1.  LRAMVA Summary'!E$52:E$66)+SUM('1.  LRAMVA Summary'!E$67:E$68)*(MONTH($E97)-1)/12)*$H97</f>
        <v>2.3738711895861115</v>
      </c>
      <c r="K97" s="232">
        <f>(SUM('1.  LRAMVA Summary'!F$52:F$66)+SUM('1.  LRAMVA Summary'!F$67:F$68)*(MONTH($E97)-1)/12)*$H97</f>
        <v>-1.5561007</v>
      </c>
      <c r="L97" s="232">
        <f>(SUM('1.  LRAMVA Summary'!G$52:G$66)+SUM('1.  LRAMVA Summary'!G$67:G$68)*(MONTH($E97)-1)/12)*$H97</f>
        <v>-2.1109122222222221E-2</v>
      </c>
      <c r="M97" s="232">
        <f>(SUM('1.  LRAMVA Summary'!H$52:H$66)+SUM('1.  LRAMVA Summary'!H$67:H$68)*(MONTH($E97)-1)/12)*$H97</f>
        <v>-0.23994387083333329</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-0.28670291857777708</v>
      </c>
    </row>
    <row r="98" spans="2:23" s="9" customFormat="1">
      <c r="B98" s="68"/>
      <c r="E98" s="216">
        <v>42614</v>
      </c>
      <c r="F98" s="216" t="s">
        <v>184</v>
      </c>
      <c r="G98" s="217" t="s">
        <v>68</v>
      </c>
      <c r="H98" s="231">
        <f t="shared" si="37"/>
        <v>9.1666666666666665E-4</v>
      </c>
      <c r="I98" s="232">
        <f>(SUM('1.  LRAMVA Summary'!D$52:D$66)+SUM('1.  LRAMVA Summary'!D$67:D$68)*(MONTH($E98)-1)/12)*$H98</f>
        <v>-0.5786727817749997</v>
      </c>
      <c r="J98" s="232">
        <f>(SUM('1.  LRAMVA Summary'!E$52:E$66)+SUM('1.  LRAMVA Summary'!E$67:E$68)*(MONTH($E98)-1)/12)*$H98</f>
        <v>2.7964334090305556</v>
      </c>
      <c r="K98" s="232">
        <f>(SUM('1.  LRAMVA Summary'!F$52:F$66)+SUM('1.  LRAMVA Summary'!F$67:F$68)*(MONTH($E98)-1)/12)*$H98</f>
        <v>-1.6017539999999999</v>
      </c>
      <c r="L98" s="232">
        <f>(SUM('1.  LRAMVA Summary'!G$52:G$66)+SUM('1.  LRAMVA Summary'!G$67:G$68)*(MONTH($E98)-1)/12)*$H98</f>
        <v>-2.160791111111111E-2</v>
      </c>
      <c r="M98" s="232">
        <f>(SUM('1.  LRAMVA Summary'!H$52:H$66)+SUM('1.  LRAMVA Summary'!H$67:H$68)*(MONTH($E98)-1)/12)*$H98</f>
        <v>-0.24826853333333332</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0.34613018281111174</v>
      </c>
    </row>
    <row r="99" spans="2:23" s="9" customFormat="1">
      <c r="B99" s="68"/>
      <c r="E99" s="216">
        <v>42644</v>
      </c>
      <c r="F99" s="216" t="s">
        <v>184</v>
      </c>
      <c r="G99" s="217" t="s">
        <v>69</v>
      </c>
      <c r="H99" s="212">
        <f>$C$38/12</f>
        <v>9.1666666666666665E-4</v>
      </c>
      <c r="I99" s="232">
        <f>(SUM('1.  LRAMVA Summary'!D$52:D$66)+SUM('1.  LRAMVA Summary'!D$67:D$68)*(MONTH($E99)-1)/12)*$H99</f>
        <v>-0.31392514844166647</v>
      </c>
      <c r="J99" s="232">
        <f>(SUM('1.  LRAMVA Summary'!E$52:E$66)+SUM('1.  LRAMVA Summary'!E$67:E$68)*(MONTH($E99)-1)/12)*$H99</f>
        <v>3.2189956284750001</v>
      </c>
      <c r="K99" s="232">
        <f>(SUM('1.  LRAMVA Summary'!F$52:F$66)+SUM('1.  LRAMVA Summary'!F$67:F$68)*(MONTH($E99)-1)/12)*$H99</f>
        <v>-1.6474073</v>
      </c>
      <c r="L99" s="232">
        <f>(SUM('1.  LRAMVA Summary'!G$52:G$66)+SUM('1.  LRAMVA Summary'!G$67:G$68)*(MONTH($E99)-1)/12)*$H99</f>
        <v>-2.21067E-2</v>
      </c>
      <c r="M99" s="232">
        <f>(SUM('1.  LRAMVA Summary'!H$52:H$66)+SUM('1.  LRAMVA Summary'!H$67:H$68)*(MONTH($E99)-1)/12)*$H99</f>
        <v>-0.25659319583333334</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0.97896328420000045</v>
      </c>
    </row>
    <row r="100" spans="2:23" s="9" customFormat="1">
      <c r="B100" s="68"/>
      <c r="E100" s="216">
        <v>42675</v>
      </c>
      <c r="F100" s="216" t="s">
        <v>184</v>
      </c>
      <c r="G100" s="217" t="s">
        <v>69</v>
      </c>
      <c r="H100" s="212">
        <f t="shared" ref="H100:H101" si="38">$C$38/12</f>
        <v>9.1666666666666665E-4</v>
      </c>
      <c r="I100" s="232">
        <f>(SUM('1.  LRAMVA Summary'!D$52:D$66)+SUM('1.  LRAMVA Summary'!D$67:D$68)*(MONTH($E100)-1)/12)*$H100</f>
        <v>-4.9177515108332799E-2</v>
      </c>
      <c r="J100" s="232">
        <f>(SUM('1.  LRAMVA Summary'!E$52:E$66)+SUM('1.  LRAMVA Summary'!E$67:E$68)*(MONTH($E100)-1)/12)*$H100</f>
        <v>3.641557847919445</v>
      </c>
      <c r="K100" s="232">
        <f>(SUM('1.  LRAMVA Summary'!F$52:F$66)+SUM('1.  LRAMVA Summary'!F$67:F$68)*(MONTH($E100)-1)/12)*$H100</f>
        <v>-1.6930606000000001</v>
      </c>
      <c r="L100" s="232">
        <f>(SUM('1.  LRAMVA Summary'!G$52:G$66)+SUM('1.  LRAMVA Summary'!G$67:G$68)*(MONTH($E100)-1)/12)*$H100</f>
        <v>-2.260548888888889E-2</v>
      </c>
      <c r="M100" s="232">
        <f>(SUM('1.  LRAMVA Summary'!H$52:H$66)+SUM('1.  LRAMVA Summary'!H$67:H$68)*(MONTH($E100)-1)/12)*$H100</f>
        <v>-0.26491785833333331</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1.6117963855888899</v>
      </c>
    </row>
    <row r="101" spans="2:23" s="9" customFormat="1">
      <c r="B101" s="68"/>
      <c r="E101" s="216">
        <v>42705</v>
      </c>
      <c r="F101" s="216" t="s">
        <v>184</v>
      </c>
      <c r="G101" s="217" t="s">
        <v>69</v>
      </c>
      <c r="H101" s="212">
        <f t="shared" si="38"/>
        <v>9.1666666666666665E-4</v>
      </c>
      <c r="I101" s="232">
        <f>(SUM('1.  LRAMVA Summary'!D$52:D$66)+SUM('1.  LRAMVA Summary'!D$67:D$68)*(MONTH($E101)-1)/12)*$H101</f>
        <v>0.21557011822500044</v>
      </c>
      <c r="J101" s="232">
        <f>(SUM('1.  LRAMVA Summary'!E$52:E$66)+SUM('1.  LRAMVA Summary'!E$67:E$68)*(MONTH($E101)-1)/12)*$H101</f>
        <v>4.0641200673638886</v>
      </c>
      <c r="K101" s="232">
        <f>(SUM('1.  LRAMVA Summary'!F$52:F$66)+SUM('1.  LRAMVA Summary'!F$67:F$68)*(MONTH($E101)-1)/12)*$H101</f>
        <v>-1.7387139</v>
      </c>
      <c r="L101" s="232">
        <f>(SUM('1.  LRAMVA Summary'!G$52:G$66)+SUM('1.  LRAMVA Summary'!G$67:G$68)*(MONTH($E101)-1)/12)*$H101</f>
        <v>-2.3104277777777779E-2</v>
      </c>
      <c r="M101" s="232">
        <f>(SUM('1.  LRAMVA Summary'!H$52:H$66)+SUM('1.  LRAMVA Summary'!H$67:H$68)*(MONTH($E101)-1)/12)*$H101</f>
        <v>-0.27324252083333328</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2.2446294869777779</v>
      </c>
    </row>
    <row r="102" spans="2:23" s="9" customFormat="1" ht="15.75" thickBot="1">
      <c r="B102" s="68"/>
      <c r="E102" s="218" t="s">
        <v>469</v>
      </c>
      <c r="F102" s="218"/>
      <c r="G102" s="219"/>
      <c r="H102" s="220"/>
      <c r="I102" s="221">
        <f>SUM(I89:I101)</f>
        <v>-58.436722162073742</v>
      </c>
      <c r="J102" s="221">
        <f>SUM(J89:J101)</f>
        <v>14.139380309872084</v>
      </c>
      <c r="K102" s="221">
        <f t="shared" ref="K102:O102" si="39">SUM(K89:K101)</f>
        <v>-35.047284510000004</v>
      </c>
      <c r="L102" s="221">
        <f t="shared" si="39"/>
        <v>-0.51624290666666661</v>
      </c>
      <c r="M102" s="221">
        <f t="shared" si="39"/>
        <v>-4.9732848899999995</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-84.83415415886833</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I102+I103</f>
        <v>-58.436722162073742</v>
      </c>
      <c r="J104" s="230">
        <f t="shared" ref="J104" si="41">J102+J103</f>
        <v>14.139380309872084</v>
      </c>
      <c r="K104" s="230">
        <f t="shared" ref="K104" si="42">K102+K103</f>
        <v>-35.047284510000004</v>
      </c>
      <c r="L104" s="230">
        <f t="shared" ref="L104" si="43">L102+L103</f>
        <v>-0.51624290666666661</v>
      </c>
      <c r="M104" s="230">
        <f t="shared" ref="M104" si="44">M102+M103</f>
        <v>-4.9732848899999995</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-84.83415415886833</v>
      </c>
    </row>
    <row r="105" spans="2:23" s="9" customFormat="1" hidden="1">
      <c r="B105" s="68"/>
      <c r="E105" s="216">
        <v>42736</v>
      </c>
      <c r="F105" s="216" t="s">
        <v>185</v>
      </c>
      <c r="G105" s="217" t="s">
        <v>65</v>
      </c>
      <c r="H105" s="242">
        <f>$C$39/12</f>
        <v>9.1666666666666665E-4</v>
      </c>
      <c r="I105" s="232">
        <f>(SUM('1.  LRAMVA Summary'!D$52:D$69)+SUM('1.  LRAMVA Summary'!D$70:D$71)*(MONTH($E105)-1)/12)*$H105</f>
        <v>0.48031775155833367</v>
      </c>
      <c r="J105" s="232">
        <f>(SUM('1.  LRAMVA Summary'!E$52:E$69)+SUM('1.  LRAMVA Summary'!E$70:E$71)*(MONTH($E105)-1)/12)*$H105</f>
        <v>4.4866822868083336</v>
      </c>
      <c r="K105" s="232">
        <f>(SUM('1.  LRAMVA Summary'!F$52:F$69)+SUM('1.  LRAMVA Summary'!F$70:F$71)*(MONTH($E105)-1)/12)*$H105</f>
        <v>-1.7843671999999999</v>
      </c>
      <c r="L105" s="232">
        <f>(SUM('1.  LRAMVA Summary'!G$52:G$69)+SUM('1.  LRAMVA Summary'!G$70:G$71)*(MONTH($E105)-1)/12)*$H105</f>
        <v>-2.3603066666666669E-2</v>
      </c>
      <c r="M105" s="232">
        <f>(SUM('1.  LRAMVA Summary'!H$52:H$69)+SUM('1.  LRAMVA Summary'!H$70:H$71)*(MONTH($E105)-1)/12)*$H105</f>
        <v>-0.28156718333333325</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2.8774625883666669</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0.89321454600277816</v>
      </c>
      <c r="J106" s="232">
        <f>(SUM('1.  LRAMVA Summary'!E$52:E$69)+SUM('1.  LRAMVA Summary'!E$70:E$71)*(MONTH($E106)-1)/12)*$H106</f>
        <v>4.9892402034750001</v>
      </c>
      <c r="K106" s="232">
        <f>(SUM('1.  LRAMVA Summary'!F$52:F$69)+SUM('1.  LRAMVA Summary'!F$70:F$71)*(MONTH($E106)-1)/12)*$H106</f>
        <v>-1.7843671999999999</v>
      </c>
      <c r="L106" s="232">
        <f>(SUM('1.  LRAMVA Summary'!G$52:G$69)+SUM('1.  LRAMVA Summary'!G$70:G$71)*(MONTH($E106)-1)/12)*$H106</f>
        <v>-2.3603066666666669E-2</v>
      </c>
      <c r="M106" s="232">
        <f>(SUM('1.  LRAMVA Summary'!H$52:H$69)+SUM('1.  LRAMVA Summary'!H$70:H$71)*(MONTH($E106)-1)/12)*$H106</f>
        <v>-0.28156718333333325</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3.7929172994777787</v>
      </c>
    </row>
    <row r="107" spans="2:23" s="9" customFormat="1" hidden="1">
      <c r="B107" s="68"/>
      <c r="E107" s="216">
        <v>42795</v>
      </c>
      <c r="F107" s="216" t="s">
        <v>185</v>
      </c>
      <c r="G107" s="217" t="s">
        <v>65</v>
      </c>
      <c r="H107" s="242">
        <f t="shared" si="48"/>
        <v>9.1666666666666665E-4</v>
      </c>
      <c r="I107" s="232">
        <f>(SUM('1.  LRAMVA Summary'!D$52:D$69)+SUM('1.  LRAMVA Summary'!D$70:D$71)*(MONTH($E107)-1)/12)*$H107</f>
        <v>1.3061113404472227</v>
      </c>
      <c r="J107" s="232">
        <f>(SUM('1.  LRAMVA Summary'!E$52:E$69)+SUM('1.  LRAMVA Summary'!E$70:E$71)*(MONTH($E107)-1)/12)*$H107</f>
        <v>5.4917981201416666</v>
      </c>
      <c r="K107" s="232">
        <f>(SUM('1.  LRAMVA Summary'!F$52:F$69)+SUM('1.  LRAMVA Summary'!F$70:F$71)*(MONTH($E107)-1)/12)*$H107</f>
        <v>-1.7843671999999999</v>
      </c>
      <c r="L107" s="232">
        <f>(SUM('1.  LRAMVA Summary'!G$52:G$69)+SUM('1.  LRAMVA Summary'!G$70:G$71)*(MONTH($E107)-1)/12)*$H107</f>
        <v>-2.3603066666666669E-2</v>
      </c>
      <c r="M107" s="232">
        <f>(SUM('1.  LRAMVA Summary'!H$52:H$69)+SUM('1.  LRAMVA Summary'!H$70:H$71)*(MONTH($E107)-1)/12)*$H107</f>
        <v>-0.28156718333333325</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4.7083720105888895</v>
      </c>
    </row>
    <row r="108" spans="2:23" s="8" customFormat="1" hidden="1">
      <c r="B108" s="241"/>
      <c r="E108" s="216">
        <v>42826</v>
      </c>
      <c r="F108" s="216" t="s">
        <v>185</v>
      </c>
      <c r="G108" s="217" t="s">
        <v>66</v>
      </c>
      <c r="H108" s="242">
        <f>$C$40/12</f>
        <v>9.1666666666666665E-4</v>
      </c>
      <c r="I108" s="232">
        <f>(SUM('1.  LRAMVA Summary'!D$52:D$69)+SUM('1.  LRAMVA Summary'!D$70:D$71)*(MONTH($E108)-1)/12)*$H108</f>
        <v>1.719008134891667</v>
      </c>
      <c r="J108" s="232">
        <f>(SUM('1.  LRAMVA Summary'!E$52:E$69)+SUM('1.  LRAMVA Summary'!E$70:E$71)*(MONTH($E108)-1)/12)*$H108</f>
        <v>5.9943560368083331</v>
      </c>
      <c r="K108" s="232">
        <f>(SUM('1.  LRAMVA Summary'!F$52:F$69)+SUM('1.  LRAMVA Summary'!F$70:F$71)*(MONTH($E108)-1)/12)*$H108</f>
        <v>-1.7843671999999999</v>
      </c>
      <c r="L108" s="232">
        <f>(SUM('1.  LRAMVA Summary'!G$52:G$69)+SUM('1.  LRAMVA Summary'!G$70:G$71)*(MONTH($E108)-1)/12)*$H108</f>
        <v>-2.3603066666666669E-2</v>
      </c>
      <c r="M108" s="232">
        <f>(SUM('1.  LRAMVA Summary'!H$52:H$69)+SUM('1.  LRAMVA Summary'!H$70:H$71)*(MONTH($E108)-1)/12)*$H108</f>
        <v>-0.28156718333333325</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5.6238267217000004</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2.1319049293361116</v>
      </c>
      <c r="J109" s="232">
        <f>(SUM('1.  LRAMVA Summary'!E$52:E$69)+SUM('1.  LRAMVA Summary'!E$70:E$71)*(MONTH($E109)-1)/12)*$H109</f>
        <v>6.4969139534750004</v>
      </c>
      <c r="K109" s="232">
        <f>(SUM('1.  LRAMVA Summary'!F$52:F$69)+SUM('1.  LRAMVA Summary'!F$70:F$71)*(MONTH($E109)-1)/12)*$H109</f>
        <v>-1.7843671999999999</v>
      </c>
      <c r="L109" s="232">
        <f>(SUM('1.  LRAMVA Summary'!G$52:G$69)+SUM('1.  LRAMVA Summary'!G$70:G$71)*(MONTH($E109)-1)/12)*$H109</f>
        <v>-2.3603066666666669E-2</v>
      </c>
      <c r="M109" s="232">
        <f>(SUM('1.  LRAMVA Summary'!H$52:H$69)+SUM('1.  LRAMVA Summary'!H$70:H$71)*(MONTH($E109)-1)/12)*$H109</f>
        <v>-0.28156718333333325</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6.5392814328111122</v>
      </c>
    </row>
    <row r="110" spans="2:23" s="240" customFormat="1" hidden="1">
      <c r="B110" s="239"/>
      <c r="E110" s="216">
        <v>42887</v>
      </c>
      <c r="F110" s="216" t="s">
        <v>185</v>
      </c>
      <c r="G110" s="217" t="s">
        <v>66</v>
      </c>
      <c r="H110" s="242">
        <f t="shared" si="50"/>
        <v>9.1666666666666665E-4</v>
      </c>
      <c r="I110" s="232">
        <f>(SUM('1.  LRAMVA Summary'!D$52:D$69)+SUM('1.  LRAMVA Summary'!D$70:D$71)*(MONTH($E110)-1)/12)*$H110</f>
        <v>2.544801723780556</v>
      </c>
      <c r="J110" s="232">
        <f>(SUM('1.  LRAMVA Summary'!E$52:E$69)+SUM('1.  LRAMVA Summary'!E$70:E$71)*(MONTH($E110)-1)/12)*$H110</f>
        <v>6.9994718701416678</v>
      </c>
      <c r="K110" s="232">
        <f>(SUM('1.  LRAMVA Summary'!F$52:F$69)+SUM('1.  LRAMVA Summary'!F$70:F$71)*(MONTH($E110)-1)/12)*$H110</f>
        <v>-1.7843671999999999</v>
      </c>
      <c r="L110" s="232">
        <f>(SUM('1.  LRAMVA Summary'!G$52:G$69)+SUM('1.  LRAMVA Summary'!G$70:G$71)*(MONTH($E110)-1)/12)*$H110</f>
        <v>-2.3603066666666669E-2</v>
      </c>
      <c r="M110" s="232">
        <f>(SUM('1.  LRAMVA Summary'!H$52:H$69)+SUM('1.  LRAMVA Summary'!H$70:H$71)*(MONTH($E110)-1)/12)*$H110</f>
        <v>-0.28156718333333325</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7.4547361439222239</v>
      </c>
    </row>
    <row r="111" spans="2:23" s="9" customFormat="1" hidden="1">
      <c r="B111" s="68"/>
      <c r="E111" s="216">
        <v>42917</v>
      </c>
      <c r="F111" s="216" t="s">
        <v>185</v>
      </c>
      <c r="G111" s="217" t="s">
        <v>68</v>
      </c>
      <c r="H111" s="242">
        <f>$C$41/12</f>
        <v>9.1666666666666665E-4</v>
      </c>
      <c r="I111" s="232">
        <f>(SUM('1.  LRAMVA Summary'!D$52:D$69)+SUM('1.  LRAMVA Summary'!D$70:D$71)*(MONTH($E111)-1)/12)*$H111</f>
        <v>2.9576985182250004</v>
      </c>
      <c r="J111" s="232">
        <f>(SUM('1.  LRAMVA Summary'!E$52:E$69)+SUM('1.  LRAMVA Summary'!E$70:E$71)*(MONTH($E111)-1)/12)*$H111</f>
        <v>7.5020297868083343</v>
      </c>
      <c r="K111" s="232">
        <f>(SUM('1.  LRAMVA Summary'!F$52:F$69)+SUM('1.  LRAMVA Summary'!F$70:F$71)*(MONTH($E111)-1)/12)*$H111</f>
        <v>-1.7843671999999999</v>
      </c>
      <c r="L111" s="232">
        <f>(SUM('1.  LRAMVA Summary'!G$52:G$69)+SUM('1.  LRAMVA Summary'!G$70:G$71)*(MONTH($E111)-1)/12)*$H111</f>
        <v>-2.3603066666666669E-2</v>
      </c>
      <c r="M111" s="232">
        <f>(SUM('1.  LRAMVA Summary'!H$52:H$69)+SUM('1.  LRAMVA Summary'!H$70:H$71)*(MONTH($E111)-1)/12)*$H111</f>
        <v>-0.28156718333333325</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8.3701908550333339</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3.3705953126694448</v>
      </c>
      <c r="J112" s="232">
        <f>(SUM('1.  LRAMVA Summary'!E$52:E$69)+SUM('1.  LRAMVA Summary'!E$70:E$71)*(MONTH($E112)-1)/12)*$H112</f>
        <v>8.0045877034749999</v>
      </c>
      <c r="K112" s="232">
        <f>(SUM('1.  LRAMVA Summary'!F$52:F$69)+SUM('1.  LRAMVA Summary'!F$70:F$71)*(MONTH($E112)-1)/12)*$H112</f>
        <v>-1.7843671999999999</v>
      </c>
      <c r="L112" s="232">
        <f>(SUM('1.  LRAMVA Summary'!G$52:G$69)+SUM('1.  LRAMVA Summary'!G$70:G$71)*(MONTH($E112)-1)/12)*$H112</f>
        <v>-2.3603066666666669E-2</v>
      </c>
      <c r="M112" s="232">
        <f>(SUM('1.  LRAMVA Summary'!H$52:H$69)+SUM('1.  LRAMVA Summary'!H$70:H$71)*(MONTH($E112)-1)/12)*$H112</f>
        <v>-0.28156718333333325</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9.2856455661444439</v>
      </c>
    </row>
    <row r="113" spans="2:23" s="9" customFormat="1" hidden="1">
      <c r="B113" s="68"/>
      <c r="E113" s="216">
        <v>42979</v>
      </c>
      <c r="F113" s="216" t="s">
        <v>185</v>
      </c>
      <c r="G113" s="217" t="s">
        <v>68</v>
      </c>
      <c r="H113" s="242">
        <f t="shared" si="51"/>
        <v>9.1666666666666665E-4</v>
      </c>
      <c r="I113" s="232">
        <f>(SUM('1.  LRAMVA Summary'!D$52:D$69)+SUM('1.  LRAMVA Summary'!D$70:D$71)*(MONTH($E113)-1)/12)*$H113</f>
        <v>3.7834921071138901</v>
      </c>
      <c r="J113" s="232">
        <f>(SUM('1.  LRAMVA Summary'!E$52:E$69)+SUM('1.  LRAMVA Summary'!E$70:E$71)*(MONTH($E113)-1)/12)*$H113</f>
        <v>8.5071456201416673</v>
      </c>
      <c r="K113" s="232">
        <f>(SUM('1.  LRAMVA Summary'!F$52:F$69)+SUM('1.  LRAMVA Summary'!F$70:F$71)*(MONTH($E113)-1)/12)*$H113</f>
        <v>-1.7843671999999999</v>
      </c>
      <c r="L113" s="232">
        <f>(SUM('1.  LRAMVA Summary'!G$52:G$69)+SUM('1.  LRAMVA Summary'!G$70:G$71)*(MONTH($E113)-1)/12)*$H113</f>
        <v>-2.3603066666666669E-2</v>
      </c>
      <c r="M113" s="232">
        <f>(SUM('1.  LRAMVA Summary'!H$52:H$69)+SUM('1.  LRAMVA Summary'!H$70:H$71)*(MONTH($E113)-1)/12)*$H113</f>
        <v>-0.28156718333333325</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10.201100277255557</v>
      </c>
    </row>
    <row r="114" spans="2:23" s="9" customFormat="1" hidden="1">
      <c r="B114" s="68"/>
      <c r="E114" s="216">
        <v>43009</v>
      </c>
      <c r="F114" s="216" t="s">
        <v>185</v>
      </c>
      <c r="G114" s="217" t="s">
        <v>69</v>
      </c>
      <c r="H114" s="242">
        <f>$C$42/12</f>
        <v>9.1666666666666665E-4</v>
      </c>
      <c r="I114" s="232">
        <f>(SUM('1.  LRAMVA Summary'!D$52:D$69)+SUM('1.  LRAMVA Summary'!D$70:D$71)*(MONTH($E114)-1)/12)*$H114</f>
        <v>4.1963889015583336</v>
      </c>
      <c r="J114" s="232">
        <f>(SUM('1.  LRAMVA Summary'!E$52:E$69)+SUM('1.  LRAMVA Summary'!E$70:E$71)*(MONTH($E114)-1)/12)*$H114</f>
        <v>9.0097035368083347</v>
      </c>
      <c r="K114" s="232">
        <f>(SUM('1.  LRAMVA Summary'!F$52:F$69)+SUM('1.  LRAMVA Summary'!F$70:F$71)*(MONTH($E114)-1)/12)*$H114</f>
        <v>-1.7843671999999999</v>
      </c>
      <c r="L114" s="232">
        <f>(SUM('1.  LRAMVA Summary'!G$52:G$69)+SUM('1.  LRAMVA Summary'!G$70:G$71)*(MONTH($E114)-1)/12)*$H114</f>
        <v>-2.3603066666666669E-2</v>
      </c>
      <c r="M114" s="232">
        <f>(SUM('1.  LRAMVA Summary'!H$52:H$69)+SUM('1.  LRAMVA Summary'!H$70:H$71)*(MONTH($E114)-1)/12)*$H114</f>
        <v>-0.28156718333333325</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11.116554988366667</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4.6092856960027788</v>
      </c>
      <c r="J115" s="232">
        <f>(SUM('1.  LRAMVA Summary'!E$52:E$69)+SUM('1.  LRAMVA Summary'!E$70:E$71)*(MONTH($E115)-1)/12)*$H115</f>
        <v>9.5122614534750003</v>
      </c>
      <c r="K115" s="232">
        <f>(SUM('1.  LRAMVA Summary'!F$52:F$69)+SUM('1.  LRAMVA Summary'!F$70:F$71)*(MONTH($E115)-1)/12)*$H115</f>
        <v>-1.7843671999999999</v>
      </c>
      <c r="L115" s="232">
        <f>(SUM('1.  LRAMVA Summary'!G$52:G$69)+SUM('1.  LRAMVA Summary'!G$70:G$71)*(MONTH($E115)-1)/12)*$H115</f>
        <v>-2.3603066666666669E-2</v>
      </c>
      <c r="M115" s="232">
        <f>(SUM('1.  LRAMVA Summary'!H$52:H$69)+SUM('1.  LRAMVA Summary'!H$70:H$71)*(MONTH($E115)-1)/12)*$H115</f>
        <v>-0.28156718333333325</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12.032009699477779</v>
      </c>
    </row>
    <row r="116" spans="2:23" s="9" customFormat="1" hidden="1">
      <c r="B116" s="68"/>
      <c r="E116" s="216">
        <v>43070</v>
      </c>
      <c r="F116" s="216" t="s">
        <v>185</v>
      </c>
      <c r="G116" s="217" t="s">
        <v>69</v>
      </c>
      <c r="H116" s="242">
        <f t="shared" si="52"/>
        <v>9.1666666666666665E-4</v>
      </c>
      <c r="I116" s="232">
        <f>(SUM('1.  LRAMVA Summary'!D$52:D$69)+SUM('1.  LRAMVA Summary'!D$70:D$71)*(MONTH($E116)-1)/12)*$H116</f>
        <v>5.0221824904472223</v>
      </c>
      <c r="J116" s="232">
        <f>(SUM('1.  LRAMVA Summary'!E$52:E$69)+SUM('1.  LRAMVA Summary'!E$70:E$71)*(MONTH($E116)-1)/12)*$H116</f>
        <v>10.014819370141668</v>
      </c>
      <c r="K116" s="232">
        <f>(SUM('1.  LRAMVA Summary'!F$52:F$69)+SUM('1.  LRAMVA Summary'!F$70:F$71)*(MONTH($E116)-1)/12)*$H116</f>
        <v>-1.7843671999999999</v>
      </c>
      <c r="L116" s="232">
        <f>(SUM('1.  LRAMVA Summary'!G$52:G$69)+SUM('1.  LRAMVA Summary'!G$70:G$71)*(MONTH($E116)-1)/12)*$H116</f>
        <v>-2.3603066666666669E-2</v>
      </c>
      <c r="M116" s="232">
        <f>(SUM('1.  LRAMVA Summary'!H$52:H$69)+SUM('1.  LRAMVA Summary'!H$70:H$71)*(MONTH($E116)-1)/12)*$H116</f>
        <v>-0.28156718333333325</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12.947464410588891</v>
      </c>
    </row>
    <row r="117" spans="2:23" s="9" customFormat="1" ht="15.75" hidden="1" thickBot="1">
      <c r="B117" s="68"/>
      <c r="E117" s="218" t="s">
        <v>470</v>
      </c>
      <c r="F117" s="218"/>
      <c r="G117" s="219"/>
      <c r="H117" s="220"/>
      <c r="I117" s="221">
        <f>SUM(I104:I116)</f>
        <v>-25.421720710040397</v>
      </c>
      <c r="J117" s="221">
        <f>SUM(J104:J116)</f>
        <v>101.1483902515721</v>
      </c>
      <c r="K117" s="221">
        <f t="shared" ref="K117:O117" si="53">SUM(K104:K116)</f>
        <v>-56.459690909999985</v>
      </c>
      <c r="L117" s="221">
        <f t="shared" si="53"/>
        <v>-0.79947970666666668</v>
      </c>
      <c r="M117" s="221">
        <f t="shared" si="53"/>
        <v>-8.3520910899999983</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10.115407834865014</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I117+I118</f>
        <v>-25.421720710040397</v>
      </c>
      <c r="J119" s="230">
        <f t="shared" ref="J119" si="55">J117+J118</f>
        <v>101.1483902515721</v>
      </c>
      <c r="K119" s="230">
        <f t="shared" ref="K119" si="56">K117+K118</f>
        <v>-56.459690909999985</v>
      </c>
      <c r="L119" s="230">
        <f t="shared" ref="L119" si="57">L117+L118</f>
        <v>-0.79947970666666668</v>
      </c>
      <c r="M119" s="230">
        <f t="shared" ref="M119" si="58">M117+M118</f>
        <v>-8.3520910899999983</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10.115407834865014</v>
      </c>
    </row>
    <row r="120" spans="2:23" s="9" customFormat="1" hidden="1">
      <c r="B120" s="68"/>
      <c r="E120" s="216">
        <v>43101</v>
      </c>
      <c r="F120" s="216" t="s">
        <v>186</v>
      </c>
      <c r="G120" s="217" t="s">
        <v>65</v>
      </c>
      <c r="H120" s="242">
        <f>$C$43/12</f>
        <v>9.1666666666666665E-4</v>
      </c>
      <c r="I120" s="232">
        <f>(SUM('1.  LRAMVA Summary'!D$52:D$72)+SUM('1.  LRAMVA Summary'!D$73:D$74)*(MONTH($E120)-1)/12)*$H120</f>
        <v>5.4350792848916676</v>
      </c>
      <c r="J120" s="232">
        <f>(SUM('1.  LRAMVA Summary'!E$52:E$72)+SUM('1.  LRAMVA Summary'!E$73:E$74)*(MONTH($E120)-1)/12)*$H120</f>
        <v>10.517377286808335</v>
      </c>
      <c r="K120" s="232">
        <f>(SUM('1.  LRAMVA Summary'!F$52:F$72)+SUM('1.  LRAMVA Summary'!F$73:F$74)*(MONTH($E120)-1)/12)*$H120</f>
        <v>-1.7843671999999999</v>
      </c>
      <c r="L120" s="232">
        <f>(SUM('1.  LRAMVA Summary'!G$52:G$72)+SUM('1.  LRAMVA Summary'!G$73:G$74)*(MONTH($E120)-1)/12)*$H120</f>
        <v>-2.3603066666666669E-2</v>
      </c>
      <c r="M120" s="232">
        <f>(SUM('1.  LRAMVA Summary'!H$52:H$72)+SUM('1.  LRAMVA Summary'!H$73:H$74)*(MONTH($E120)-1)/12)*$H120</f>
        <v>-0.28156718333333325</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13.862919121700003</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5.4350792848916676</v>
      </c>
      <c r="J121" s="232">
        <f>(SUM('1.  LRAMVA Summary'!E$52:E$72)+SUM('1.  LRAMVA Summary'!E$73:E$74)*(MONTH($E121)-1)/12)*$H121</f>
        <v>10.517377286808335</v>
      </c>
      <c r="K121" s="232">
        <f>(SUM('1.  LRAMVA Summary'!F$52:F$72)+SUM('1.  LRAMVA Summary'!F$73:F$74)*(MONTH($E121)-1)/12)*$H121</f>
        <v>-1.7843671999999999</v>
      </c>
      <c r="L121" s="232">
        <f>(SUM('1.  LRAMVA Summary'!G$52:G$72)+SUM('1.  LRAMVA Summary'!G$73:G$74)*(MONTH($E121)-1)/12)*$H121</f>
        <v>-2.3603066666666669E-2</v>
      </c>
      <c r="M121" s="232">
        <f>(SUM('1.  LRAMVA Summary'!H$52:H$72)+SUM('1.  LRAMVA Summary'!H$73:H$74)*(MONTH($E121)-1)/12)*$H121</f>
        <v>-0.28156718333333325</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13.862919121700003</v>
      </c>
    </row>
    <row r="122" spans="2:23" s="9" customFormat="1" hidden="1">
      <c r="B122" s="68"/>
      <c r="E122" s="216">
        <v>43160</v>
      </c>
      <c r="F122" s="216" t="s">
        <v>186</v>
      </c>
      <c r="G122" s="217" t="s">
        <v>65</v>
      </c>
      <c r="H122" s="242">
        <f t="shared" si="62"/>
        <v>9.1666666666666665E-4</v>
      </c>
      <c r="I122" s="232">
        <f>(SUM('1.  LRAMVA Summary'!D$52:D$72)+SUM('1.  LRAMVA Summary'!D$73:D$74)*(MONTH($E122)-1)/12)*$H122</f>
        <v>5.4350792848916676</v>
      </c>
      <c r="J122" s="232">
        <f>(SUM('1.  LRAMVA Summary'!E$52:E$72)+SUM('1.  LRAMVA Summary'!E$73:E$74)*(MONTH($E122)-1)/12)*$H122</f>
        <v>10.517377286808335</v>
      </c>
      <c r="K122" s="232">
        <f>(SUM('1.  LRAMVA Summary'!F$52:F$72)+SUM('1.  LRAMVA Summary'!F$73:F$74)*(MONTH($E122)-1)/12)*$H122</f>
        <v>-1.7843671999999999</v>
      </c>
      <c r="L122" s="232">
        <f>(SUM('1.  LRAMVA Summary'!G$52:G$72)+SUM('1.  LRAMVA Summary'!G$73:G$74)*(MONTH($E122)-1)/12)*$H122</f>
        <v>-2.3603066666666669E-2</v>
      </c>
      <c r="M122" s="232">
        <f>(SUM('1.  LRAMVA Summary'!H$52:H$72)+SUM('1.  LRAMVA Summary'!H$73:H$74)*(MONTH($E122)-1)/12)*$H122</f>
        <v>-0.28156718333333325</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13.862919121700003</v>
      </c>
    </row>
    <row r="123" spans="2:23" s="8" customFormat="1" hidden="1">
      <c r="B123" s="241"/>
      <c r="E123" s="216">
        <v>43191</v>
      </c>
      <c r="F123" s="216" t="s">
        <v>186</v>
      </c>
      <c r="G123" s="217" t="s">
        <v>66</v>
      </c>
      <c r="H123" s="242">
        <f>$C$44/12</f>
        <v>9.1666666666666665E-4</v>
      </c>
      <c r="I123" s="232">
        <f>(SUM('1.  LRAMVA Summary'!D$52:D$72)+SUM('1.  LRAMVA Summary'!D$73:D$74)*(MONTH($E123)-1)/12)*$H123</f>
        <v>5.4350792848916676</v>
      </c>
      <c r="J123" s="232">
        <f>(SUM('1.  LRAMVA Summary'!E$52:E$72)+SUM('1.  LRAMVA Summary'!E$73:E$74)*(MONTH($E123)-1)/12)*$H123</f>
        <v>10.517377286808335</v>
      </c>
      <c r="K123" s="232">
        <f>(SUM('1.  LRAMVA Summary'!F$52:F$72)+SUM('1.  LRAMVA Summary'!F$73:F$74)*(MONTH($E123)-1)/12)*$H123</f>
        <v>-1.7843671999999999</v>
      </c>
      <c r="L123" s="232">
        <f>(SUM('1.  LRAMVA Summary'!G$52:G$72)+SUM('1.  LRAMVA Summary'!G$73:G$74)*(MONTH($E123)-1)/12)*$H123</f>
        <v>-2.3603066666666669E-2</v>
      </c>
      <c r="M123" s="232">
        <f>(SUM('1.  LRAMVA Summary'!H$52:H$72)+SUM('1.  LRAMVA Summary'!H$73:H$74)*(MONTH($E123)-1)/12)*$H123</f>
        <v>-0.28156718333333325</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13.862919121700003</v>
      </c>
    </row>
    <row r="124" spans="2:23" s="9" customFormat="1" hidden="1">
      <c r="B124" s="68"/>
      <c r="E124" s="216">
        <v>43221</v>
      </c>
      <c r="F124" s="216" t="s">
        <v>186</v>
      </c>
      <c r="G124" s="217" t="s">
        <v>66</v>
      </c>
      <c r="H124" s="242">
        <f t="shared" ref="H124:H125" si="64">$C$44/12</f>
        <v>9.1666666666666665E-4</v>
      </c>
      <c r="I124" s="232">
        <f>(SUM('1.  LRAMVA Summary'!D$52:D$72)+SUM('1.  LRAMVA Summary'!D$73:D$74)*(MONTH($E124)-1)/12)*$H124</f>
        <v>5.4350792848916676</v>
      </c>
      <c r="J124" s="232">
        <f>(SUM('1.  LRAMVA Summary'!E$52:E$72)+SUM('1.  LRAMVA Summary'!E$73:E$74)*(MONTH($E124)-1)/12)*$H124</f>
        <v>10.517377286808335</v>
      </c>
      <c r="K124" s="232">
        <f>(SUM('1.  LRAMVA Summary'!F$52:F$72)+SUM('1.  LRAMVA Summary'!F$73:F$74)*(MONTH($E124)-1)/12)*$H124</f>
        <v>-1.7843671999999999</v>
      </c>
      <c r="L124" s="232">
        <f>(SUM('1.  LRAMVA Summary'!G$52:G$72)+SUM('1.  LRAMVA Summary'!G$73:G$74)*(MONTH($E124)-1)/12)*$H124</f>
        <v>-2.3603066666666669E-2</v>
      </c>
      <c r="M124" s="232">
        <f>(SUM('1.  LRAMVA Summary'!H$52:H$72)+SUM('1.  LRAMVA Summary'!H$73:H$74)*(MONTH($E124)-1)/12)*$H124</f>
        <v>-0.28156718333333325</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13.862919121700003</v>
      </c>
    </row>
    <row r="125" spans="2:23" s="240" customFormat="1" hidden="1">
      <c r="B125" s="239"/>
      <c r="E125" s="216">
        <v>43252</v>
      </c>
      <c r="F125" s="216" t="s">
        <v>186</v>
      </c>
      <c r="G125" s="217" t="s">
        <v>66</v>
      </c>
      <c r="H125" s="242">
        <f t="shared" si="64"/>
        <v>9.1666666666666665E-4</v>
      </c>
      <c r="I125" s="232">
        <f>(SUM('1.  LRAMVA Summary'!D$52:D$72)+SUM('1.  LRAMVA Summary'!D$73:D$74)*(MONTH($E125)-1)/12)*$H125</f>
        <v>5.4350792848916676</v>
      </c>
      <c r="J125" s="232">
        <f>(SUM('1.  LRAMVA Summary'!E$52:E$72)+SUM('1.  LRAMVA Summary'!E$73:E$74)*(MONTH($E125)-1)/12)*$H125</f>
        <v>10.517377286808335</v>
      </c>
      <c r="K125" s="232">
        <f>(SUM('1.  LRAMVA Summary'!F$52:F$72)+SUM('1.  LRAMVA Summary'!F$73:F$74)*(MONTH($E125)-1)/12)*$H125</f>
        <v>-1.7843671999999999</v>
      </c>
      <c r="L125" s="232">
        <f>(SUM('1.  LRAMVA Summary'!G$52:G$72)+SUM('1.  LRAMVA Summary'!G$73:G$74)*(MONTH($E125)-1)/12)*$H125</f>
        <v>-2.3603066666666669E-2</v>
      </c>
      <c r="M125" s="232">
        <f>(SUM('1.  LRAMVA Summary'!H$52:H$72)+SUM('1.  LRAMVA Summary'!H$73:H$74)*(MONTH($E125)-1)/12)*$H125</f>
        <v>-0.28156718333333325</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13.862919121700003</v>
      </c>
    </row>
    <row r="126" spans="2:23" s="9" customFormat="1" hidden="1">
      <c r="B126" s="68"/>
      <c r="E126" s="216">
        <v>43282</v>
      </c>
      <c r="F126" s="216" t="s">
        <v>186</v>
      </c>
      <c r="G126" s="217" t="s">
        <v>68</v>
      </c>
      <c r="H126" s="242">
        <f>$C$45/12</f>
        <v>9.1666666666666665E-4</v>
      </c>
      <c r="I126" s="232">
        <f>(SUM('1.  LRAMVA Summary'!D$52:D$72)+SUM('1.  LRAMVA Summary'!D$73:D$74)*(MONTH($E126)-1)/12)*$H126</f>
        <v>5.4350792848916676</v>
      </c>
      <c r="J126" s="232">
        <f>(SUM('1.  LRAMVA Summary'!E$52:E$72)+SUM('1.  LRAMVA Summary'!E$73:E$74)*(MONTH($E126)-1)/12)*$H126</f>
        <v>10.517377286808335</v>
      </c>
      <c r="K126" s="232">
        <f>(SUM('1.  LRAMVA Summary'!F$52:F$72)+SUM('1.  LRAMVA Summary'!F$73:F$74)*(MONTH($E126)-1)/12)*$H126</f>
        <v>-1.7843671999999999</v>
      </c>
      <c r="L126" s="232">
        <f>(SUM('1.  LRAMVA Summary'!G$52:G$72)+SUM('1.  LRAMVA Summary'!G$73:G$74)*(MONTH($E126)-1)/12)*$H126</f>
        <v>-2.3603066666666669E-2</v>
      </c>
      <c r="M126" s="232">
        <f>(SUM('1.  LRAMVA Summary'!H$52:H$72)+SUM('1.  LRAMVA Summary'!H$73:H$74)*(MONTH($E126)-1)/12)*$H126</f>
        <v>-0.28156718333333325</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13.862919121700003</v>
      </c>
    </row>
    <row r="127" spans="2:23" s="9" customFormat="1" hidden="1">
      <c r="B127" s="68"/>
      <c r="E127" s="216">
        <v>43313</v>
      </c>
      <c r="F127" s="216" t="s">
        <v>186</v>
      </c>
      <c r="G127" s="217" t="s">
        <v>68</v>
      </c>
      <c r="H127" s="242">
        <f t="shared" ref="H127:H128" si="65">$C$45/12</f>
        <v>9.1666666666666665E-4</v>
      </c>
      <c r="I127" s="232">
        <f>(SUM('1.  LRAMVA Summary'!D$52:D$72)+SUM('1.  LRAMVA Summary'!D$73:D$74)*(MONTH($E127)-1)/12)*$H127</f>
        <v>5.4350792848916676</v>
      </c>
      <c r="J127" s="232">
        <f>(SUM('1.  LRAMVA Summary'!E$52:E$72)+SUM('1.  LRAMVA Summary'!E$73:E$74)*(MONTH($E127)-1)/12)*$H127</f>
        <v>10.517377286808335</v>
      </c>
      <c r="K127" s="232">
        <f>(SUM('1.  LRAMVA Summary'!F$52:F$72)+SUM('1.  LRAMVA Summary'!F$73:F$74)*(MONTH($E127)-1)/12)*$H127</f>
        <v>-1.7843671999999999</v>
      </c>
      <c r="L127" s="232">
        <f>(SUM('1.  LRAMVA Summary'!G$52:G$72)+SUM('1.  LRAMVA Summary'!G$73:G$74)*(MONTH($E127)-1)/12)*$H127</f>
        <v>-2.3603066666666669E-2</v>
      </c>
      <c r="M127" s="232">
        <f>(SUM('1.  LRAMVA Summary'!H$52:H$72)+SUM('1.  LRAMVA Summary'!H$73:H$74)*(MONTH($E127)-1)/12)*$H127</f>
        <v>-0.28156718333333325</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13.862919121700003</v>
      </c>
    </row>
    <row r="128" spans="2:23" s="9" customFormat="1" hidden="1">
      <c r="B128" s="68"/>
      <c r="E128" s="216">
        <v>43344</v>
      </c>
      <c r="F128" s="216" t="s">
        <v>186</v>
      </c>
      <c r="G128" s="217" t="s">
        <v>68</v>
      </c>
      <c r="H128" s="242">
        <f t="shared" si="65"/>
        <v>9.1666666666666665E-4</v>
      </c>
      <c r="I128" s="232">
        <f>(SUM('1.  LRAMVA Summary'!D$52:D$72)+SUM('1.  LRAMVA Summary'!D$73:D$74)*(MONTH($E128)-1)/12)*$H128</f>
        <v>5.4350792848916676</v>
      </c>
      <c r="J128" s="232">
        <f>(SUM('1.  LRAMVA Summary'!E$52:E$72)+SUM('1.  LRAMVA Summary'!E$73:E$74)*(MONTH($E128)-1)/12)*$H128</f>
        <v>10.517377286808335</v>
      </c>
      <c r="K128" s="232">
        <f>(SUM('1.  LRAMVA Summary'!F$52:F$72)+SUM('1.  LRAMVA Summary'!F$73:F$74)*(MONTH($E128)-1)/12)*$H128</f>
        <v>-1.7843671999999999</v>
      </c>
      <c r="L128" s="232">
        <f>(SUM('1.  LRAMVA Summary'!G$52:G$72)+SUM('1.  LRAMVA Summary'!G$73:G$74)*(MONTH($E128)-1)/12)*$H128</f>
        <v>-2.3603066666666669E-2</v>
      </c>
      <c r="M128" s="232">
        <f>(SUM('1.  LRAMVA Summary'!H$52:H$72)+SUM('1.  LRAMVA Summary'!H$73:H$74)*(MONTH($E128)-1)/12)*$H128</f>
        <v>-0.28156718333333325</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13.862919121700003</v>
      </c>
    </row>
    <row r="129" spans="2:23" s="9" customFormat="1" hidden="1">
      <c r="B129" s="68"/>
      <c r="E129" s="216">
        <v>43374</v>
      </c>
      <c r="F129" s="216" t="s">
        <v>186</v>
      </c>
      <c r="G129" s="217" t="s">
        <v>69</v>
      </c>
      <c r="H129" s="242">
        <f>$C$46/12</f>
        <v>9.1666666666666665E-4</v>
      </c>
      <c r="I129" s="232">
        <f>(SUM('1.  LRAMVA Summary'!D$52:D$72)+SUM('1.  LRAMVA Summary'!D$73:D$74)*(MONTH($E129)-1)/12)*$H129</f>
        <v>5.4350792848916676</v>
      </c>
      <c r="J129" s="232">
        <f>(SUM('1.  LRAMVA Summary'!E$52:E$72)+SUM('1.  LRAMVA Summary'!E$73:E$74)*(MONTH($E129)-1)/12)*$H129</f>
        <v>10.517377286808335</v>
      </c>
      <c r="K129" s="232">
        <f>(SUM('1.  LRAMVA Summary'!F$52:F$72)+SUM('1.  LRAMVA Summary'!F$73:F$74)*(MONTH($E129)-1)/12)*$H129</f>
        <v>-1.7843671999999999</v>
      </c>
      <c r="L129" s="232">
        <f>(SUM('1.  LRAMVA Summary'!G$52:G$72)+SUM('1.  LRAMVA Summary'!G$73:G$74)*(MONTH($E129)-1)/12)*$H129</f>
        <v>-2.3603066666666669E-2</v>
      </c>
      <c r="M129" s="232">
        <f>(SUM('1.  LRAMVA Summary'!H$52:H$72)+SUM('1.  LRAMVA Summary'!H$73:H$74)*(MONTH($E129)-1)/12)*$H129</f>
        <v>-0.28156718333333325</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13.862919121700003</v>
      </c>
    </row>
    <row r="130" spans="2:23" s="9" customFormat="1" hidden="1">
      <c r="B130" s="68"/>
      <c r="E130" s="216">
        <v>43405</v>
      </c>
      <c r="F130" s="216" t="s">
        <v>186</v>
      </c>
      <c r="G130" s="217" t="s">
        <v>69</v>
      </c>
      <c r="H130" s="242">
        <f t="shared" ref="H130:H131" si="66">$C$46/12</f>
        <v>9.1666666666666665E-4</v>
      </c>
      <c r="I130" s="232">
        <f>(SUM('1.  LRAMVA Summary'!D$52:D$72)+SUM('1.  LRAMVA Summary'!D$73:D$74)*(MONTH($E130)-1)/12)*$H130</f>
        <v>5.4350792848916676</v>
      </c>
      <c r="J130" s="232">
        <f>(SUM('1.  LRAMVA Summary'!E$52:E$72)+SUM('1.  LRAMVA Summary'!E$73:E$74)*(MONTH($E130)-1)/12)*$H130</f>
        <v>10.517377286808335</v>
      </c>
      <c r="K130" s="232">
        <f>(SUM('1.  LRAMVA Summary'!F$52:F$72)+SUM('1.  LRAMVA Summary'!F$73:F$74)*(MONTH($E130)-1)/12)*$H130</f>
        <v>-1.7843671999999999</v>
      </c>
      <c r="L130" s="232">
        <f>(SUM('1.  LRAMVA Summary'!G$52:G$72)+SUM('1.  LRAMVA Summary'!G$73:G$74)*(MONTH($E130)-1)/12)*$H130</f>
        <v>-2.3603066666666669E-2</v>
      </c>
      <c r="M130" s="232">
        <f>(SUM('1.  LRAMVA Summary'!H$52:H$72)+SUM('1.  LRAMVA Summary'!H$73:H$74)*(MONTH($E130)-1)/12)*$H130</f>
        <v>-0.28156718333333325</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13.862919121700003</v>
      </c>
    </row>
    <row r="131" spans="2:23" s="9" customFormat="1" hidden="1">
      <c r="B131" s="68"/>
      <c r="E131" s="216">
        <v>43435</v>
      </c>
      <c r="F131" s="216" t="s">
        <v>186</v>
      </c>
      <c r="G131" s="217" t="s">
        <v>69</v>
      </c>
      <c r="H131" s="242">
        <f t="shared" si="66"/>
        <v>9.1666666666666665E-4</v>
      </c>
      <c r="I131" s="232">
        <f>(SUM('1.  LRAMVA Summary'!D$52:D$72)+SUM('1.  LRAMVA Summary'!D$73:D$74)*(MONTH($E131)-1)/12)*$H131</f>
        <v>5.4350792848916676</v>
      </c>
      <c r="J131" s="232">
        <f>(SUM('1.  LRAMVA Summary'!E$52:E$72)+SUM('1.  LRAMVA Summary'!E$73:E$74)*(MONTH($E131)-1)/12)*$H131</f>
        <v>10.517377286808335</v>
      </c>
      <c r="K131" s="232">
        <f>(SUM('1.  LRAMVA Summary'!F$52:F$72)+SUM('1.  LRAMVA Summary'!F$73:F$74)*(MONTH($E131)-1)/12)*$H131</f>
        <v>-1.7843671999999999</v>
      </c>
      <c r="L131" s="232">
        <f>(SUM('1.  LRAMVA Summary'!G$52:G$72)+SUM('1.  LRAMVA Summary'!G$73:G$74)*(MONTH($E131)-1)/12)*$H131</f>
        <v>-2.3603066666666669E-2</v>
      </c>
      <c r="M131" s="232">
        <f>(SUM('1.  LRAMVA Summary'!H$52:H$72)+SUM('1.  LRAMVA Summary'!H$73:H$74)*(MONTH($E131)-1)/12)*$H131</f>
        <v>-0.28156718333333325</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13.862919121700003</v>
      </c>
    </row>
    <row r="132" spans="2:23" s="9" customFormat="1" ht="15.75" hidden="1" thickBot="1">
      <c r="B132" s="68"/>
      <c r="E132" s="218" t="s">
        <v>471</v>
      </c>
      <c r="F132" s="218"/>
      <c r="G132" s="219"/>
      <c r="H132" s="220"/>
      <c r="I132" s="221">
        <f>SUM(I119:I131)</f>
        <v>39.799230708659621</v>
      </c>
      <c r="J132" s="221">
        <f>SUM(J119:J131)</f>
        <v>227.35691769327218</v>
      </c>
      <c r="K132" s="221">
        <f t="shared" ref="K132:O132" si="67">SUM(K119:K131)</f>
        <v>-77.872097310000015</v>
      </c>
      <c r="L132" s="221">
        <f t="shared" si="67"/>
        <v>-1.0827165066666666</v>
      </c>
      <c r="M132" s="221">
        <f t="shared" si="67"/>
        <v>-11.730897289999998</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176.47043729526504</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I132+I133</f>
        <v>39.799230708659621</v>
      </c>
      <c r="J134" s="230">
        <f t="shared" ref="J134" si="69">J132+J133</f>
        <v>227.35691769327218</v>
      </c>
      <c r="K134" s="230">
        <f t="shared" ref="K134" si="70">K132+K133</f>
        <v>-77.872097310000015</v>
      </c>
      <c r="L134" s="230">
        <f t="shared" ref="L134" si="71">L132+L133</f>
        <v>-1.0827165066666666</v>
      </c>
      <c r="M134" s="230">
        <f t="shared" ref="M134" si="72">M132+M133</f>
        <v>-11.730897289999998</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176.47043729526504</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472</v>
      </c>
      <c r="F147" s="218"/>
      <c r="G147" s="219"/>
      <c r="H147" s="220"/>
      <c r="I147" s="221">
        <f>SUM(I134:I146)</f>
        <v>39.799230708659621</v>
      </c>
      <c r="J147" s="221">
        <f>SUM(J134:J146)</f>
        <v>227.35691769327218</v>
      </c>
      <c r="K147" s="221">
        <f t="shared" ref="K147:O147" si="80">SUM(K134:K146)</f>
        <v>-77.872097310000015</v>
      </c>
      <c r="L147" s="221">
        <f t="shared" si="80"/>
        <v>-1.0827165066666666</v>
      </c>
      <c r="M147" s="221">
        <f t="shared" si="80"/>
        <v>-11.730897289999998</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176.47043729526504</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I147+I148</f>
        <v>39.799230708659621</v>
      </c>
      <c r="J149" s="230">
        <f t="shared" ref="J149" si="82">J147+J148</f>
        <v>227.35691769327218</v>
      </c>
      <c r="K149" s="230">
        <f t="shared" ref="K149" si="83">K147+K148</f>
        <v>-77.872097310000015</v>
      </c>
      <c r="L149" s="230">
        <f t="shared" ref="L149" si="84">L147+L148</f>
        <v>-1.0827165066666666</v>
      </c>
      <c r="M149" s="230">
        <f t="shared" ref="M149" si="85">M147+M148</f>
        <v>-11.730897289999998</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176.47043729526504</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SUM(I149:I161)</f>
        <v>39.799230708659621</v>
      </c>
      <c r="J162" s="221">
        <f>SUM(J149:J161)</f>
        <v>227.35691769327218</v>
      </c>
      <c r="K162" s="221">
        <f t="shared" ref="K162:O162" si="93">SUM(K149:K161)</f>
        <v>-77.872097310000015</v>
      </c>
      <c r="L162" s="221">
        <f t="shared" si="93"/>
        <v>-1.0827165066666666</v>
      </c>
      <c r="M162" s="221">
        <f t="shared" si="93"/>
        <v>-11.730897289999998</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176.47043729526504</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531</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A22" sqref="A22"/>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409</v>
      </c>
      <c r="E13" s="17"/>
      <c r="F13" s="179"/>
      <c r="G13" s="180"/>
      <c r="H13" s="181"/>
      <c r="K13" s="181"/>
      <c r="L13" s="179"/>
      <c r="M13" s="179"/>
      <c r="N13" s="179"/>
      <c r="O13" s="179"/>
      <c r="P13" s="179"/>
      <c r="Q13" s="182"/>
    </row>
    <row r="14" spans="2:73" ht="30" customHeight="1" outlineLevel="1" thickBot="1">
      <c r="B14" s="92"/>
      <c r="D14" s="612" t="s">
        <v>556</v>
      </c>
      <c r="I14" s="12"/>
      <c r="J14" s="12"/>
      <c r="BU14" s="12"/>
    </row>
    <row r="15" spans="2:73" ht="26.25" customHeight="1" outlineLevel="1">
      <c r="C15" s="92"/>
      <c r="I15" s="12"/>
      <c r="J15" s="12"/>
    </row>
    <row r="16" spans="2:73" ht="23.25" customHeight="1" outlineLevel="1">
      <c r="B16" s="118" t="s">
        <v>509</v>
      </c>
      <c r="C16" s="92"/>
      <c r="D16" s="617" t="s">
        <v>623</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617</v>
      </c>
      <c r="C17" s="92"/>
      <c r="D17" s="613" t="s">
        <v>595</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632</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631</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633</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21" t="s">
        <v>645</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600</v>
      </c>
      <c r="H23" s="10"/>
      <c r="I23" s="10"/>
      <c r="J23" s="10"/>
    </row>
    <row r="24" spans="2:73" s="672" customFormat="1" ht="21" customHeight="1">
      <c r="B24" s="704" t="s">
        <v>604</v>
      </c>
      <c r="C24" s="819" t="s">
        <v>605</v>
      </c>
      <c r="D24" s="819"/>
      <c r="E24" s="819"/>
      <c r="F24" s="819"/>
      <c r="G24" s="819"/>
      <c r="H24" s="680" t="s">
        <v>602</v>
      </c>
      <c r="I24" s="680" t="s">
        <v>601</v>
      </c>
      <c r="J24" s="680" t="s">
        <v>603</v>
      </c>
      <c r="K24" s="671"/>
      <c r="L24" s="672" t="s">
        <v>605</v>
      </c>
      <c r="AQ24" s="672" t="s">
        <v>605</v>
      </c>
      <c r="BU24" s="671"/>
    </row>
    <row r="25" spans="2:73" s="252" customFormat="1" ht="49.5" customHeight="1">
      <c r="B25" s="247" t="s">
        <v>476</v>
      </c>
      <c r="C25" s="247" t="s">
        <v>212</v>
      </c>
      <c r="D25" s="630" t="s">
        <v>477</v>
      </c>
      <c r="E25" s="247" t="s">
        <v>209</v>
      </c>
      <c r="F25" s="247" t="s">
        <v>478</v>
      </c>
      <c r="G25" s="247" t="s">
        <v>479</v>
      </c>
      <c r="H25" s="630" t="s">
        <v>480</v>
      </c>
      <c r="I25" s="638" t="s">
        <v>593</v>
      </c>
      <c r="J25" s="645" t="s">
        <v>594</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c r="C27" s="694"/>
      <c r="D27" s="694"/>
      <c r="E27" s="694"/>
      <c r="F27" s="694"/>
      <c r="G27" s="694"/>
      <c r="H27" s="694"/>
      <c r="I27" s="646"/>
      <c r="J27" s="646"/>
      <c r="K27" s="635"/>
      <c r="L27" s="698"/>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700"/>
      <c r="AP27" s="635"/>
      <c r="AQ27" s="705"/>
      <c r="AR27" s="706"/>
      <c r="AS27" s="707"/>
      <c r="AT27" s="706"/>
      <c r="AU27" s="707"/>
      <c r="AV27" s="706"/>
      <c r="AW27" s="707"/>
      <c r="AX27" s="706"/>
      <c r="AY27" s="707"/>
      <c r="AZ27" s="706"/>
      <c r="BA27" s="707"/>
      <c r="BB27" s="706"/>
      <c r="BC27" s="707"/>
      <c r="BD27" s="706"/>
      <c r="BE27" s="707"/>
      <c r="BF27" s="706"/>
      <c r="BG27" s="707"/>
      <c r="BH27" s="706"/>
      <c r="BI27" s="707"/>
      <c r="BJ27" s="706"/>
      <c r="BK27" s="707"/>
      <c r="BL27" s="706"/>
      <c r="BM27" s="707"/>
      <c r="BN27" s="706"/>
      <c r="BO27" s="707"/>
      <c r="BP27" s="706"/>
      <c r="BQ27" s="707"/>
      <c r="BR27" s="706"/>
      <c r="BS27" s="707"/>
      <c r="BT27" s="708"/>
      <c r="BU27" s="16"/>
    </row>
    <row r="28" spans="2:73" s="17" customFormat="1" ht="15.75">
      <c r="B28" s="694"/>
      <c r="C28" s="694"/>
      <c r="D28" s="694"/>
      <c r="E28" s="694"/>
      <c r="F28" s="694"/>
      <c r="G28" s="694"/>
      <c r="H28" s="694"/>
      <c r="I28" s="646"/>
      <c r="J28" s="646"/>
      <c r="K28" s="635"/>
      <c r="L28" s="698"/>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700"/>
      <c r="AP28" s="635"/>
      <c r="AQ28" s="709"/>
      <c r="AR28" s="710"/>
      <c r="AS28" s="711"/>
      <c r="AT28" s="710"/>
      <c r="AU28" s="711"/>
      <c r="AV28" s="710"/>
      <c r="AW28" s="711"/>
      <c r="AX28" s="710"/>
      <c r="AY28" s="711"/>
      <c r="AZ28" s="710"/>
      <c r="BA28" s="711"/>
      <c r="BB28" s="710"/>
      <c r="BC28" s="711"/>
      <c r="BD28" s="710"/>
      <c r="BE28" s="711"/>
      <c r="BF28" s="710"/>
      <c r="BG28" s="711"/>
      <c r="BH28" s="710"/>
      <c r="BI28" s="711"/>
      <c r="BJ28" s="710"/>
      <c r="BK28" s="711"/>
      <c r="BL28" s="710"/>
      <c r="BM28" s="711"/>
      <c r="BN28" s="710"/>
      <c r="BO28" s="711"/>
      <c r="BP28" s="710"/>
      <c r="BQ28" s="711"/>
      <c r="BR28" s="710"/>
      <c r="BS28" s="711"/>
      <c r="BT28" s="712"/>
      <c r="BU28" s="16"/>
    </row>
    <row r="29" spans="2:73" s="17" customFormat="1" ht="16.5" customHeight="1">
      <c r="B29" s="694"/>
      <c r="C29" s="694"/>
      <c r="D29" s="694"/>
      <c r="E29" s="694"/>
      <c r="F29" s="694"/>
      <c r="G29" s="694"/>
      <c r="H29" s="694"/>
      <c r="I29" s="646"/>
      <c r="J29" s="646"/>
      <c r="K29" s="635"/>
      <c r="L29" s="698"/>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700"/>
      <c r="AP29" s="635"/>
      <c r="AQ29" s="713"/>
      <c r="AR29" s="714"/>
      <c r="AS29" s="715"/>
      <c r="AT29" s="714"/>
      <c r="AU29" s="715"/>
      <c r="AV29" s="714"/>
      <c r="AW29" s="715"/>
      <c r="AX29" s="714"/>
      <c r="AY29" s="715"/>
      <c r="AZ29" s="714"/>
      <c r="BA29" s="715"/>
      <c r="BB29" s="714"/>
      <c r="BC29" s="715"/>
      <c r="BD29" s="714"/>
      <c r="BE29" s="715"/>
      <c r="BF29" s="714"/>
      <c r="BG29" s="715"/>
      <c r="BH29" s="714"/>
      <c r="BI29" s="715"/>
      <c r="BJ29" s="714"/>
      <c r="BK29" s="715"/>
      <c r="BL29" s="714"/>
      <c r="BM29" s="715"/>
      <c r="BN29" s="714"/>
      <c r="BO29" s="715"/>
      <c r="BP29" s="714"/>
      <c r="BQ29" s="715"/>
      <c r="BR29" s="714"/>
      <c r="BS29" s="715"/>
      <c r="BT29" s="716"/>
      <c r="BU29" s="16"/>
    </row>
    <row r="30" spans="2:73" s="17" customFormat="1" ht="15.75">
      <c r="B30" s="694"/>
      <c r="C30" s="694"/>
      <c r="D30" s="694"/>
      <c r="E30" s="694"/>
      <c r="F30" s="694"/>
      <c r="G30" s="694"/>
      <c r="H30" s="694"/>
      <c r="I30" s="646"/>
      <c r="J30" s="646"/>
      <c r="K30" s="635"/>
      <c r="L30" s="698"/>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700"/>
      <c r="AP30" s="635"/>
      <c r="AQ30" s="709"/>
      <c r="AR30" s="710"/>
      <c r="AS30" s="711"/>
      <c r="AT30" s="710"/>
      <c r="AU30" s="711"/>
      <c r="AV30" s="710"/>
      <c r="AW30" s="711"/>
      <c r="AX30" s="710"/>
      <c r="AY30" s="711"/>
      <c r="AZ30" s="710"/>
      <c r="BA30" s="711"/>
      <c r="BB30" s="710"/>
      <c r="BC30" s="711"/>
      <c r="BD30" s="710"/>
      <c r="BE30" s="711"/>
      <c r="BF30" s="710"/>
      <c r="BG30" s="711"/>
      <c r="BH30" s="710"/>
      <c r="BI30" s="711"/>
      <c r="BJ30" s="710"/>
      <c r="BK30" s="711"/>
      <c r="BL30" s="710"/>
      <c r="BM30" s="711"/>
      <c r="BN30" s="710"/>
      <c r="BO30" s="711"/>
      <c r="BP30" s="710"/>
      <c r="BQ30" s="711"/>
      <c r="BR30" s="710"/>
      <c r="BS30" s="711"/>
      <c r="BT30" s="712"/>
      <c r="BU30" s="16"/>
    </row>
    <row r="31" spans="2:73" s="17" customFormat="1" ht="15.75">
      <c r="B31" s="694"/>
      <c r="C31" s="694"/>
      <c r="D31" s="694"/>
      <c r="E31" s="694"/>
      <c r="F31" s="694"/>
      <c r="G31" s="694"/>
      <c r="H31" s="694"/>
      <c r="I31" s="646"/>
      <c r="J31" s="646"/>
      <c r="K31" s="635"/>
      <c r="L31" s="698"/>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700"/>
      <c r="AP31" s="635"/>
      <c r="AQ31" s="713"/>
      <c r="AR31" s="714"/>
      <c r="AS31" s="715"/>
      <c r="AT31" s="714"/>
      <c r="AU31" s="715"/>
      <c r="AV31" s="714"/>
      <c r="AW31" s="715"/>
      <c r="AX31" s="714"/>
      <c r="AY31" s="715"/>
      <c r="AZ31" s="714"/>
      <c r="BA31" s="715"/>
      <c r="BB31" s="714"/>
      <c r="BC31" s="715"/>
      <c r="BD31" s="714"/>
      <c r="BE31" s="715"/>
      <c r="BF31" s="714"/>
      <c r="BG31" s="715"/>
      <c r="BH31" s="714"/>
      <c r="BI31" s="715"/>
      <c r="BJ31" s="714"/>
      <c r="BK31" s="715"/>
      <c r="BL31" s="714"/>
      <c r="BM31" s="715"/>
      <c r="BN31" s="714"/>
      <c r="BO31" s="715"/>
      <c r="BP31" s="714"/>
      <c r="BQ31" s="715"/>
      <c r="BR31" s="714"/>
      <c r="BS31" s="715"/>
      <c r="BT31" s="716"/>
      <c r="BU31" s="16"/>
    </row>
    <row r="32" spans="2:73" s="17" customFormat="1" ht="15.75">
      <c r="B32" s="694"/>
      <c r="C32" s="694"/>
      <c r="D32" s="694"/>
      <c r="E32" s="694"/>
      <c r="F32" s="694"/>
      <c r="G32" s="694"/>
      <c r="H32" s="694"/>
      <c r="I32" s="646"/>
      <c r="J32" s="646"/>
      <c r="K32" s="635"/>
      <c r="L32" s="698"/>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700"/>
      <c r="AP32" s="635"/>
      <c r="AQ32" s="717"/>
      <c r="AR32" s="718"/>
      <c r="AS32" s="719"/>
      <c r="AT32" s="718"/>
      <c r="AU32" s="719"/>
      <c r="AV32" s="718"/>
      <c r="AW32" s="719"/>
      <c r="AX32" s="718"/>
      <c r="AY32" s="719"/>
      <c r="AZ32" s="718"/>
      <c r="BA32" s="719"/>
      <c r="BB32" s="718"/>
      <c r="BC32" s="719"/>
      <c r="BD32" s="718"/>
      <c r="BE32" s="719"/>
      <c r="BF32" s="718"/>
      <c r="BG32" s="719"/>
      <c r="BH32" s="718"/>
      <c r="BI32" s="719"/>
      <c r="BJ32" s="718"/>
      <c r="BK32" s="719"/>
      <c r="BL32" s="718"/>
      <c r="BM32" s="719"/>
      <c r="BN32" s="718"/>
      <c r="BO32" s="719"/>
      <c r="BP32" s="718"/>
      <c r="BQ32" s="719"/>
      <c r="BR32" s="718"/>
      <c r="BS32" s="719"/>
      <c r="BT32" s="720"/>
      <c r="BU32" s="16"/>
    </row>
    <row r="33" spans="2:73" s="17" customFormat="1" ht="15.75">
      <c r="B33" s="694"/>
      <c r="C33" s="694"/>
      <c r="D33" s="694"/>
      <c r="E33" s="694"/>
      <c r="F33" s="694"/>
      <c r="G33" s="694"/>
      <c r="H33" s="694"/>
      <c r="I33" s="646"/>
      <c r="J33" s="646"/>
      <c r="K33" s="635"/>
      <c r="L33" s="698"/>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700"/>
      <c r="AP33" s="635"/>
      <c r="AQ33" s="705"/>
      <c r="AR33" s="706"/>
      <c r="AS33" s="707"/>
      <c r="AT33" s="706"/>
      <c r="AU33" s="707"/>
      <c r="AV33" s="706"/>
      <c r="AW33" s="707"/>
      <c r="AX33" s="706"/>
      <c r="AY33" s="707"/>
      <c r="AZ33" s="706"/>
      <c r="BA33" s="707"/>
      <c r="BB33" s="706"/>
      <c r="BC33" s="707"/>
      <c r="BD33" s="706"/>
      <c r="BE33" s="707"/>
      <c r="BF33" s="706"/>
      <c r="BG33" s="707"/>
      <c r="BH33" s="706"/>
      <c r="BI33" s="707"/>
      <c r="BJ33" s="706"/>
      <c r="BK33" s="707"/>
      <c r="BL33" s="706"/>
      <c r="BM33" s="707"/>
      <c r="BN33" s="706"/>
      <c r="BO33" s="707"/>
      <c r="BP33" s="706"/>
      <c r="BQ33" s="707"/>
      <c r="BR33" s="706"/>
      <c r="BS33" s="707"/>
      <c r="BT33" s="708"/>
      <c r="BU33" s="16"/>
    </row>
    <row r="34" spans="2:73" s="17" customFormat="1" ht="15.75">
      <c r="B34" s="694"/>
      <c r="C34" s="694"/>
      <c r="D34" s="694"/>
      <c r="E34" s="694"/>
      <c r="F34" s="694"/>
      <c r="G34" s="694"/>
      <c r="H34" s="694"/>
      <c r="I34" s="646"/>
      <c r="J34" s="646"/>
      <c r="K34" s="635"/>
      <c r="L34" s="698"/>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700"/>
      <c r="AP34" s="635"/>
      <c r="AQ34" s="709"/>
      <c r="AR34" s="710"/>
      <c r="AS34" s="711"/>
      <c r="AT34" s="710"/>
      <c r="AU34" s="711"/>
      <c r="AV34" s="710"/>
      <c r="AW34" s="711"/>
      <c r="AX34" s="710"/>
      <c r="AY34" s="711"/>
      <c r="AZ34" s="710"/>
      <c r="BA34" s="711"/>
      <c r="BB34" s="710"/>
      <c r="BC34" s="711"/>
      <c r="BD34" s="710"/>
      <c r="BE34" s="711"/>
      <c r="BF34" s="710"/>
      <c r="BG34" s="711"/>
      <c r="BH34" s="710"/>
      <c r="BI34" s="711"/>
      <c r="BJ34" s="710"/>
      <c r="BK34" s="711"/>
      <c r="BL34" s="710"/>
      <c r="BM34" s="711"/>
      <c r="BN34" s="710"/>
      <c r="BO34" s="711"/>
      <c r="BP34" s="710"/>
      <c r="BQ34" s="711"/>
      <c r="BR34" s="710"/>
      <c r="BS34" s="711"/>
      <c r="BT34" s="712"/>
      <c r="BU34" s="16"/>
    </row>
    <row r="35" spans="2:73" s="17" customFormat="1" ht="15.75">
      <c r="B35" s="694"/>
      <c r="C35" s="694"/>
      <c r="D35" s="694"/>
      <c r="E35" s="694"/>
      <c r="F35" s="694"/>
      <c r="G35" s="694"/>
      <c r="H35" s="694"/>
      <c r="I35" s="646"/>
      <c r="J35" s="646"/>
      <c r="K35" s="635"/>
      <c r="L35" s="698"/>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700"/>
      <c r="AP35" s="635"/>
      <c r="AQ35" s="713"/>
      <c r="AR35" s="714"/>
      <c r="AS35" s="715"/>
      <c r="AT35" s="714"/>
      <c r="AU35" s="715"/>
      <c r="AV35" s="714"/>
      <c r="AW35" s="715"/>
      <c r="AX35" s="714"/>
      <c r="AY35" s="715"/>
      <c r="AZ35" s="714"/>
      <c r="BA35" s="715"/>
      <c r="BB35" s="714"/>
      <c r="BC35" s="715"/>
      <c r="BD35" s="714"/>
      <c r="BE35" s="715"/>
      <c r="BF35" s="714"/>
      <c r="BG35" s="715"/>
      <c r="BH35" s="714"/>
      <c r="BI35" s="715"/>
      <c r="BJ35" s="714"/>
      <c r="BK35" s="715"/>
      <c r="BL35" s="714"/>
      <c r="BM35" s="715"/>
      <c r="BN35" s="714"/>
      <c r="BO35" s="715"/>
      <c r="BP35" s="714"/>
      <c r="BQ35" s="715"/>
      <c r="BR35" s="714"/>
      <c r="BS35" s="715"/>
      <c r="BT35" s="716"/>
      <c r="BU35" s="16"/>
    </row>
    <row r="36" spans="2:73" s="17" customFormat="1" ht="15.75">
      <c r="B36" s="694"/>
      <c r="C36" s="694"/>
      <c r="D36" s="694"/>
      <c r="E36" s="694"/>
      <c r="F36" s="694"/>
      <c r="G36" s="694"/>
      <c r="H36" s="694"/>
      <c r="I36" s="646"/>
      <c r="J36" s="646"/>
      <c r="K36" s="635"/>
      <c r="L36" s="698"/>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700"/>
      <c r="AP36" s="635"/>
      <c r="AQ36" s="713"/>
      <c r="AR36" s="714"/>
      <c r="AS36" s="715"/>
      <c r="AT36" s="714"/>
      <c r="AU36" s="715"/>
      <c r="AV36" s="714"/>
      <c r="AW36" s="715"/>
      <c r="AX36" s="714"/>
      <c r="AY36" s="715"/>
      <c r="AZ36" s="714"/>
      <c r="BA36" s="715"/>
      <c r="BB36" s="714"/>
      <c r="BC36" s="715"/>
      <c r="BD36" s="714"/>
      <c r="BE36" s="715"/>
      <c r="BF36" s="714"/>
      <c r="BG36" s="715"/>
      <c r="BH36" s="714"/>
      <c r="BI36" s="715"/>
      <c r="BJ36" s="714"/>
      <c r="BK36" s="715"/>
      <c r="BL36" s="714"/>
      <c r="BM36" s="715"/>
      <c r="BN36" s="714"/>
      <c r="BO36" s="715"/>
      <c r="BP36" s="714"/>
      <c r="BQ36" s="715"/>
      <c r="BR36" s="714"/>
      <c r="BS36" s="715"/>
      <c r="BT36" s="716"/>
      <c r="BU36" s="16"/>
    </row>
    <row r="37" spans="2:73" s="17" customFormat="1" ht="15.75">
      <c r="B37" s="694"/>
      <c r="C37" s="694"/>
      <c r="D37" s="694"/>
      <c r="E37" s="694"/>
      <c r="F37" s="694"/>
      <c r="G37" s="694"/>
      <c r="H37" s="694"/>
      <c r="I37" s="646"/>
      <c r="J37" s="646"/>
      <c r="K37" s="635"/>
      <c r="L37" s="698"/>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700"/>
      <c r="AP37" s="635"/>
      <c r="AQ37" s="709"/>
      <c r="AR37" s="710"/>
      <c r="AS37" s="711"/>
      <c r="AT37" s="710"/>
      <c r="AU37" s="711"/>
      <c r="AV37" s="710"/>
      <c r="AW37" s="711"/>
      <c r="AX37" s="710"/>
      <c r="AY37" s="711"/>
      <c r="AZ37" s="710"/>
      <c r="BA37" s="711"/>
      <c r="BB37" s="710"/>
      <c r="BC37" s="711"/>
      <c r="BD37" s="710"/>
      <c r="BE37" s="711"/>
      <c r="BF37" s="710"/>
      <c r="BG37" s="711"/>
      <c r="BH37" s="710"/>
      <c r="BI37" s="711"/>
      <c r="BJ37" s="710"/>
      <c r="BK37" s="711"/>
      <c r="BL37" s="710"/>
      <c r="BM37" s="711"/>
      <c r="BN37" s="710"/>
      <c r="BO37" s="711"/>
      <c r="BP37" s="710"/>
      <c r="BQ37" s="711"/>
      <c r="BR37" s="710"/>
      <c r="BS37" s="711"/>
      <c r="BT37" s="712"/>
      <c r="BU37" s="16"/>
    </row>
    <row r="38" spans="2:73" s="17" customFormat="1" ht="15.75">
      <c r="B38" s="694"/>
      <c r="C38" s="694"/>
      <c r="D38" s="694"/>
      <c r="E38" s="694"/>
      <c r="F38" s="694"/>
      <c r="G38" s="694"/>
      <c r="H38" s="694"/>
      <c r="I38" s="646"/>
      <c r="J38" s="646"/>
      <c r="K38" s="635"/>
      <c r="L38" s="698"/>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700"/>
      <c r="AP38" s="635"/>
      <c r="AQ38" s="713"/>
      <c r="AR38" s="714"/>
      <c r="AS38" s="715"/>
      <c r="AT38" s="714"/>
      <c r="AU38" s="715"/>
      <c r="AV38" s="714"/>
      <c r="AW38" s="715"/>
      <c r="AX38" s="714"/>
      <c r="AY38" s="715"/>
      <c r="AZ38" s="714"/>
      <c r="BA38" s="715"/>
      <c r="BB38" s="714"/>
      <c r="BC38" s="715"/>
      <c r="BD38" s="714"/>
      <c r="BE38" s="715"/>
      <c r="BF38" s="714"/>
      <c r="BG38" s="715"/>
      <c r="BH38" s="714"/>
      <c r="BI38" s="715"/>
      <c r="BJ38" s="714"/>
      <c r="BK38" s="715"/>
      <c r="BL38" s="714"/>
      <c r="BM38" s="715"/>
      <c r="BN38" s="714"/>
      <c r="BO38" s="715"/>
      <c r="BP38" s="714"/>
      <c r="BQ38" s="715"/>
      <c r="BR38" s="714"/>
      <c r="BS38" s="715"/>
      <c r="BT38" s="716"/>
      <c r="BU38" s="16"/>
    </row>
    <row r="39" spans="2:73" s="17" customFormat="1" ht="15.75">
      <c r="B39" s="694"/>
      <c r="C39" s="694"/>
      <c r="D39" s="694"/>
      <c r="E39" s="694"/>
      <c r="F39" s="694"/>
      <c r="G39" s="694"/>
      <c r="H39" s="694"/>
      <c r="I39" s="646"/>
      <c r="J39" s="646"/>
      <c r="K39" s="635"/>
      <c r="L39" s="698"/>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700"/>
      <c r="AP39" s="635"/>
      <c r="AQ39" s="709"/>
      <c r="AR39" s="710"/>
      <c r="AS39" s="711"/>
      <c r="AT39" s="710"/>
      <c r="AU39" s="711"/>
      <c r="AV39" s="710"/>
      <c r="AW39" s="711"/>
      <c r="AX39" s="710"/>
      <c r="AY39" s="711"/>
      <c r="AZ39" s="710"/>
      <c r="BA39" s="711"/>
      <c r="BB39" s="710"/>
      <c r="BC39" s="711"/>
      <c r="BD39" s="710"/>
      <c r="BE39" s="711"/>
      <c r="BF39" s="710"/>
      <c r="BG39" s="711"/>
      <c r="BH39" s="710"/>
      <c r="BI39" s="711"/>
      <c r="BJ39" s="710"/>
      <c r="BK39" s="711"/>
      <c r="BL39" s="710"/>
      <c r="BM39" s="711"/>
      <c r="BN39" s="710"/>
      <c r="BO39" s="711"/>
      <c r="BP39" s="710"/>
      <c r="BQ39" s="711"/>
      <c r="BR39" s="710"/>
      <c r="BS39" s="711"/>
      <c r="BT39" s="712"/>
      <c r="BU39" s="16"/>
    </row>
    <row r="40" spans="2:73" s="17" customFormat="1" ht="15.75">
      <c r="B40" s="694"/>
      <c r="C40" s="694"/>
      <c r="D40" s="694"/>
      <c r="E40" s="694"/>
      <c r="F40" s="694"/>
      <c r="G40" s="694"/>
      <c r="H40" s="694"/>
      <c r="I40" s="646"/>
      <c r="J40" s="646"/>
      <c r="K40" s="635"/>
      <c r="L40" s="698"/>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700"/>
      <c r="AP40" s="635"/>
      <c r="AQ40" s="713"/>
      <c r="AR40" s="714"/>
      <c r="AS40" s="715"/>
      <c r="AT40" s="714"/>
      <c r="AU40" s="715"/>
      <c r="AV40" s="714"/>
      <c r="AW40" s="715"/>
      <c r="AX40" s="714"/>
      <c r="AY40" s="715"/>
      <c r="AZ40" s="714"/>
      <c r="BA40" s="715"/>
      <c r="BB40" s="714"/>
      <c r="BC40" s="715"/>
      <c r="BD40" s="714"/>
      <c r="BE40" s="715"/>
      <c r="BF40" s="714"/>
      <c r="BG40" s="715"/>
      <c r="BH40" s="714"/>
      <c r="BI40" s="715"/>
      <c r="BJ40" s="714"/>
      <c r="BK40" s="715"/>
      <c r="BL40" s="714"/>
      <c r="BM40" s="715"/>
      <c r="BN40" s="714"/>
      <c r="BO40" s="715"/>
      <c r="BP40" s="714"/>
      <c r="BQ40" s="715"/>
      <c r="BR40" s="714"/>
      <c r="BS40" s="715"/>
      <c r="BT40" s="716"/>
      <c r="BU40" s="16"/>
    </row>
    <row r="41" spans="2:73" s="17" customFormat="1" ht="15.75">
      <c r="B41" s="694"/>
      <c r="C41" s="694"/>
      <c r="D41" s="694"/>
      <c r="E41" s="694"/>
      <c r="F41" s="694"/>
      <c r="G41" s="694"/>
      <c r="H41" s="694"/>
      <c r="I41" s="646"/>
      <c r="J41" s="646"/>
      <c r="K41" s="635"/>
      <c r="L41" s="698"/>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700"/>
      <c r="AP41" s="635"/>
      <c r="AQ41" s="709"/>
      <c r="AR41" s="710"/>
      <c r="AS41" s="711"/>
      <c r="AT41" s="710"/>
      <c r="AU41" s="711"/>
      <c r="AV41" s="710"/>
      <c r="AW41" s="711"/>
      <c r="AX41" s="710"/>
      <c r="AY41" s="711"/>
      <c r="AZ41" s="710"/>
      <c r="BA41" s="711"/>
      <c r="BB41" s="710"/>
      <c r="BC41" s="711"/>
      <c r="BD41" s="710"/>
      <c r="BE41" s="711"/>
      <c r="BF41" s="710"/>
      <c r="BG41" s="711"/>
      <c r="BH41" s="710"/>
      <c r="BI41" s="711"/>
      <c r="BJ41" s="710"/>
      <c r="BK41" s="711"/>
      <c r="BL41" s="710"/>
      <c r="BM41" s="711"/>
      <c r="BN41" s="710"/>
      <c r="BO41" s="711"/>
      <c r="BP41" s="710"/>
      <c r="BQ41" s="711"/>
      <c r="BR41" s="710"/>
      <c r="BS41" s="711"/>
      <c r="BT41" s="712"/>
      <c r="BU41" s="16"/>
    </row>
    <row r="42" spans="2:73" s="17" customFormat="1" ht="15.75">
      <c r="B42" s="694"/>
      <c r="C42" s="694"/>
      <c r="D42" s="694"/>
      <c r="E42" s="694"/>
      <c r="F42" s="694"/>
      <c r="G42" s="694"/>
      <c r="H42" s="694"/>
      <c r="I42" s="646"/>
      <c r="J42" s="646"/>
      <c r="K42" s="635"/>
      <c r="L42" s="698"/>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700"/>
      <c r="AP42" s="635"/>
      <c r="AQ42" s="713"/>
      <c r="AR42" s="714"/>
      <c r="AS42" s="715"/>
      <c r="AT42" s="714"/>
      <c r="AU42" s="715"/>
      <c r="AV42" s="714"/>
      <c r="AW42" s="715"/>
      <c r="AX42" s="714"/>
      <c r="AY42" s="715"/>
      <c r="AZ42" s="714"/>
      <c r="BA42" s="715"/>
      <c r="BB42" s="714"/>
      <c r="BC42" s="715"/>
      <c r="BD42" s="714"/>
      <c r="BE42" s="715"/>
      <c r="BF42" s="714"/>
      <c r="BG42" s="715"/>
      <c r="BH42" s="714"/>
      <c r="BI42" s="715"/>
      <c r="BJ42" s="714"/>
      <c r="BK42" s="715"/>
      <c r="BL42" s="714"/>
      <c r="BM42" s="715"/>
      <c r="BN42" s="714"/>
      <c r="BO42" s="715"/>
      <c r="BP42" s="714"/>
      <c r="BQ42" s="715"/>
      <c r="BR42" s="714"/>
      <c r="BS42" s="715"/>
      <c r="BT42" s="716"/>
      <c r="BU42" s="16"/>
    </row>
    <row r="43" spans="2:73" s="17" customFormat="1" ht="15.75">
      <c r="B43" s="694"/>
      <c r="C43" s="694"/>
      <c r="D43" s="694"/>
      <c r="E43" s="694"/>
      <c r="F43" s="694"/>
      <c r="G43" s="694"/>
      <c r="H43" s="694"/>
      <c r="I43" s="646"/>
      <c r="J43" s="646"/>
      <c r="K43" s="635"/>
      <c r="L43" s="698"/>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700"/>
      <c r="AP43" s="635"/>
      <c r="AQ43" s="717"/>
      <c r="AR43" s="718"/>
      <c r="AS43" s="719"/>
      <c r="AT43" s="718"/>
      <c r="AU43" s="719"/>
      <c r="AV43" s="718"/>
      <c r="AW43" s="719"/>
      <c r="AX43" s="718"/>
      <c r="AY43" s="719"/>
      <c r="AZ43" s="718"/>
      <c r="BA43" s="719"/>
      <c r="BB43" s="718"/>
      <c r="BC43" s="719"/>
      <c r="BD43" s="718"/>
      <c r="BE43" s="719"/>
      <c r="BF43" s="718"/>
      <c r="BG43" s="719"/>
      <c r="BH43" s="718"/>
      <c r="BI43" s="719"/>
      <c r="BJ43" s="718"/>
      <c r="BK43" s="719"/>
      <c r="BL43" s="718"/>
      <c r="BM43" s="719"/>
      <c r="BN43" s="718"/>
      <c r="BO43" s="719"/>
      <c r="BP43" s="718"/>
      <c r="BQ43" s="719"/>
      <c r="BR43" s="718"/>
      <c r="BS43" s="719"/>
      <c r="BT43" s="720"/>
      <c r="BU43" s="16"/>
    </row>
    <row r="44" spans="2:73" s="17" customFormat="1" ht="15.75">
      <c r="B44" s="694"/>
      <c r="C44" s="694"/>
      <c r="D44" s="694"/>
      <c r="E44" s="694"/>
      <c r="F44" s="694"/>
      <c r="G44" s="694"/>
      <c r="H44" s="694"/>
      <c r="I44" s="646"/>
      <c r="J44" s="646"/>
      <c r="K44" s="635"/>
      <c r="L44" s="698"/>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700"/>
      <c r="AP44" s="635"/>
      <c r="AQ44" s="698"/>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700"/>
      <c r="BU44" s="16"/>
    </row>
    <row r="45" spans="2:73" s="17" customFormat="1" ht="15.75">
      <c r="B45" s="694"/>
      <c r="C45" s="694"/>
      <c r="D45" s="694"/>
      <c r="E45" s="694"/>
      <c r="F45" s="694"/>
      <c r="G45" s="694"/>
      <c r="H45" s="694"/>
      <c r="I45" s="646"/>
      <c r="J45" s="646"/>
      <c r="K45" s="635"/>
      <c r="L45" s="698"/>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700"/>
      <c r="AP45" s="635"/>
      <c r="AQ45" s="698"/>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700"/>
      <c r="BU45" s="16"/>
    </row>
    <row r="46" spans="2:73" s="17" customFormat="1" ht="15.75">
      <c r="B46" s="694"/>
      <c r="C46" s="694"/>
      <c r="D46" s="694"/>
      <c r="E46" s="694"/>
      <c r="F46" s="694"/>
      <c r="G46" s="694"/>
      <c r="H46" s="694"/>
      <c r="I46" s="646"/>
      <c r="J46" s="646"/>
      <c r="K46" s="635"/>
      <c r="L46" s="698"/>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700"/>
      <c r="AP46" s="635"/>
      <c r="AQ46" s="698"/>
      <c r="AR46" s="699"/>
      <c r="AS46" s="699"/>
      <c r="AT46" s="699"/>
      <c r="AU46" s="699"/>
      <c r="AV46" s="699"/>
      <c r="AW46" s="699"/>
      <c r="AX46" s="699"/>
      <c r="AY46" s="699"/>
      <c r="AZ46" s="699"/>
      <c r="BA46" s="699"/>
      <c r="BB46" s="699"/>
      <c r="BC46" s="699"/>
      <c r="BD46" s="699"/>
      <c r="BE46" s="699"/>
      <c r="BF46" s="699"/>
      <c r="BG46" s="699"/>
      <c r="BH46" s="699"/>
      <c r="BI46" s="699"/>
      <c r="BJ46" s="699"/>
      <c r="BK46" s="699"/>
      <c r="BL46" s="699"/>
      <c r="BM46" s="699"/>
      <c r="BN46" s="699"/>
      <c r="BO46" s="699"/>
      <c r="BP46" s="699"/>
      <c r="BQ46" s="699"/>
      <c r="BR46" s="699"/>
      <c r="BS46" s="699"/>
      <c r="BT46" s="700"/>
      <c r="BU46" s="16"/>
    </row>
    <row r="47" spans="2:73" s="17" customFormat="1" ht="15.75">
      <c r="B47" s="694"/>
      <c r="C47" s="694"/>
      <c r="D47" s="694"/>
      <c r="E47" s="694"/>
      <c r="F47" s="694"/>
      <c r="G47" s="694"/>
      <c r="H47" s="694"/>
      <c r="I47" s="646"/>
      <c r="J47" s="646"/>
      <c r="K47" s="635"/>
      <c r="L47" s="698"/>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700"/>
      <c r="AP47" s="635"/>
      <c r="AQ47" s="698"/>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700"/>
      <c r="BU47" s="16"/>
    </row>
    <row r="48" spans="2:73" s="17" customFormat="1" ht="15.75">
      <c r="B48" s="694"/>
      <c r="C48" s="694"/>
      <c r="D48" s="694"/>
      <c r="E48" s="694"/>
      <c r="F48" s="694"/>
      <c r="G48" s="694"/>
      <c r="H48" s="694"/>
      <c r="I48" s="646"/>
      <c r="J48" s="646"/>
      <c r="K48" s="635"/>
      <c r="L48" s="698"/>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700"/>
      <c r="AP48" s="635"/>
      <c r="AQ48" s="698"/>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700"/>
      <c r="BU48" s="16"/>
    </row>
    <row r="49" spans="2:73" s="17" customFormat="1" ht="15.75">
      <c r="B49" s="694"/>
      <c r="C49" s="694"/>
      <c r="D49" s="694"/>
      <c r="E49" s="694"/>
      <c r="F49" s="694"/>
      <c r="G49" s="694"/>
      <c r="H49" s="694"/>
      <c r="I49" s="646"/>
      <c r="J49" s="646"/>
      <c r="K49" s="635"/>
      <c r="L49" s="698"/>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700"/>
      <c r="AP49" s="635"/>
      <c r="AQ49" s="698"/>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700"/>
      <c r="BU49" s="16"/>
    </row>
    <row r="50" spans="2:73" s="17" customFormat="1" ht="15.75">
      <c r="B50" s="694"/>
      <c r="C50" s="694"/>
      <c r="D50" s="694"/>
      <c r="E50" s="694"/>
      <c r="F50" s="694"/>
      <c r="G50" s="694"/>
      <c r="H50" s="694"/>
      <c r="I50" s="646"/>
      <c r="J50" s="646"/>
      <c r="K50" s="635"/>
      <c r="L50" s="698"/>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700"/>
      <c r="AP50" s="635"/>
      <c r="AQ50" s="698"/>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700"/>
      <c r="BU50" s="16"/>
    </row>
    <row r="51" spans="2:73" s="17" customFormat="1" ht="15.75">
      <c r="B51" s="694"/>
      <c r="C51" s="694"/>
      <c r="D51" s="694"/>
      <c r="E51" s="694"/>
      <c r="F51" s="694"/>
      <c r="G51" s="694"/>
      <c r="H51" s="694"/>
      <c r="I51" s="646"/>
      <c r="J51" s="646"/>
      <c r="K51" s="635"/>
      <c r="L51" s="698"/>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700"/>
      <c r="AP51" s="635"/>
      <c r="AQ51" s="698"/>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700"/>
      <c r="BU51" s="16"/>
    </row>
    <row r="52" spans="2:73" s="17" customFormat="1" ht="15.75">
      <c r="B52" s="694"/>
      <c r="C52" s="694"/>
      <c r="D52" s="694"/>
      <c r="E52" s="694"/>
      <c r="F52" s="694"/>
      <c r="G52" s="694"/>
      <c r="H52" s="694"/>
      <c r="I52" s="646"/>
      <c r="J52" s="646"/>
      <c r="K52" s="635"/>
      <c r="L52" s="698"/>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700"/>
      <c r="AP52" s="635"/>
      <c r="AQ52" s="698"/>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700"/>
      <c r="BU52" s="16"/>
    </row>
    <row r="53" spans="2:73">
      <c r="B53" s="694"/>
      <c r="C53" s="694"/>
      <c r="D53" s="694"/>
      <c r="E53" s="694"/>
      <c r="F53" s="694"/>
      <c r="G53" s="694"/>
      <c r="H53" s="694"/>
      <c r="I53" s="646"/>
      <c r="J53" s="646"/>
      <c r="K53" s="635"/>
      <c r="L53" s="698"/>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700"/>
      <c r="AP53" s="635"/>
      <c r="AQ53" s="698"/>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700"/>
    </row>
    <row r="54" spans="2:73">
      <c r="B54" s="694"/>
      <c r="C54" s="694"/>
      <c r="D54" s="694"/>
      <c r="E54" s="694"/>
      <c r="F54" s="694"/>
      <c r="G54" s="694"/>
      <c r="H54" s="694"/>
      <c r="I54" s="646"/>
      <c r="J54" s="646"/>
      <c r="K54" s="635"/>
      <c r="L54" s="698"/>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700"/>
      <c r="AP54" s="635"/>
      <c r="AQ54" s="698"/>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700"/>
    </row>
    <row r="55" spans="2:73">
      <c r="B55" s="694"/>
      <c r="C55" s="694"/>
      <c r="D55" s="694"/>
      <c r="E55" s="694"/>
      <c r="F55" s="694"/>
      <c r="G55" s="694"/>
      <c r="H55" s="694"/>
      <c r="I55" s="646"/>
      <c r="J55" s="646"/>
      <c r="K55" s="635"/>
      <c r="L55" s="698"/>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700"/>
      <c r="AP55" s="635"/>
      <c r="AQ55" s="698"/>
      <c r="AR55" s="699"/>
      <c r="AS55" s="699"/>
      <c r="AT55" s="699"/>
      <c r="AU55" s="699"/>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700"/>
    </row>
    <row r="56" spans="2:73">
      <c r="B56" s="694"/>
      <c r="C56" s="694"/>
      <c r="D56" s="694"/>
      <c r="E56" s="694"/>
      <c r="F56" s="694"/>
      <c r="G56" s="694"/>
      <c r="H56" s="694"/>
      <c r="I56" s="646"/>
      <c r="J56" s="646"/>
      <c r="K56" s="635"/>
      <c r="L56" s="698"/>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700"/>
      <c r="AP56" s="635"/>
      <c r="AQ56" s="698"/>
      <c r="AR56" s="699"/>
      <c r="AS56" s="699"/>
      <c r="AT56" s="699"/>
      <c r="AU56" s="699"/>
      <c r="AV56" s="699"/>
      <c r="AW56" s="699"/>
      <c r="AX56" s="699"/>
      <c r="AY56" s="699"/>
      <c r="AZ56" s="699"/>
      <c r="BA56" s="699"/>
      <c r="BB56" s="699"/>
      <c r="BC56" s="699"/>
      <c r="BD56" s="699"/>
      <c r="BE56" s="699"/>
      <c r="BF56" s="699"/>
      <c r="BG56" s="699"/>
      <c r="BH56" s="699"/>
      <c r="BI56" s="699"/>
      <c r="BJ56" s="699"/>
      <c r="BK56" s="699"/>
      <c r="BL56" s="699"/>
      <c r="BM56" s="699"/>
      <c r="BN56" s="699"/>
      <c r="BO56" s="699"/>
      <c r="BP56" s="699"/>
      <c r="BQ56" s="699"/>
      <c r="BR56" s="699"/>
      <c r="BS56" s="699"/>
      <c r="BT56" s="700"/>
    </row>
    <row r="57" spans="2:73">
      <c r="B57" s="694"/>
      <c r="C57" s="694"/>
      <c r="D57" s="694"/>
      <c r="E57" s="694"/>
      <c r="F57" s="694"/>
      <c r="G57" s="694"/>
      <c r="H57" s="694"/>
      <c r="I57" s="646"/>
      <c r="J57" s="646"/>
      <c r="K57" s="635"/>
      <c r="L57" s="698"/>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c r="AL57" s="699"/>
      <c r="AM57" s="699"/>
      <c r="AN57" s="699"/>
      <c r="AO57" s="700"/>
      <c r="AP57" s="635"/>
      <c r="AQ57" s="698"/>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700"/>
    </row>
    <row r="58" spans="2:73">
      <c r="B58" s="694"/>
      <c r="C58" s="694"/>
      <c r="D58" s="694"/>
      <c r="E58" s="694"/>
      <c r="F58" s="694"/>
      <c r="G58" s="694"/>
      <c r="H58" s="694"/>
      <c r="I58" s="646"/>
      <c r="J58" s="646"/>
      <c r="K58" s="635"/>
      <c r="L58" s="698"/>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700"/>
      <c r="AP58" s="635"/>
      <c r="AQ58" s="698"/>
      <c r="AR58" s="699"/>
      <c r="AS58" s="699"/>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700"/>
    </row>
    <row r="59" spans="2:73">
      <c r="B59" s="694"/>
      <c r="C59" s="694"/>
      <c r="D59" s="694"/>
      <c r="E59" s="694"/>
      <c r="F59" s="694"/>
      <c r="G59" s="694"/>
      <c r="H59" s="694"/>
      <c r="I59" s="646"/>
      <c r="J59" s="646"/>
      <c r="K59" s="635"/>
      <c r="L59" s="698"/>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700"/>
      <c r="AP59" s="635"/>
      <c r="AQ59" s="698"/>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700"/>
    </row>
    <row r="60" spans="2:73" ht="15.75">
      <c r="B60" s="694"/>
      <c r="C60" s="694"/>
      <c r="D60" s="694"/>
      <c r="E60" s="694"/>
      <c r="F60" s="694"/>
      <c r="G60" s="694"/>
      <c r="H60" s="694"/>
      <c r="I60" s="646"/>
      <c r="J60" s="646"/>
      <c r="K60" s="635"/>
      <c r="L60" s="698"/>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700"/>
      <c r="AP60" s="635"/>
      <c r="AQ60" s="698"/>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700"/>
      <c r="BU60" s="165"/>
    </row>
    <row r="61" spans="2:73">
      <c r="B61" s="694"/>
      <c r="C61" s="694"/>
      <c r="D61" s="694"/>
      <c r="E61" s="694"/>
      <c r="F61" s="694"/>
      <c r="G61" s="694"/>
      <c r="H61" s="694"/>
      <c r="I61" s="646"/>
      <c r="J61" s="646"/>
      <c r="K61" s="635"/>
      <c r="L61" s="698"/>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699"/>
      <c r="AO61" s="700"/>
      <c r="AP61" s="635"/>
      <c r="AQ61" s="698"/>
      <c r="AR61" s="699"/>
      <c r="AS61" s="699"/>
      <c r="AT61" s="699"/>
      <c r="AU61" s="699"/>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700"/>
    </row>
    <row r="62" spans="2:73">
      <c r="B62" s="694"/>
      <c r="C62" s="694"/>
      <c r="D62" s="694"/>
      <c r="E62" s="694"/>
      <c r="F62" s="694"/>
      <c r="G62" s="694"/>
      <c r="H62" s="694"/>
      <c r="I62" s="646"/>
      <c r="J62" s="646"/>
      <c r="K62" s="635"/>
      <c r="L62" s="698"/>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700"/>
      <c r="AP62" s="635"/>
      <c r="AQ62" s="698"/>
      <c r="AR62" s="699"/>
      <c r="AS62" s="699"/>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700"/>
    </row>
    <row r="63" spans="2:73">
      <c r="B63" s="694"/>
      <c r="C63" s="694"/>
      <c r="D63" s="694"/>
      <c r="E63" s="694"/>
      <c r="F63" s="694"/>
      <c r="G63" s="694"/>
      <c r="H63" s="694"/>
      <c r="I63" s="646"/>
      <c r="J63" s="646"/>
      <c r="K63" s="635"/>
      <c r="L63" s="698"/>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700"/>
      <c r="AP63" s="635"/>
      <c r="AQ63" s="698"/>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700"/>
    </row>
    <row r="64" spans="2:73">
      <c r="B64" s="694"/>
      <c r="C64" s="694"/>
      <c r="D64" s="694"/>
      <c r="E64" s="694"/>
      <c r="F64" s="694"/>
      <c r="G64" s="694"/>
      <c r="H64" s="694"/>
      <c r="I64" s="646"/>
      <c r="J64" s="646"/>
      <c r="K64" s="635"/>
      <c r="L64" s="698"/>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700"/>
      <c r="AP64" s="635"/>
      <c r="AQ64" s="698"/>
      <c r="AR64" s="699"/>
      <c r="AS64" s="699"/>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700"/>
    </row>
    <row r="65" spans="2:73">
      <c r="B65" s="694"/>
      <c r="C65" s="694"/>
      <c r="D65" s="694"/>
      <c r="E65" s="694"/>
      <c r="F65" s="694"/>
      <c r="G65" s="694"/>
      <c r="H65" s="694"/>
      <c r="I65" s="646"/>
      <c r="J65" s="646"/>
      <c r="K65" s="635"/>
      <c r="L65" s="698"/>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700"/>
      <c r="AP65" s="635"/>
      <c r="AQ65" s="698"/>
      <c r="AR65" s="699"/>
      <c r="AS65" s="699"/>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700"/>
    </row>
    <row r="66" spans="2:73">
      <c r="B66" s="694"/>
      <c r="C66" s="694"/>
      <c r="D66" s="694"/>
      <c r="E66" s="694"/>
      <c r="F66" s="694"/>
      <c r="G66" s="694"/>
      <c r="H66" s="694"/>
      <c r="I66" s="646"/>
      <c r="J66" s="646"/>
      <c r="K66" s="635"/>
      <c r="L66" s="698"/>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700"/>
      <c r="AP66" s="635"/>
      <c r="AQ66" s="698"/>
      <c r="AR66" s="699"/>
      <c r="AS66" s="699"/>
      <c r="AT66" s="699"/>
      <c r="AU66" s="699"/>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700"/>
    </row>
    <row r="67" spans="2:73">
      <c r="B67" s="694"/>
      <c r="C67" s="694"/>
      <c r="D67" s="694"/>
      <c r="E67" s="694"/>
      <c r="F67" s="694"/>
      <c r="G67" s="694"/>
      <c r="H67" s="694"/>
      <c r="I67" s="646"/>
      <c r="J67" s="646"/>
      <c r="K67" s="635"/>
      <c r="L67" s="698"/>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700"/>
      <c r="AP67" s="635"/>
      <c r="AQ67" s="698"/>
      <c r="AR67" s="699"/>
      <c r="AS67" s="699"/>
      <c r="AT67" s="699"/>
      <c r="AU67" s="699"/>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700"/>
    </row>
    <row r="68" spans="2:73">
      <c r="B68" s="694"/>
      <c r="C68" s="694"/>
      <c r="D68" s="694"/>
      <c r="E68" s="694"/>
      <c r="F68" s="694"/>
      <c r="G68" s="694"/>
      <c r="H68" s="694"/>
      <c r="I68" s="646"/>
      <c r="J68" s="646"/>
      <c r="K68" s="635"/>
      <c r="L68" s="698"/>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700"/>
      <c r="AP68" s="635"/>
      <c r="AQ68" s="698"/>
      <c r="AR68" s="699"/>
      <c r="AS68" s="699"/>
      <c r="AT68" s="699"/>
      <c r="AU68" s="699"/>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700"/>
    </row>
    <row r="69" spans="2:73">
      <c r="B69" s="694"/>
      <c r="C69" s="694"/>
      <c r="D69" s="694"/>
      <c r="E69" s="694"/>
      <c r="F69" s="694"/>
      <c r="G69" s="694"/>
      <c r="H69" s="694"/>
      <c r="I69" s="646"/>
      <c r="J69" s="646"/>
      <c r="K69" s="635"/>
      <c r="L69" s="698"/>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700"/>
      <c r="AP69" s="635"/>
      <c r="AQ69" s="698"/>
      <c r="AR69" s="699"/>
      <c r="AS69" s="699"/>
      <c r="AT69" s="699"/>
      <c r="AU69" s="699"/>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700"/>
    </row>
    <row r="70" spans="2:73">
      <c r="B70" s="694"/>
      <c r="C70" s="694"/>
      <c r="D70" s="694"/>
      <c r="E70" s="694"/>
      <c r="F70" s="694"/>
      <c r="G70" s="694"/>
      <c r="H70" s="694"/>
      <c r="I70" s="646"/>
      <c r="J70" s="646"/>
      <c r="K70" s="635"/>
      <c r="L70" s="698"/>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700"/>
      <c r="AP70" s="635"/>
      <c r="AQ70" s="698"/>
      <c r="AR70" s="699"/>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700"/>
    </row>
    <row r="71" spans="2:73">
      <c r="B71" s="694"/>
      <c r="C71" s="694"/>
      <c r="D71" s="694"/>
      <c r="E71" s="694"/>
      <c r="F71" s="694"/>
      <c r="G71" s="694"/>
      <c r="H71" s="694"/>
      <c r="I71" s="646"/>
      <c r="J71" s="646"/>
      <c r="K71" s="635"/>
      <c r="L71" s="698"/>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700"/>
      <c r="AP71" s="635"/>
      <c r="AQ71" s="701"/>
      <c r="AR71" s="702"/>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2"/>
      <c r="BT71" s="703"/>
    </row>
    <row r="72" spans="2:73">
      <c r="B72" s="694"/>
      <c r="C72" s="694"/>
      <c r="D72" s="694"/>
      <c r="E72" s="694"/>
      <c r="F72" s="694"/>
      <c r="G72" s="694"/>
      <c r="H72" s="694"/>
      <c r="I72" s="646"/>
      <c r="J72" s="646"/>
      <c r="K72" s="635"/>
      <c r="L72" s="698"/>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700"/>
      <c r="AP72" s="635"/>
      <c r="AQ72" s="695"/>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7"/>
    </row>
    <row r="73" spans="2:73">
      <c r="B73" s="694"/>
      <c r="C73" s="694"/>
      <c r="D73" s="694"/>
      <c r="E73" s="694"/>
      <c r="F73" s="694"/>
      <c r="G73" s="694"/>
      <c r="H73" s="694"/>
      <c r="I73" s="646"/>
      <c r="J73" s="646"/>
      <c r="K73" s="635"/>
      <c r="L73" s="698"/>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700"/>
      <c r="AP73" s="635"/>
      <c r="AQ73" s="698"/>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700"/>
    </row>
    <row r="74" spans="2:73">
      <c r="B74" s="694"/>
      <c r="C74" s="694"/>
      <c r="D74" s="694"/>
      <c r="E74" s="694"/>
      <c r="F74" s="694"/>
      <c r="G74" s="694"/>
      <c r="H74" s="694"/>
      <c r="I74" s="646"/>
      <c r="J74" s="646"/>
      <c r="K74" s="635"/>
      <c r="L74" s="698"/>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700"/>
      <c r="AP74" s="635"/>
      <c r="AQ74" s="698"/>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700"/>
    </row>
    <row r="75" spans="2:73">
      <c r="B75" s="694"/>
      <c r="C75" s="694"/>
      <c r="D75" s="694"/>
      <c r="E75" s="694"/>
      <c r="F75" s="694"/>
      <c r="G75" s="694"/>
      <c r="H75" s="694"/>
      <c r="I75" s="646"/>
      <c r="J75" s="646"/>
      <c r="K75" s="635"/>
      <c r="L75" s="698"/>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700"/>
      <c r="AP75" s="635"/>
      <c r="AQ75" s="698"/>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ht="15.75">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c r="BU79" s="165"/>
    </row>
    <row r="80" spans="2:73" ht="15.75">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ht="15.75">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c r="BU82" s="165"/>
    </row>
    <row r="83" spans="2:73" ht="15.75">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75">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701"/>
      <c r="AR88" s="702"/>
      <c r="AS88" s="702"/>
      <c r="AT88" s="702"/>
      <c r="AU88" s="702"/>
      <c r="AV88" s="702"/>
      <c r="AW88" s="702"/>
      <c r="AX88" s="702"/>
      <c r="AY88" s="702"/>
      <c r="AZ88" s="702"/>
      <c r="BA88" s="702"/>
      <c r="BB88" s="702"/>
      <c r="BC88" s="702"/>
      <c r="BD88" s="702"/>
      <c r="BE88" s="702"/>
      <c r="BF88" s="702"/>
      <c r="BG88" s="702"/>
      <c r="BH88" s="702"/>
      <c r="BI88" s="702"/>
      <c r="BJ88" s="702"/>
      <c r="BK88" s="702"/>
      <c r="BL88" s="702"/>
      <c r="BM88" s="702"/>
      <c r="BN88" s="702"/>
      <c r="BO88" s="702"/>
      <c r="BP88" s="702"/>
      <c r="BQ88" s="702"/>
      <c r="BR88" s="702"/>
      <c r="BS88" s="702"/>
      <c r="BT88" s="703"/>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8"/>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700"/>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ht="15.75">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c r="BU98" s="165"/>
    </row>
    <row r="99" spans="2:73" ht="15.75">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75">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row>
    <row r="102" spans="2:73" ht="15.75">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c r="BU102" s="165"/>
    </row>
    <row r="103" spans="2:73" ht="15.75">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75">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75">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75">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75">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701"/>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3"/>
      <c r="BU107" s="165"/>
    </row>
    <row r="108" spans="2:73" ht="15.75">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75">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8"/>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700"/>
      <c r="BU109" s="165"/>
    </row>
    <row r="110" spans="2:73" ht="15.75">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75">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ht="15.75">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c r="BU115" s="165"/>
    </row>
    <row r="116" spans="2:73" ht="15.75">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75">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75">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75">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row>
    <row r="121" spans="2:73" ht="15.75">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c r="BU121" s="165"/>
    </row>
    <row r="122" spans="2:73" ht="15.75">
      <c r="B122" s="694"/>
      <c r="C122" s="694"/>
      <c r="D122" s="694"/>
      <c r="E122" s="694"/>
      <c r="F122" s="694"/>
      <c r="G122" s="694"/>
      <c r="H122" s="694"/>
      <c r="I122" s="646"/>
      <c r="J122" s="646"/>
      <c r="K122" s="635"/>
      <c r="L122" s="701"/>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3"/>
      <c r="AP122" s="635"/>
      <c r="AQ122" s="701"/>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3"/>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90" t="s">
        <v>509</v>
      </c>
    </row>
    <row r="14" spans="2:22" ht="15.75">
      <c r="B14" s="590"/>
    </row>
    <row r="15" spans="2:22" s="670" customFormat="1" ht="27" customHeight="1">
      <c r="B15" s="668" t="s">
        <v>682</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2017-11-03T02:32:38Z</dcterms:modified>
</cp:coreProperties>
</file>