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bookViews>
  <sheets>
    <sheet name="Instructions" sheetId="2" r:id="rId1"/>
    <sheet name="GA Analysis  15" sheetId="4" r:id="rId2"/>
    <sheet name="GA Analysis  16" sheetId="6" r:id="rId3"/>
  </sheets>
  <definedNames>
    <definedName name="a">#REF!</definedName>
    <definedName name="GARate" localSheetId="1">#REF!</definedName>
    <definedName name="GARate" localSheetId="2">#REF!</definedName>
    <definedName name="GARate">#REF!</definedName>
    <definedName name="_xlnm.Print_Area" localSheetId="1">'GA Analysis  15'!$A$12:$K$107</definedName>
    <definedName name="_xlnm.Print_Area" localSheetId="2">'GA Analysis  16'!$A$12:$K$105</definedName>
    <definedName name="_xlnm.Print_Area" localSheetId="0">Instructions!$A$11:$C$83</definedName>
  </definedNames>
  <calcPr calcId="145621"/>
</workbook>
</file>

<file path=xl/calcChain.xml><?xml version="1.0" encoding="utf-8"?>
<calcChain xmlns="http://schemas.openxmlformats.org/spreadsheetml/2006/main">
  <c r="D47" i="6" l="1"/>
  <c r="E47" i="6"/>
  <c r="D48" i="6"/>
  <c r="E48" i="6"/>
  <c r="D49" i="6"/>
  <c r="E49" i="6"/>
  <c r="D50" i="6"/>
  <c r="E50" i="6"/>
  <c r="D51" i="6"/>
  <c r="E51" i="6"/>
  <c r="D52" i="6"/>
  <c r="E52" i="6"/>
  <c r="D53" i="6"/>
  <c r="E53" i="6"/>
  <c r="D54" i="6"/>
  <c r="E54" i="6"/>
  <c r="D55" i="6"/>
  <c r="E55" i="6"/>
  <c r="D56" i="6"/>
  <c r="E56" i="6"/>
  <c r="D57" i="6"/>
  <c r="E57" i="6"/>
  <c r="D58" i="6"/>
  <c r="E58" i="6"/>
  <c r="D47" i="4"/>
  <c r="E47" i="4"/>
  <c r="D48" i="4"/>
  <c r="E48" i="4"/>
  <c r="D49" i="4"/>
  <c r="E49" i="4"/>
  <c r="D50" i="4"/>
  <c r="E50" i="4"/>
  <c r="D51" i="4"/>
  <c r="E51" i="4"/>
  <c r="D52" i="4"/>
  <c r="E52" i="4"/>
  <c r="D53" i="4"/>
  <c r="E53" i="4"/>
  <c r="D54" i="4"/>
  <c r="E54" i="4"/>
  <c r="D55" i="4"/>
  <c r="E55" i="4"/>
  <c r="D56" i="4"/>
  <c r="E56" i="4"/>
  <c r="D57" i="4"/>
  <c r="E57" i="4"/>
  <c r="D58" i="4"/>
  <c r="E58" i="4"/>
  <c r="D65" i="6" l="1"/>
  <c r="D65" i="4"/>
  <c r="E89" i="6" l="1"/>
  <c r="E90" i="6"/>
  <c r="D89" i="6" l="1"/>
  <c r="D90" i="6"/>
  <c r="E92" i="6" l="1"/>
  <c r="D92" i="6"/>
  <c r="F91" i="6"/>
  <c r="G91" i="6" s="1"/>
  <c r="I91" i="6" s="1"/>
  <c r="F90" i="6"/>
  <c r="F89" i="6"/>
  <c r="D79" i="6"/>
  <c r="E59" i="6"/>
  <c r="D59" i="6"/>
  <c r="C59" i="6"/>
  <c r="F58" i="6"/>
  <c r="H58" i="6" s="1"/>
  <c r="F57" i="6"/>
  <c r="H57" i="6" s="1"/>
  <c r="F56" i="6"/>
  <c r="H56" i="6" s="1"/>
  <c r="F55" i="6"/>
  <c r="H55" i="6" s="1"/>
  <c r="F54" i="6"/>
  <c r="H54" i="6" s="1"/>
  <c r="F53" i="6"/>
  <c r="H53" i="6" s="1"/>
  <c r="F52" i="6"/>
  <c r="H52" i="6" s="1"/>
  <c r="F51" i="6"/>
  <c r="H51" i="6" s="1"/>
  <c r="F50" i="6"/>
  <c r="H50" i="6" s="1"/>
  <c r="F49" i="6"/>
  <c r="H49" i="6" s="1"/>
  <c r="F48" i="6"/>
  <c r="H48" i="6" s="1"/>
  <c r="F47" i="6"/>
  <c r="H47" i="6" s="1"/>
  <c r="D24" i="6"/>
  <c r="H59" i="6" l="1"/>
  <c r="D22" i="6"/>
  <c r="F24" i="6" s="1"/>
  <c r="J47" i="6"/>
  <c r="J48" i="6"/>
  <c r="K48" i="6" s="1"/>
  <c r="J49" i="6"/>
  <c r="K49" i="6" s="1"/>
  <c r="J50" i="6"/>
  <c r="K50" i="6" s="1"/>
  <c r="J51" i="6"/>
  <c r="K51" i="6" s="1"/>
  <c r="J52" i="6"/>
  <c r="K52" i="6" s="1"/>
  <c r="J53" i="6"/>
  <c r="K53" i="6" s="1"/>
  <c r="J54" i="6"/>
  <c r="K54" i="6" s="1"/>
  <c r="J55" i="6"/>
  <c r="K55" i="6" s="1"/>
  <c r="J56" i="6"/>
  <c r="K56" i="6" s="1"/>
  <c r="J57" i="6"/>
  <c r="K57" i="6" s="1"/>
  <c r="J58" i="6"/>
  <c r="K58" i="6" s="1"/>
  <c r="F59" i="6"/>
  <c r="F92" i="6"/>
  <c r="J59" i="6" l="1"/>
  <c r="H90" i="6" s="1"/>
  <c r="K47" i="6"/>
  <c r="K59" i="6" s="1"/>
  <c r="F26" i="6"/>
  <c r="F23" i="6"/>
  <c r="F25" i="6"/>
  <c r="D80" i="6" l="1"/>
  <c r="D81" i="6" s="1"/>
  <c r="D82" i="6" s="1"/>
  <c r="E82" i="6" s="1"/>
  <c r="C90" i="6"/>
  <c r="G90" i="6" s="1"/>
  <c r="I90" i="6" s="1"/>
  <c r="F88" i="4" l="1"/>
  <c r="G88" i="4" s="1"/>
  <c r="F89" i="4"/>
  <c r="G89" i="4" s="1"/>
  <c r="F90" i="4"/>
  <c r="G90" i="4" s="1"/>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89" i="6" s="1"/>
  <c r="H92" i="6" s="1"/>
  <c r="H59" i="4"/>
  <c r="K59" i="4"/>
  <c r="C89" i="6" s="1"/>
  <c r="C92" i="4"/>
  <c r="C92" i="6" l="1"/>
  <c r="G89" i="6"/>
  <c r="D80" i="4"/>
  <c r="D81" i="4" s="1"/>
  <c r="H92" i="4"/>
  <c r="I89" i="6" l="1"/>
  <c r="I92" i="6" s="1"/>
  <c r="G92" i="6"/>
  <c r="E92" i="4"/>
  <c r="D82" i="4" l="1"/>
  <c r="E82" i="4" s="1"/>
</calcChain>
</file>

<file path=xl/sharedStrings.xml><?xml version="1.0" encoding="utf-8"?>
<sst xmlns="http://schemas.openxmlformats.org/spreadsheetml/2006/main" count="323" uniqueCount="167">
  <si>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</si>
  <si>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</si>
  <si>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</si>
  <si>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</si>
  <si>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</si>
  <si>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</si>
  <si>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</si>
  <si>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</si>
  <si>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</si>
  <si>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</si>
  <si>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</si>
  <si>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</si>
  <si>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</si>
  <si>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</si>
  <si>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</si>
  <si>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</si>
  <si>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</si>
  <si>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</si>
  <si>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</si>
  <si>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</si>
  <si>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</si>
  <si>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</si>
  <si>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</si>
  <si>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</si>
  <si>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</si>
  <si>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</si>
  <si>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</si>
  <si>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</si>
  <si>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</si>
  <si>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</si>
  <si>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</si>
  <si>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</si>
  <si>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</si>
  <si>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</si>
  <si>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</si>
  <si>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</si>
  <si>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</si>
  <si>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</si>
  <si>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</si>
  <si>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</si>
  <si>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</si>
  <si>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</si>
  <si>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</si>
  <si>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</si>
  <si>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</si>
  <si>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</si>
  <si>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</si>
  <si>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</si>
  <si>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</si>
  <si>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</si>
  <si>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</si>
  <si>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</si>
  <si>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</si>
  <si>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</si>
  <si>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</si>
  <si>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</si>
  <si>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</si>
  <si>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</si>
  <si>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</si>
  <si>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</si>
  <si>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</si>
  <si>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</si>
  <si>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</si>
  <si>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</si>
  <si>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</si>
  <si>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</si>
  <si>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</si>
  <si>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</si>
  <si>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</si>
  <si>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</si>
  <si>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</si>
  <si>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</si>
  <si>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</si>
  <si>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</si>
  <si>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</si>
  <si>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</si>
  <si>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</si>
  <si>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</si>
  <si>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</si>
  <si>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</si>
  <si>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</si>
  <si>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</si>
  <si>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</si>
  <si>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</si>
  <si>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</si>
  <si>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</si>
  <si>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</si>
  <si>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</si>
  <si>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</si>
  <si>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</si>
  <si>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</si>
  <si>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</si>
  <si>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</si>
  <si>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</si>
  <si>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</si>
  <si>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</si>
  <si>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</si>
  <si>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</si>
  <si>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</si>
  <si>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</si>
  <si>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</si>
  <si>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</si>
  <si>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</si>
  <si>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</si>
  <si>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</si>
  <si>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</si>
  <si>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</si>
  <si>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</si>
  <si>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</si>
  <si>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</si>
  <si>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</si>
  <si>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</si>
  <si>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</si>
  <si>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</si>
  <si>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</si>
  <si>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</si>
  <si>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</si>
  <si>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</si>
  <si>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</si>
  <si>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</si>
  <si>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</si>
  <si>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</si>
  <si>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</si>
  <si>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</si>
  <si>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</si>
  <si>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</si>
  <si>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</si>
  <si>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</si>
  <si>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</si>
  <si>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</si>
  <si>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</si>
  <si>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</si>
  <si>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</si>
  <si>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</si>
  <si>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</si>
  <si>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</si>
  <si>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</si>
  <si>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</si>
  <si>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</si>
  <si>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</si>
  <si>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</si>
  <si>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</si>
  <si>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</si>
  <si>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</si>
  <si>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</si>
  <si>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</si>
  <si>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</si>
  <si>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</si>
  <si>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</si>
  <si>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</si>
  <si>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</si>
  <si>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</si>
  <si>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</si>
  <si>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</si>
  <si>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</si>
  <si>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</si>
  <si>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</si>
  <si>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</si>
  <si>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</si>
  <si>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</si>
  <si>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</si>
  <si>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</si>
  <si>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</si>
  <si>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Unbilled revenue impact on GA</t>
  </si>
  <si>
    <t>Unbilled revenue impact on GA for the prior year</t>
  </si>
  <si>
    <t>Unbilled revenue impact on GA for the current year</t>
  </si>
  <si>
    <t>Annual adjustment to the GA variance for the RPP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</si>
</sst>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9" fontId="2" fillId="0" borderId="0" xfId="4" applyNumberFormat="1" applyFont="1" applyFill="1"/>
    <xf numFmtId="164" fontId="6" fillId="0" borderId="13" xfId="4" applyNumberFormat="1" applyFont="1" applyBorder="1" applyAlignment="1">
      <alignment horizontal="center"/>
    </xf>
    <xf numFmtId="167" fontId="2" fillId="0" borderId="0" xfId="0" applyNumberFormat="1" applyFont="1"/>
    <xf numFmtId="10" fontId="2" fillId="0" borderId="24" xfId="4"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38101</xdr:colOff>
      <xdr:row>95</xdr:row>
      <xdr:rowOff>123825</xdr:rowOff>
    </xdr:from>
    <xdr:to>
      <xdr:col>7</xdr:col>
      <xdr:colOff>1200151</xdr:colOff>
      <xdr:row>104</xdr:row>
      <xdr:rowOff>66675</xdr:rowOff>
    </xdr:to>
    <xdr:sp macro="" textlink="">
      <xdr:nvSpPr>
        <xdr:cNvPr id="3" name="TextBox 2"/>
        <xdr:cNvSpPr txBox="1"/>
      </xdr:nvSpPr>
      <xdr:spPr>
        <a:xfrm>
          <a:off x="723901" y="22840950"/>
          <a:ext cx="12134850" cy="15716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			</a:t>
          </a: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abSelected="1" topLeftCell="A33" zoomScaleNormal="100" zoomScaleSheetLayoutView="85" workbookViewId="0">
      <selection activeCell="C54" sqref="C54"/>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44" t="s">
        <v>154</v>
      </c>
      <c r="B14" s="144"/>
      <c r="C14" s="144"/>
    </row>
    <row r="16" spans="1:3" ht="15.75" x14ac:dyDescent="0.2">
      <c r="A16" s="44" t="s">
        <v>46</v>
      </c>
    </row>
    <row r="17" spans="1:26" x14ac:dyDescent="0.2">
      <c r="A17" s="42" t="s">
        <v>47</v>
      </c>
    </row>
    <row r="18" spans="1:26" ht="33" customHeight="1" x14ac:dyDescent="0.2">
      <c r="A18" s="145" t="s">
        <v>85</v>
      </c>
      <c r="B18" s="145"/>
      <c r="C18" s="145"/>
    </row>
    <row r="20" spans="1:26" x14ac:dyDescent="0.2">
      <c r="A20" s="42">
        <v>1</v>
      </c>
      <c r="B20" s="147" t="s">
        <v>140</v>
      </c>
      <c r="C20" s="147"/>
    </row>
    <row r="21" spans="1:26" x14ac:dyDescent="0.2">
      <c r="B21" s="133"/>
      <c r="C21" s="133"/>
    </row>
    <row r="23" spans="1:26" ht="31.5" customHeight="1" x14ac:dyDescent="0.2">
      <c r="A23" s="42">
        <v>2</v>
      </c>
      <c r="B23" s="144" t="s">
        <v>86</v>
      </c>
      <c r="C23" s="144"/>
    </row>
    <row r="24" spans="1:26" x14ac:dyDescent="0.2">
      <c r="B24" s="132"/>
      <c r="C24" s="132"/>
    </row>
    <row r="26" spans="1:26" x14ac:dyDescent="0.2">
      <c r="A26" s="42">
        <v>3</v>
      </c>
      <c r="B26" s="146" t="s">
        <v>109</v>
      </c>
      <c r="C26" s="146"/>
    </row>
    <row r="27" spans="1:26" ht="32.25" customHeight="1" x14ac:dyDescent="0.2">
      <c r="B27" s="144" t="s">
        <v>117</v>
      </c>
      <c r="C27" s="144"/>
    </row>
    <row r="28" spans="1:26" ht="63" customHeight="1" x14ac:dyDescent="0.2">
      <c r="B28" s="144" t="s">
        <v>129</v>
      </c>
      <c r="C28" s="144"/>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4" t="s">
        <v>118</v>
      </c>
      <c r="C29" s="144"/>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4" t="s">
        <v>155</v>
      </c>
      <c r="B33" s="144"/>
      <c r="C33" s="144"/>
    </row>
    <row r="34" spans="1:3" x14ac:dyDescent="0.2">
      <c r="B34" s="132"/>
      <c r="C34" s="132"/>
    </row>
    <row r="35" spans="1:3" x14ac:dyDescent="0.2">
      <c r="B35" s="84"/>
    </row>
    <row r="36" spans="1:3" x14ac:dyDescent="0.2">
      <c r="A36" s="42">
        <v>4</v>
      </c>
      <c r="B36" s="146" t="s">
        <v>141</v>
      </c>
      <c r="C36" s="146"/>
    </row>
    <row r="37" spans="1:3" ht="78.75" customHeight="1" x14ac:dyDescent="0.2">
      <c r="B37" s="144" t="s">
        <v>142</v>
      </c>
      <c r="C37" s="144"/>
    </row>
    <row r="38" spans="1:3" ht="65.25" customHeight="1" x14ac:dyDescent="0.2">
      <c r="B38" s="144" t="s">
        <v>124</v>
      </c>
      <c r="C38" s="144"/>
    </row>
    <row r="39" spans="1:3" ht="31.5" customHeight="1" x14ac:dyDescent="0.2">
      <c r="B39" s="144" t="s">
        <v>123</v>
      </c>
      <c r="C39" s="144"/>
    </row>
    <row r="40" spans="1:3" ht="30" customHeight="1" x14ac:dyDescent="0.2">
      <c r="B40" s="144" t="s">
        <v>125</v>
      </c>
      <c r="C40" s="144"/>
    </row>
    <row r="41" spans="1:3" x14ac:dyDescent="0.2">
      <c r="B41" s="132"/>
      <c r="C41" s="132"/>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4" t="s">
        <v>135</v>
      </c>
      <c r="C49" s="144"/>
    </row>
    <row r="51" spans="2:3" ht="30" customHeight="1" x14ac:dyDescent="0.2">
      <c r="B51" s="144" t="s">
        <v>120</v>
      </c>
      <c r="C51" s="144"/>
    </row>
    <row r="52" spans="2:3" ht="30" customHeight="1" x14ac:dyDescent="0.2">
      <c r="B52" s="144" t="s">
        <v>88</v>
      </c>
      <c r="C52" s="144"/>
    </row>
    <row r="53" spans="2:3" x14ac:dyDescent="0.2">
      <c r="B53" s="132"/>
      <c r="C53" s="132"/>
    </row>
    <row r="54" spans="2:3" x14ac:dyDescent="0.2">
      <c r="B54" s="135"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32"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32" t="s">
        <v>144</v>
      </c>
    </row>
    <row r="69" spans="1:3" ht="30" x14ac:dyDescent="0.2">
      <c r="B69" s="92"/>
      <c r="C69" s="132" t="s">
        <v>145</v>
      </c>
    </row>
    <row r="70" spans="1:3" x14ac:dyDescent="0.2">
      <c r="B70" s="92" t="s">
        <v>106</v>
      </c>
      <c r="C70" s="40" t="s">
        <v>105</v>
      </c>
    </row>
    <row r="71" spans="1:3" ht="30" x14ac:dyDescent="0.2">
      <c r="B71" s="92"/>
      <c r="C71" s="132" t="s">
        <v>107</v>
      </c>
    </row>
    <row r="72" spans="1:3" x14ac:dyDescent="0.2">
      <c r="B72" s="92" t="s">
        <v>146</v>
      </c>
      <c r="C72" s="132" t="s">
        <v>137</v>
      </c>
    </row>
    <row r="73" spans="1:3" ht="45" x14ac:dyDescent="0.2">
      <c r="B73" s="92"/>
      <c r="C73" s="132" t="s">
        <v>148</v>
      </c>
    </row>
    <row r="74" spans="1:3" x14ac:dyDescent="0.2">
      <c r="B74" s="92" t="s">
        <v>147</v>
      </c>
      <c r="C74" s="132" t="s">
        <v>149</v>
      </c>
    </row>
    <row r="75" spans="1:3" ht="30" x14ac:dyDescent="0.2">
      <c r="B75" s="92"/>
      <c r="C75" s="132" t="s">
        <v>127</v>
      </c>
    </row>
    <row r="76" spans="1:3" x14ac:dyDescent="0.2">
      <c r="B76" s="92"/>
      <c r="C76" s="132"/>
    </row>
    <row r="77" spans="1:3" x14ac:dyDescent="0.2">
      <c r="A77" s="42">
        <v>6</v>
      </c>
      <c r="B77" s="136" t="s">
        <v>151</v>
      </c>
      <c r="C77" s="132"/>
    </row>
    <row r="78" spans="1:3" ht="59.25" customHeight="1" x14ac:dyDescent="0.2">
      <c r="B78" s="145" t="s">
        <v>152</v>
      </c>
      <c r="C78" s="145"/>
    </row>
    <row r="79" spans="1:3" x14ac:dyDescent="0.2">
      <c r="B79" s="86"/>
      <c r="C79" s="132"/>
    </row>
    <row r="81" spans="1:3" ht="30.75" customHeight="1" x14ac:dyDescent="0.2">
      <c r="A81" s="42">
        <v>7</v>
      </c>
      <c r="B81" s="144" t="s">
        <v>153</v>
      </c>
      <c r="C81" s="144"/>
    </row>
    <row r="82" spans="1:3" x14ac:dyDescent="0.2">
      <c r="B82" s="132"/>
      <c r="C82" s="132"/>
    </row>
    <row r="83" spans="1:3" ht="15.75" customHeight="1" x14ac:dyDescent="0.2">
      <c r="B83" s="147" t="s">
        <v>108</v>
      </c>
      <c r="C83" s="147"/>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88" zoomScaleNormal="100" zoomScaleSheetLayoutView="100" workbookViewId="0">
      <selection activeCell="H108" sqref="H10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6" t="s">
        <v>25</v>
      </c>
      <c r="C21" s="156"/>
      <c r="D21" s="24">
        <v>2015</v>
      </c>
      <c r="E21" s="157"/>
      <c r="F21" s="158"/>
      <c r="G21" s="78"/>
      <c r="H21" s="78"/>
      <c r="I21" s="78"/>
      <c r="J21" s="78"/>
      <c r="K21" s="78"/>
      <c r="L21" s="78"/>
      <c r="M21" s="78"/>
      <c r="N21" s="78"/>
      <c r="O21" s="78"/>
      <c r="P21" s="78"/>
      <c r="Q21" s="78"/>
    </row>
    <row r="22" spans="1:24" ht="15" thickBot="1" x14ac:dyDescent="0.25">
      <c r="A22" s="4"/>
      <c r="B22" s="5" t="s">
        <v>3</v>
      </c>
      <c r="C22" s="5" t="s">
        <v>2</v>
      </c>
      <c r="D22" s="116">
        <f>D23+D24</f>
        <v>819691631.73999989</v>
      </c>
      <c r="E22" s="6" t="s">
        <v>0</v>
      </c>
      <c r="F22" s="7">
        <v>1</v>
      </c>
      <c r="G22" s="78"/>
      <c r="H22" s="78"/>
      <c r="I22" s="78"/>
      <c r="J22" s="78"/>
      <c r="K22" s="78"/>
      <c r="L22" s="78"/>
      <c r="M22" s="78"/>
      <c r="N22" s="78"/>
      <c r="O22" s="78"/>
      <c r="P22" s="78"/>
      <c r="Q22" s="78"/>
    </row>
    <row r="23" spans="1:24" x14ac:dyDescent="0.2">
      <c r="B23" s="5" t="s">
        <v>7</v>
      </c>
      <c r="C23" s="5" t="s">
        <v>1</v>
      </c>
      <c r="D23" s="117">
        <v>423226773.46799994</v>
      </c>
      <c r="E23" s="6" t="s">
        <v>0</v>
      </c>
      <c r="F23" s="8">
        <f>IFERROR(D23/$D$22,0)</f>
        <v>0.51632437990076285</v>
      </c>
    </row>
    <row r="24" spans="1:24" ht="15" thickBot="1" x14ac:dyDescent="0.25">
      <c r="B24" s="5" t="s">
        <v>8</v>
      </c>
      <c r="C24" s="5" t="s">
        <v>6</v>
      </c>
      <c r="D24" s="116">
        <f>D25+D26</f>
        <v>396464858.27199996</v>
      </c>
      <c r="E24" s="6" t="s">
        <v>0</v>
      </c>
      <c r="F24" s="8">
        <f>IFERROR(D24/$D$22,0)</f>
        <v>0.48367562009923709</v>
      </c>
    </row>
    <row r="25" spans="1:24" x14ac:dyDescent="0.2">
      <c r="B25" s="5" t="s">
        <v>9</v>
      </c>
      <c r="C25" s="5" t="s">
        <v>4</v>
      </c>
      <c r="D25" s="117">
        <v>52199862.780000001</v>
      </c>
      <c r="E25" s="6" t="s">
        <v>0</v>
      </c>
      <c r="F25" s="8">
        <f>IFERROR(D25/$D$22,0)</f>
        <v>6.3682317543236083E-2</v>
      </c>
    </row>
    <row r="26" spans="1:24" x14ac:dyDescent="0.2">
      <c r="B26" s="5" t="s">
        <v>61</v>
      </c>
      <c r="C26" s="5" t="s">
        <v>5</v>
      </c>
      <c r="D26" s="118">
        <v>344264995.49199998</v>
      </c>
      <c r="E26" s="6" t="s">
        <v>0</v>
      </c>
      <c r="F26" s="8">
        <f>IFERROR(D26/$D$22,0)</f>
        <v>0.41999330255600109</v>
      </c>
      <c r="G26" s="29"/>
      <c r="H26" s="29"/>
    </row>
    <row r="27" spans="1:24" ht="34.5" customHeight="1" x14ac:dyDescent="0.2">
      <c r="B27" s="159" t="s">
        <v>77</v>
      </c>
      <c r="C27" s="159"/>
      <c r="D27" s="159"/>
      <c r="E27" s="159"/>
      <c r="F27" s="159"/>
      <c r="G27" s="160"/>
      <c r="H27" s="160"/>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2">
        <v>2016</v>
      </c>
      <c r="P45" s="152"/>
      <c r="Q45" s="152"/>
      <c r="R45" s="152">
        <v>2015</v>
      </c>
      <c r="S45" s="152"/>
      <c r="T45" s="152"/>
      <c r="U45" s="152">
        <v>2014</v>
      </c>
      <c r="V45" s="152"/>
      <c r="W45" s="152"/>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31587093.214999985</v>
      </c>
      <c r="D47" s="93">
        <f>71639809*0.42</f>
        <v>30088719.779999997</v>
      </c>
      <c r="E47" s="60">
        <f>75469671*0.42</f>
        <v>31697261.82</v>
      </c>
      <c r="F47" s="51">
        <f>C47-D47+E47</f>
        <v>33195635.254999988</v>
      </c>
      <c r="G47" s="110">
        <v>5.5490000000000005E-2</v>
      </c>
      <c r="H47" s="15">
        <f>F47*G47</f>
        <v>1842025.8002999495</v>
      </c>
      <c r="I47" s="110">
        <v>5.0680000000000003E-2</v>
      </c>
      <c r="J47" s="17">
        <f>F47*I47</f>
        <v>1682354.7947233994</v>
      </c>
      <c r="K47" s="16">
        <f>J47-H47</f>
        <v>-159671.00557655003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29290237.582999997</v>
      </c>
      <c r="D48" s="93">
        <f>75469671*0.42</f>
        <v>31697261.82</v>
      </c>
      <c r="E48" s="60">
        <f>75473925*0.42</f>
        <v>31699048.5</v>
      </c>
      <c r="F48" s="51">
        <f t="shared" ref="F48:F58" si="0">C48-D48+E48</f>
        <v>29292024.262999997</v>
      </c>
      <c r="G48" s="110">
        <v>6.9809999999999997E-2</v>
      </c>
      <c r="H48" s="15">
        <f t="shared" ref="H48:H58" si="1">F48*G48</f>
        <v>2044876.2138000296</v>
      </c>
      <c r="I48" s="110">
        <v>3.9609999999999999E-2</v>
      </c>
      <c r="J48" s="17">
        <f t="shared" ref="J48:J58" si="2">F48*I48</f>
        <v>1160257.0810574298</v>
      </c>
      <c r="K48" s="16">
        <f t="shared" ref="K48:K58" si="3">J48-H48</f>
        <v>-884619.13274259982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30317069.889999997</v>
      </c>
      <c r="D49" s="93">
        <f>75473925*0.42</f>
        <v>31699048.5</v>
      </c>
      <c r="E49" s="60">
        <f>67680934*0.42</f>
        <v>28425992.279999997</v>
      </c>
      <c r="F49" s="51">
        <f t="shared" si="0"/>
        <v>27044013.669999994</v>
      </c>
      <c r="G49" s="110">
        <v>3.6040000000000003E-2</v>
      </c>
      <c r="H49" s="15">
        <f t="shared" si="1"/>
        <v>974666.25266679982</v>
      </c>
      <c r="I49" s="110">
        <v>6.2899999999999998E-2</v>
      </c>
      <c r="J49" s="17">
        <f t="shared" si="2"/>
        <v>1701068.4598429995</v>
      </c>
      <c r="K49" s="16">
        <f t="shared" si="3"/>
        <v>726402.20717619965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26796638.344000004</v>
      </c>
      <c r="D50" s="93">
        <f>67680934*0.42</f>
        <v>28425992.279999997</v>
      </c>
      <c r="E50" s="60">
        <f>58423134*0.42</f>
        <v>24537716.279999997</v>
      </c>
      <c r="F50" s="51">
        <f t="shared" si="0"/>
        <v>22908362.344000004</v>
      </c>
      <c r="G50" s="110">
        <v>6.7049999999999998E-2</v>
      </c>
      <c r="H50" s="15">
        <f t="shared" si="1"/>
        <v>1536005.6951652002</v>
      </c>
      <c r="I50" s="110">
        <v>9.5590000000000008E-2</v>
      </c>
      <c r="J50" s="17">
        <f t="shared" si="2"/>
        <v>2189810.3564629606</v>
      </c>
      <c r="K50" s="16">
        <f t="shared" si="3"/>
        <v>653804.66129776044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28433062.865000002</v>
      </c>
      <c r="D51" s="93">
        <f>58423134*0.42</f>
        <v>24537716.279999997</v>
      </c>
      <c r="E51" s="60">
        <f>57279327*0.42</f>
        <v>24057317.34</v>
      </c>
      <c r="F51" s="51">
        <f t="shared" si="0"/>
        <v>27952663.925000004</v>
      </c>
      <c r="G51" s="110">
        <v>9.4159999999999994E-2</v>
      </c>
      <c r="H51" s="15">
        <f t="shared" si="1"/>
        <v>2632022.8351780004</v>
      </c>
      <c r="I51" s="110">
        <v>9.6680000000000002E-2</v>
      </c>
      <c r="J51" s="17">
        <f t="shared" si="2"/>
        <v>2702463.5482690004</v>
      </c>
      <c r="K51" s="16">
        <f t="shared" si="3"/>
        <v>70440.713090999983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27846115.568999998</v>
      </c>
      <c r="D52" s="93">
        <f>57279327*0.42</f>
        <v>24057317.34</v>
      </c>
      <c r="E52" s="60">
        <f>58407847*0.42</f>
        <v>24531295.739999998</v>
      </c>
      <c r="F52" s="51">
        <f t="shared" si="0"/>
        <v>28320093.968999997</v>
      </c>
      <c r="G52" s="110">
        <v>9.2280000000000001E-2</v>
      </c>
      <c r="H52" s="15">
        <f t="shared" si="1"/>
        <v>2613378.2714593196</v>
      </c>
      <c r="I52" s="110">
        <v>9.5400000000000013E-2</v>
      </c>
      <c r="J52" s="17">
        <f t="shared" si="2"/>
        <v>2701736.9646426002</v>
      </c>
      <c r="K52" s="16">
        <f t="shared" si="3"/>
        <v>88358.693183280528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29091379.214999996</v>
      </c>
      <c r="D53" s="93">
        <f>58407847*0.42</f>
        <v>24531295.739999998</v>
      </c>
      <c r="E53" s="60">
        <f>61738466*0.42</f>
        <v>25930155.719999999</v>
      </c>
      <c r="F53" s="51">
        <f t="shared" si="0"/>
        <v>30490239.194999997</v>
      </c>
      <c r="G53" s="110">
        <v>8.8880000000000001E-2</v>
      </c>
      <c r="H53" s="15">
        <f t="shared" si="1"/>
        <v>2709972.4596515996</v>
      </c>
      <c r="I53" s="110">
        <v>7.8829999999999997E-2</v>
      </c>
      <c r="J53" s="17">
        <f t="shared" si="2"/>
        <v>2403545.5557418498</v>
      </c>
      <c r="K53" s="16">
        <f t="shared" si="3"/>
        <v>-306426.90390974982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29731081.315000009</v>
      </c>
      <c r="D54" s="93">
        <f>61738466*0.42</f>
        <v>25930155.719999999</v>
      </c>
      <c r="E54" s="60">
        <f>64773366*0.42</f>
        <v>27204813.719999999</v>
      </c>
      <c r="F54" s="51">
        <f t="shared" si="0"/>
        <v>31005739.315000009</v>
      </c>
      <c r="G54" s="110">
        <v>8.8050000000000003E-2</v>
      </c>
      <c r="H54" s="15">
        <f t="shared" si="1"/>
        <v>2730055.3466857509</v>
      </c>
      <c r="I54" s="110">
        <v>8.0099999999999991E-2</v>
      </c>
      <c r="J54" s="17">
        <f t="shared" si="2"/>
        <v>2483559.7191315005</v>
      </c>
      <c r="K54" s="16">
        <f t="shared" si="3"/>
        <v>-246495.62755425042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28777448.27</v>
      </c>
      <c r="D55" s="93">
        <f>64773366*0.42</f>
        <v>27204813.719999999</v>
      </c>
      <c r="E55" s="60">
        <f>60636830*0.42</f>
        <v>25467468.599999998</v>
      </c>
      <c r="F55" s="51">
        <f t="shared" si="0"/>
        <v>27040103.149999999</v>
      </c>
      <c r="G55" s="110">
        <v>8.270000000000001E-2</v>
      </c>
      <c r="H55" s="15">
        <f t="shared" si="1"/>
        <v>2236216.5305050001</v>
      </c>
      <c r="I55" s="110">
        <v>6.7030000000000006E-2</v>
      </c>
      <c r="J55" s="17">
        <f t="shared" si="2"/>
        <v>1812498.1141445001</v>
      </c>
      <c r="K55" s="16">
        <f t="shared" si="3"/>
        <v>-423718.41636050004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27802366.696000006</v>
      </c>
      <c r="D56" s="93">
        <f>60636830*0.42</f>
        <v>25467468.599999998</v>
      </c>
      <c r="E56" s="60">
        <f>58395837*0.42</f>
        <v>24526251.539999999</v>
      </c>
      <c r="F56" s="51">
        <f t="shared" si="0"/>
        <v>26861149.636000007</v>
      </c>
      <c r="G56" s="110">
        <v>6.3710000000000003E-2</v>
      </c>
      <c r="H56" s="15">
        <f t="shared" si="1"/>
        <v>1711323.8433095606</v>
      </c>
      <c r="I56" s="110">
        <v>7.5439999999999993E-2</v>
      </c>
      <c r="J56" s="17">
        <f t="shared" si="2"/>
        <v>2026405.1285398405</v>
      </c>
      <c r="K56" s="16">
        <f t="shared" si="3"/>
        <v>315081.2852302799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27239455.248999994</v>
      </c>
      <c r="D57" s="93">
        <f>58395837*0.42</f>
        <v>24526251.539999999</v>
      </c>
      <c r="E57" s="60">
        <f>63257331*0.42</f>
        <v>26568079.02</v>
      </c>
      <c r="F57" s="51">
        <f t="shared" si="0"/>
        <v>29281282.728999995</v>
      </c>
      <c r="G57" s="110">
        <v>7.6230000000000006E-2</v>
      </c>
      <c r="H57" s="15">
        <f t="shared" si="1"/>
        <v>2232112.1824316699</v>
      </c>
      <c r="I57" s="110">
        <v>0.11320000000000001</v>
      </c>
      <c r="J57" s="17">
        <f t="shared" si="2"/>
        <v>3314641.2049227995</v>
      </c>
      <c r="K57" s="16">
        <f t="shared" si="3"/>
        <v>1082529.0224911296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27353047.280999996</v>
      </c>
      <c r="D58" s="93">
        <f>63257331*0.42</f>
        <v>26568079.02</v>
      </c>
      <c r="E58" s="60">
        <f>67164628*0.42</f>
        <v>28209143.759999998</v>
      </c>
      <c r="F58" s="51">
        <f t="shared" si="0"/>
        <v>28994112.020999994</v>
      </c>
      <c r="G58" s="110">
        <v>0.11462</v>
      </c>
      <c r="H58" s="15">
        <f t="shared" si="1"/>
        <v>3323305.1198470192</v>
      </c>
      <c r="I58" s="110">
        <v>9.4709999999999989E-2</v>
      </c>
      <c r="J58" s="17">
        <f t="shared" si="2"/>
        <v>2746032.349508909</v>
      </c>
      <c r="K58" s="16">
        <f t="shared" si="3"/>
        <v>-577272.77033811016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344264995.49200004</v>
      </c>
      <c r="D59" s="96">
        <f>SUM(D47:D58)</f>
        <v>324734120.34000003</v>
      </c>
      <c r="E59" s="96">
        <f>SUM(E47:E58)</f>
        <v>322854544.31999999</v>
      </c>
      <c r="F59" s="96">
        <f>SUM(F47:F58)</f>
        <v>342385419.47199994</v>
      </c>
      <c r="G59" s="37"/>
      <c r="H59" s="38">
        <f>SUM(H47:H58)</f>
        <v>26585960.550999898</v>
      </c>
      <c r="I59" s="37"/>
      <c r="J59" s="38">
        <f>SUM(J47:J58)</f>
        <v>26924373.276987787</v>
      </c>
      <c r="K59" s="39">
        <f>SUM(K47:K58)</f>
        <v>338412.7259878898</v>
      </c>
      <c r="N59" s="31"/>
      <c r="O59" s="32"/>
      <c r="P59" s="32"/>
      <c r="Q59" s="32"/>
      <c r="R59" s="32"/>
      <c r="S59" s="32"/>
      <c r="T59" s="32"/>
      <c r="U59" s="32"/>
      <c r="V59" s="32"/>
      <c r="W59" s="32"/>
    </row>
    <row r="60" spans="1:24" x14ac:dyDescent="0.2">
      <c r="E60" s="142"/>
      <c r="G60" s="4"/>
      <c r="H60" s="4"/>
      <c r="I60" s="4"/>
      <c r="J60" s="68"/>
      <c r="K60" s="140"/>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61" t="s">
        <v>44</v>
      </c>
      <c r="F64" s="161"/>
      <c r="G64" s="161"/>
      <c r="H64" s="161"/>
      <c r="I64" s="161"/>
      <c r="K64" s="120"/>
      <c r="O64" s="29"/>
      <c r="P64" s="29"/>
      <c r="Q64" s="29"/>
      <c r="R64" s="29"/>
      <c r="S64" s="29"/>
      <c r="T64" s="29"/>
      <c r="U64" s="29"/>
      <c r="V64" s="29"/>
      <c r="W64" s="29"/>
      <c r="X64" s="29"/>
    </row>
    <row r="65" spans="1:24" ht="30.75" customHeight="1" x14ac:dyDescent="0.25">
      <c r="A65" s="162" t="s">
        <v>134</v>
      </c>
      <c r="B65" s="163"/>
      <c r="C65" s="164"/>
      <c r="D65" s="126">
        <f>952686*0.87</f>
        <v>828836.82</v>
      </c>
      <c r="E65" s="153"/>
      <c r="F65" s="154"/>
      <c r="G65" s="154"/>
      <c r="H65" s="154"/>
      <c r="I65" s="155"/>
      <c r="K65" s="120"/>
      <c r="O65" s="29"/>
      <c r="P65" s="29"/>
      <c r="Q65" s="29"/>
      <c r="R65" s="29"/>
      <c r="S65" s="29"/>
      <c r="T65" s="29"/>
      <c r="U65" s="29"/>
      <c r="V65" s="29"/>
      <c r="W65" s="29"/>
      <c r="X65" s="29"/>
    </row>
    <row r="66" spans="1:24" ht="28.5" x14ac:dyDescent="0.2">
      <c r="A66" s="69" t="s">
        <v>51</v>
      </c>
      <c r="B66" s="49" t="s">
        <v>62</v>
      </c>
      <c r="C66" s="111"/>
      <c r="D66" s="97">
        <v>-378832</v>
      </c>
      <c r="E66" s="151" t="s">
        <v>166</v>
      </c>
      <c r="F66" s="151"/>
      <c r="G66" s="151"/>
      <c r="H66" s="151"/>
      <c r="I66" s="151"/>
      <c r="K66" s="120"/>
      <c r="O66" s="29"/>
      <c r="P66" s="29"/>
      <c r="Q66" s="29"/>
      <c r="R66" s="29"/>
      <c r="S66" s="29"/>
      <c r="T66" s="29"/>
      <c r="U66" s="29"/>
      <c r="V66" s="29"/>
      <c r="W66" s="29"/>
      <c r="X66" s="29"/>
    </row>
    <row r="67" spans="1:24" ht="28.5" x14ac:dyDescent="0.2">
      <c r="A67" s="69" t="s">
        <v>52</v>
      </c>
      <c r="B67" s="49" t="s">
        <v>79</v>
      </c>
      <c r="C67" s="112"/>
      <c r="D67" s="113"/>
      <c r="E67" s="148"/>
      <c r="F67" s="149"/>
      <c r="G67" s="149"/>
      <c r="H67" s="149"/>
      <c r="I67" s="150"/>
      <c r="J67" s="78"/>
      <c r="K67" s="121"/>
      <c r="L67" s="78"/>
      <c r="M67" s="78"/>
      <c r="N67" s="78"/>
      <c r="O67" s="78"/>
      <c r="P67" s="78"/>
      <c r="Q67" s="78"/>
    </row>
    <row r="68" spans="1:24" ht="28.5" x14ac:dyDescent="0.2">
      <c r="A68" s="69" t="s">
        <v>65</v>
      </c>
      <c r="B68" s="49" t="s">
        <v>64</v>
      </c>
      <c r="C68" s="111"/>
      <c r="D68" s="113"/>
      <c r="E68" s="151"/>
      <c r="F68" s="151"/>
      <c r="G68" s="151"/>
      <c r="H68" s="151"/>
      <c r="I68" s="151"/>
      <c r="J68" s="78"/>
      <c r="K68" s="121"/>
      <c r="L68" s="78"/>
      <c r="M68" s="78"/>
      <c r="N68" s="78"/>
      <c r="O68" s="78"/>
      <c r="P68" s="78"/>
      <c r="Q68" s="78"/>
    </row>
    <row r="69" spans="1:24" ht="28.5" x14ac:dyDescent="0.2">
      <c r="A69" s="69" t="s">
        <v>66</v>
      </c>
      <c r="B69" s="49" t="s">
        <v>63</v>
      </c>
      <c r="C69" s="112"/>
      <c r="D69" s="113">
        <v>-171604</v>
      </c>
      <c r="E69" s="148" t="s">
        <v>163</v>
      </c>
      <c r="F69" s="149"/>
      <c r="G69" s="149"/>
      <c r="H69" s="149"/>
      <c r="I69" s="150"/>
      <c r="J69" s="78"/>
      <c r="K69" s="124"/>
      <c r="L69" s="78"/>
      <c r="M69" s="78"/>
      <c r="N69" s="78"/>
      <c r="O69" s="78"/>
      <c r="P69" s="78"/>
      <c r="Q69" s="78"/>
    </row>
    <row r="70" spans="1:24" ht="28.5" x14ac:dyDescent="0.2">
      <c r="A70" s="69" t="s">
        <v>69</v>
      </c>
      <c r="B70" s="49" t="s">
        <v>71</v>
      </c>
      <c r="C70" s="111"/>
      <c r="D70" s="97"/>
      <c r="E70" s="151"/>
      <c r="F70" s="151"/>
      <c r="G70" s="151"/>
      <c r="H70" s="151"/>
      <c r="I70" s="151"/>
      <c r="J70" s="78"/>
      <c r="K70" s="124"/>
      <c r="L70" s="78"/>
      <c r="M70" s="78"/>
      <c r="N70" s="78"/>
      <c r="O70" s="78"/>
      <c r="P70" s="78"/>
      <c r="Q70" s="78"/>
    </row>
    <row r="71" spans="1:24" ht="28.5" x14ac:dyDescent="0.2">
      <c r="A71" s="69" t="s">
        <v>70</v>
      </c>
      <c r="B71" s="49" t="s">
        <v>72</v>
      </c>
      <c r="C71" s="111"/>
      <c r="D71" s="97"/>
      <c r="E71" s="151"/>
      <c r="F71" s="151"/>
      <c r="G71" s="151"/>
      <c r="H71" s="151"/>
      <c r="I71" s="151"/>
      <c r="J71" s="78"/>
      <c r="K71" s="124"/>
      <c r="L71" s="78"/>
      <c r="M71" s="78"/>
      <c r="N71" s="78"/>
      <c r="O71" s="78"/>
      <c r="P71" s="78"/>
      <c r="Q71" s="78"/>
    </row>
    <row r="72" spans="1:24" ht="33.75" customHeight="1" x14ac:dyDescent="0.2">
      <c r="A72" s="69">
        <v>4</v>
      </c>
      <c r="B72" s="49" t="s">
        <v>68</v>
      </c>
      <c r="C72" s="111"/>
      <c r="D72" s="97"/>
      <c r="E72" s="151"/>
      <c r="F72" s="151"/>
      <c r="G72" s="151"/>
      <c r="H72" s="151"/>
      <c r="I72" s="151"/>
      <c r="J72" s="78"/>
      <c r="K72" s="124"/>
      <c r="L72" s="78"/>
      <c r="M72" s="78"/>
      <c r="N72" s="78"/>
      <c r="O72" s="78"/>
      <c r="P72" s="78"/>
      <c r="Q72" s="78"/>
    </row>
    <row r="73" spans="1:24" ht="42.75" x14ac:dyDescent="0.2">
      <c r="A73" s="69">
        <v>5</v>
      </c>
      <c r="B73" s="49" t="s">
        <v>81</v>
      </c>
      <c r="C73" s="111"/>
      <c r="D73" s="97"/>
      <c r="E73" s="151"/>
      <c r="F73" s="151"/>
      <c r="G73" s="151"/>
      <c r="H73" s="151"/>
      <c r="I73" s="151"/>
      <c r="J73" s="78"/>
      <c r="K73" s="124"/>
      <c r="L73" s="78"/>
      <c r="M73" s="78"/>
      <c r="N73" s="78"/>
      <c r="O73" s="78"/>
      <c r="P73" s="78"/>
      <c r="Q73" s="78"/>
    </row>
    <row r="74" spans="1:24" ht="28.5" x14ac:dyDescent="0.2">
      <c r="A74" s="54">
        <v>6</v>
      </c>
      <c r="B74" s="128" t="s">
        <v>137</v>
      </c>
      <c r="C74" s="111"/>
      <c r="D74" s="97"/>
      <c r="E74" s="151"/>
      <c r="F74" s="151"/>
      <c r="G74" s="151"/>
      <c r="H74" s="151"/>
      <c r="I74" s="151"/>
      <c r="K74" s="29"/>
    </row>
    <row r="75" spans="1:24" ht="48" customHeight="1" x14ac:dyDescent="0.2">
      <c r="A75" s="54">
        <v>7</v>
      </c>
      <c r="B75" s="46"/>
      <c r="C75" s="10"/>
      <c r="D75" s="97"/>
      <c r="E75" s="148"/>
      <c r="F75" s="149"/>
      <c r="G75" s="149"/>
      <c r="H75" s="149"/>
      <c r="I75" s="150"/>
    </row>
    <row r="76" spans="1:24" x14ac:dyDescent="0.2">
      <c r="A76" s="54">
        <v>8</v>
      </c>
      <c r="B76" s="46"/>
      <c r="C76" s="10"/>
      <c r="D76" s="97"/>
      <c r="E76" s="151"/>
      <c r="F76" s="151"/>
      <c r="G76" s="151"/>
      <c r="H76" s="151"/>
      <c r="I76" s="151"/>
    </row>
    <row r="77" spans="1:24" x14ac:dyDescent="0.2">
      <c r="A77" s="54">
        <v>9</v>
      </c>
      <c r="B77" s="46"/>
      <c r="C77" s="10"/>
      <c r="D77" s="97"/>
      <c r="E77" s="148"/>
      <c r="F77" s="149"/>
      <c r="G77" s="149"/>
      <c r="H77" s="149"/>
      <c r="I77" s="150"/>
    </row>
    <row r="78" spans="1:24" x14ac:dyDescent="0.2">
      <c r="A78" s="54">
        <v>10</v>
      </c>
      <c r="B78" s="46"/>
      <c r="C78" s="10"/>
      <c r="D78" s="97"/>
      <c r="E78" s="151"/>
      <c r="F78" s="151"/>
      <c r="G78" s="151"/>
      <c r="H78" s="151"/>
      <c r="I78" s="151"/>
    </row>
    <row r="79" spans="1:24" ht="15" x14ac:dyDescent="0.25">
      <c r="A79" s="1" t="s">
        <v>150</v>
      </c>
      <c r="B79" s="2" t="s">
        <v>131</v>
      </c>
      <c r="C79" s="2"/>
      <c r="D79" s="98">
        <f>SUM(D65:D78)</f>
        <v>278400.81999999995</v>
      </c>
      <c r="E79" s="25"/>
      <c r="F79" s="25"/>
      <c r="G79" s="25"/>
      <c r="H79" s="25"/>
    </row>
    <row r="80" spans="1:24" ht="15" x14ac:dyDescent="0.25">
      <c r="B80" s="123" t="s">
        <v>132</v>
      </c>
      <c r="C80" s="70"/>
      <c r="D80" s="98">
        <f>K59</f>
        <v>338412.7259878898</v>
      </c>
      <c r="E80" s="25"/>
      <c r="F80" s="25"/>
      <c r="G80" s="25"/>
      <c r="H80" s="25"/>
    </row>
    <row r="81" spans="1:19" ht="15" x14ac:dyDescent="0.25">
      <c r="B81" s="70" t="s">
        <v>24</v>
      </c>
      <c r="C81" s="70"/>
      <c r="D81" s="99">
        <f>D79-D80</f>
        <v>-60011.905987889855</v>
      </c>
    </row>
    <row r="82" spans="1:19" ht="15.75" thickBot="1" x14ac:dyDescent="0.3">
      <c r="B82" s="134" t="s">
        <v>73</v>
      </c>
      <c r="C82" s="71"/>
      <c r="D82" s="143">
        <f>IF(ISERROR(D81/J59),0,D81/J59)</f>
        <v>-2.2289063284968613E-3</v>
      </c>
      <c r="E82" s="103"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5"/>
      <c r="C88" s="106"/>
      <c r="D88" s="106"/>
      <c r="E88" s="107"/>
      <c r="F88" s="130">
        <f>SUM(D88:E88)</f>
        <v>0</v>
      </c>
      <c r="G88" s="108">
        <f>F88-C88</f>
        <v>0</v>
      </c>
      <c r="H88" s="107"/>
      <c r="I88" s="104">
        <f>IF(ISERROR(G88/H88),0,G88/H88)</f>
        <v>0</v>
      </c>
      <c r="J88" s="78"/>
      <c r="K88" s="78"/>
      <c r="L88" s="35"/>
      <c r="M88" s="35"/>
      <c r="N88" s="35"/>
      <c r="O88" s="35"/>
      <c r="P88" s="35"/>
      <c r="Q88" s="35"/>
      <c r="R88" s="35"/>
      <c r="S88" s="35"/>
    </row>
    <row r="89" spans="1:19" x14ac:dyDescent="0.2">
      <c r="B89" s="115"/>
      <c r="C89" s="106"/>
      <c r="D89" s="106"/>
      <c r="E89" s="107"/>
      <c r="F89" s="130">
        <f t="shared" ref="F89:F91" si="4">SUM(D89:E89)</f>
        <v>0</v>
      </c>
      <c r="G89" s="108">
        <f>F89-C89</f>
        <v>0</v>
      </c>
      <c r="H89" s="107"/>
      <c r="I89" s="104">
        <f>IF(ISERROR(G89/H89),0,G89/H89)</f>
        <v>0</v>
      </c>
      <c r="J89" s="78"/>
      <c r="K89" s="78"/>
      <c r="L89" s="35"/>
      <c r="M89" s="35"/>
      <c r="N89" s="35"/>
      <c r="O89" s="35"/>
      <c r="P89" s="35"/>
      <c r="Q89" s="35"/>
      <c r="R89" s="35"/>
      <c r="S89" s="35"/>
    </row>
    <row r="90" spans="1:19" x14ac:dyDescent="0.2">
      <c r="B90" s="115"/>
      <c r="C90" s="106"/>
      <c r="D90" s="106"/>
      <c r="E90" s="107"/>
      <c r="F90" s="130">
        <f t="shared" si="4"/>
        <v>0</v>
      </c>
      <c r="G90" s="108">
        <f>F90-C90</f>
        <v>0</v>
      </c>
      <c r="H90" s="107"/>
      <c r="I90" s="104">
        <f>IF(ISERROR(G90/H90),0,G90/H90)</f>
        <v>0</v>
      </c>
      <c r="J90" s="78"/>
      <c r="K90" s="78"/>
      <c r="L90" s="35"/>
      <c r="M90" s="35"/>
      <c r="N90" s="35"/>
      <c r="O90" s="35"/>
      <c r="P90" s="35"/>
      <c r="Q90" s="35"/>
      <c r="R90" s="35"/>
      <c r="S90" s="35"/>
    </row>
    <row r="91" spans="1:19" ht="15" thickBot="1" x14ac:dyDescent="0.25">
      <c r="B91" s="115"/>
      <c r="C91" s="109"/>
      <c r="D91" s="109"/>
      <c r="E91" s="109"/>
      <c r="F91" s="130">
        <f t="shared" si="4"/>
        <v>0</v>
      </c>
      <c r="G91" s="108">
        <f>F91-C91</f>
        <v>0</v>
      </c>
      <c r="H91" s="109"/>
      <c r="I91" s="105">
        <f>IF(ISERROR(G91/H91),0,G91/H91)</f>
        <v>0</v>
      </c>
      <c r="J91" s="78"/>
      <c r="K91" s="78"/>
      <c r="L91" s="35"/>
      <c r="M91" s="35"/>
      <c r="N91" s="35"/>
      <c r="O91" s="35"/>
      <c r="P91" s="35"/>
      <c r="Q91" s="35"/>
      <c r="R91" s="35"/>
      <c r="S91" s="35"/>
    </row>
    <row r="92" spans="1:19" ht="15.75" thickBot="1" x14ac:dyDescent="0.3">
      <c r="B92" s="74" t="s">
        <v>74</v>
      </c>
      <c r="C92" s="129">
        <f t="shared" ref="C92:H92" si="5">SUM(C88:C91)</f>
        <v>0</v>
      </c>
      <c r="D92" s="129">
        <f t="shared" si="5"/>
        <v>0</v>
      </c>
      <c r="E92" s="129">
        <f t="shared" si="5"/>
        <v>0</v>
      </c>
      <c r="F92" s="131">
        <f t="shared" si="5"/>
        <v>0</v>
      </c>
      <c r="G92" s="129">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85" zoomScaleNormal="100" zoomScaleSheetLayoutView="100" workbookViewId="0">
      <selection activeCell="H108" sqref="H10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6" t="s">
        <v>25</v>
      </c>
      <c r="C21" s="156"/>
      <c r="D21" s="24">
        <v>2016</v>
      </c>
      <c r="E21" s="157"/>
      <c r="F21" s="158"/>
      <c r="G21" s="78"/>
      <c r="H21" s="78"/>
      <c r="I21" s="78"/>
      <c r="J21" s="78"/>
      <c r="K21" s="78"/>
      <c r="L21" s="78"/>
      <c r="M21" s="78"/>
      <c r="N21" s="78"/>
      <c r="O21" s="78"/>
      <c r="P21" s="78"/>
      <c r="Q21" s="78"/>
    </row>
    <row r="22" spans="1:24" ht="15" thickBot="1" x14ac:dyDescent="0.25">
      <c r="A22" s="4"/>
      <c r="B22" s="5" t="s">
        <v>3</v>
      </c>
      <c r="C22" s="5" t="s">
        <v>2</v>
      </c>
      <c r="D22" s="116">
        <f>D23+D24</f>
        <v>829172075.53900003</v>
      </c>
      <c r="E22" s="6" t="s">
        <v>0</v>
      </c>
      <c r="F22" s="7">
        <v>1</v>
      </c>
      <c r="G22" s="78"/>
      <c r="H22" s="78"/>
      <c r="I22" s="78"/>
      <c r="J22" s="78"/>
      <c r="K22" s="78"/>
      <c r="L22" s="78"/>
      <c r="M22" s="78"/>
      <c r="N22" s="78"/>
      <c r="O22" s="78"/>
      <c r="P22" s="78"/>
      <c r="Q22" s="78"/>
    </row>
    <row r="23" spans="1:24" x14ac:dyDescent="0.2">
      <c r="B23" s="5" t="s">
        <v>7</v>
      </c>
      <c r="C23" s="5" t="s">
        <v>1</v>
      </c>
      <c r="D23" s="117">
        <v>421799484.37100005</v>
      </c>
      <c r="E23" s="6" t="s">
        <v>0</v>
      </c>
      <c r="F23" s="8">
        <f>IFERROR(D23/$D$22,0)</f>
        <v>0.50869957734262938</v>
      </c>
    </row>
    <row r="24" spans="1:24" ht="15" thickBot="1" x14ac:dyDescent="0.25">
      <c r="B24" s="5" t="s">
        <v>8</v>
      </c>
      <c r="C24" s="5" t="s">
        <v>6</v>
      </c>
      <c r="D24" s="116">
        <f>D25+D26</f>
        <v>407372591.16799992</v>
      </c>
      <c r="E24" s="6" t="s">
        <v>0</v>
      </c>
      <c r="F24" s="8">
        <f>IFERROR(D24/$D$22,0)</f>
        <v>0.49130042265737056</v>
      </c>
    </row>
    <row r="25" spans="1:24" x14ac:dyDescent="0.2">
      <c r="B25" s="5" t="s">
        <v>9</v>
      </c>
      <c r="C25" s="5" t="s">
        <v>4</v>
      </c>
      <c r="D25" s="117">
        <v>77667274.069999993</v>
      </c>
      <c r="E25" s="6" t="s">
        <v>0</v>
      </c>
      <c r="F25" s="8">
        <f>IFERROR(D25/$D$22,0)</f>
        <v>9.3668463231245086E-2</v>
      </c>
    </row>
    <row r="26" spans="1:24" x14ac:dyDescent="0.2">
      <c r="B26" s="5" t="s">
        <v>61</v>
      </c>
      <c r="C26" s="5" t="s">
        <v>5</v>
      </c>
      <c r="D26" s="118">
        <v>329705317.09799993</v>
      </c>
      <c r="E26" s="6" t="s">
        <v>0</v>
      </c>
      <c r="F26" s="8">
        <f>IFERROR(D26/$D$22,0)</f>
        <v>0.3976319594261255</v>
      </c>
      <c r="G26" s="29"/>
      <c r="H26" s="29"/>
    </row>
    <row r="27" spans="1:24" ht="34.5" customHeight="1" x14ac:dyDescent="0.2">
      <c r="B27" s="159" t="s">
        <v>77</v>
      </c>
      <c r="C27" s="159"/>
      <c r="D27" s="159"/>
      <c r="E27" s="159"/>
      <c r="F27" s="159"/>
      <c r="G27" s="160"/>
      <c r="H27" s="160"/>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2">
        <v>2016</v>
      </c>
      <c r="P45" s="152"/>
      <c r="Q45" s="152"/>
      <c r="R45" s="152">
        <v>2015</v>
      </c>
      <c r="S45" s="152"/>
      <c r="T45" s="152"/>
      <c r="U45" s="152">
        <v>2014</v>
      </c>
      <c r="V45" s="152"/>
      <c r="W45" s="152"/>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29860759.929999985</v>
      </c>
      <c r="D47" s="93">
        <f>+'GA Analysis  15'!E58</f>
        <v>28209143.759999998</v>
      </c>
      <c r="E47" s="60">
        <f>72531957*0.4</f>
        <v>29012782.800000001</v>
      </c>
      <c r="F47" s="51">
        <f>C47-D47+E47</f>
        <v>30664398.969999988</v>
      </c>
      <c r="G47" s="110">
        <v>8.4229999999999999E-2</v>
      </c>
      <c r="H47" s="15">
        <f>F47*G47</f>
        <v>2582862.3252430991</v>
      </c>
      <c r="I47" s="110">
        <v>9.1789999999999997E-2</v>
      </c>
      <c r="J47" s="17">
        <f>F47*I47</f>
        <v>2814685.1814562986</v>
      </c>
      <c r="K47" s="16">
        <f>J47-H47</f>
        <v>231822.85621319944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28614437.294999998</v>
      </c>
      <c r="D48" s="93">
        <f>72531957*0.4</f>
        <v>29012782.800000001</v>
      </c>
      <c r="E48" s="60">
        <f>70502204*0.4</f>
        <v>28200881.600000001</v>
      </c>
      <c r="F48" s="51">
        <f t="shared" ref="F48:F58" si="0">C48-D48+E48</f>
        <v>27802536.094999999</v>
      </c>
      <c r="G48" s="110">
        <v>0.10384</v>
      </c>
      <c r="H48" s="15">
        <f t="shared" ref="H48:H58" si="1">F48*G48</f>
        <v>2887015.3481048001</v>
      </c>
      <c r="I48" s="110">
        <v>9.851E-2</v>
      </c>
      <c r="J48" s="17">
        <f t="shared" ref="J48:J58" si="2">F48*I48</f>
        <v>2738827.8307184498</v>
      </c>
      <c r="K48" s="16">
        <f t="shared" ref="K48:K58" si="3">J48-H48</f>
        <v>-148187.51738635032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29172045.514000002</v>
      </c>
      <c r="D49" s="93">
        <f>70502204*0.4</f>
        <v>28200881.600000001</v>
      </c>
      <c r="E49" s="60">
        <f>63337051*0.4</f>
        <v>25334820.400000002</v>
      </c>
      <c r="F49" s="51">
        <f t="shared" si="0"/>
        <v>26305984.314000003</v>
      </c>
      <c r="G49" s="110">
        <v>9.0219999999999995E-2</v>
      </c>
      <c r="H49" s="15">
        <f t="shared" si="1"/>
        <v>2373325.9048090801</v>
      </c>
      <c r="I49" s="110">
        <v>0.1061</v>
      </c>
      <c r="J49" s="17">
        <f t="shared" si="2"/>
        <v>2791064.9357154001</v>
      </c>
      <c r="K49" s="16">
        <f t="shared" si="3"/>
        <v>417739.03090632008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26581687.651000004</v>
      </c>
      <c r="D50" s="93">
        <f>63337051*0.4</f>
        <v>25334820.400000002</v>
      </c>
      <c r="E50" s="60">
        <f>62455311*0.4</f>
        <v>24982124.400000002</v>
      </c>
      <c r="F50" s="51">
        <f t="shared" si="0"/>
        <v>26228991.651000004</v>
      </c>
      <c r="G50" s="110">
        <v>0.12114999999999999</v>
      </c>
      <c r="H50" s="15">
        <f t="shared" si="1"/>
        <v>3177642.3385186503</v>
      </c>
      <c r="I50" s="110">
        <v>0.11132</v>
      </c>
      <c r="J50" s="17">
        <f t="shared" si="2"/>
        <v>2919811.3505893205</v>
      </c>
      <c r="K50" s="16">
        <f t="shared" si="3"/>
        <v>-257830.98792932974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25867364.392999999</v>
      </c>
      <c r="D51" s="93">
        <f>62455311*0.4</f>
        <v>24982124.400000002</v>
      </c>
      <c r="E51" s="60">
        <f>58727583*0.4</f>
        <v>23491033.200000003</v>
      </c>
      <c r="F51" s="51">
        <f t="shared" si="0"/>
        <v>24376273.193</v>
      </c>
      <c r="G51" s="110">
        <v>0.10405</v>
      </c>
      <c r="H51" s="15">
        <f t="shared" si="1"/>
        <v>2536351.2257316499</v>
      </c>
      <c r="I51" s="110">
        <v>0.10749</v>
      </c>
      <c r="J51" s="17">
        <f t="shared" si="2"/>
        <v>2620205.6055155699</v>
      </c>
      <c r="K51" s="16">
        <f t="shared" si="3"/>
        <v>83854.379783920012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29226513.302999996</v>
      </c>
      <c r="D52" s="93">
        <f>58727583*0.4</f>
        <v>23491033.200000003</v>
      </c>
      <c r="E52" s="60">
        <f>62916113*0.4</f>
        <v>25166445.200000003</v>
      </c>
      <c r="F52" s="51">
        <f t="shared" si="0"/>
        <v>30901925.302999996</v>
      </c>
      <c r="G52" s="110">
        <v>0.11650000000000001</v>
      </c>
      <c r="H52" s="15">
        <f t="shared" si="1"/>
        <v>3600074.2977994997</v>
      </c>
      <c r="I52" s="110">
        <v>9.5449999999999993E-2</v>
      </c>
      <c r="J52" s="17">
        <f t="shared" si="2"/>
        <v>2949588.7701713494</v>
      </c>
      <c r="K52" s="16">
        <f t="shared" si="3"/>
        <v>-650485.5276281503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25151603.037999991</v>
      </c>
      <c r="D53" s="93">
        <f>62916113*0.4</f>
        <v>25166445.200000003</v>
      </c>
      <c r="E53" s="60">
        <f>69049604*0.4</f>
        <v>27619841.600000001</v>
      </c>
      <c r="F53" s="51">
        <f t="shared" si="0"/>
        <v>27604999.43799999</v>
      </c>
      <c r="G53" s="110">
        <v>7.6670000000000002E-2</v>
      </c>
      <c r="H53" s="15">
        <f t="shared" si="1"/>
        <v>2116475.3069114592</v>
      </c>
      <c r="I53" s="110">
        <v>8.3059999999999995E-2</v>
      </c>
      <c r="J53" s="17">
        <f t="shared" si="2"/>
        <v>2292871.2533202791</v>
      </c>
      <c r="K53" s="16">
        <f t="shared" si="3"/>
        <v>176395.94640881987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30829425.389999989</v>
      </c>
      <c r="D54" s="93">
        <f>69049604*0.4</f>
        <v>27619841.600000001</v>
      </c>
      <c r="E54" s="60">
        <f>70900103*0.4</f>
        <v>28360041.200000003</v>
      </c>
      <c r="F54" s="51">
        <f t="shared" si="0"/>
        <v>31569624.989999991</v>
      </c>
      <c r="G54" s="110">
        <v>8.5690000000000002E-2</v>
      </c>
      <c r="H54" s="15">
        <f t="shared" si="1"/>
        <v>2705201.1653930992</v>
      </c>
      <c r="I54" s="110">
        <v>7.1029999999999996E-2</v>
      </c>
      <c r="J54" s="17">
        <f t="shared" si="2"/>
        <v>2242390.463039699</v>
      </c>
      <c r="K54" s="16">
        <f t="shared" si="3"/>
        <v>-462810.70235340018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27156693.469999995</v>
      </c>
      <c r="D55" s="93">
        <f>70900103*0.4</f>
        <v>28360041.200000003</v>
      </c>
      <c r="E55" s="60">
        <f>61106787*0.4</f>
        <v>24442714.800000001</v>
      </c>
      <c r="F55" s="51">
        <f t="shared" si="0"/>
        <v>23239367.069999993</v>
      </c>
      <c r="G55" s="110">
        <v>7.0599999999999996E-2</v>
      </c>
      <c r="H55" s="15">
        <f t="shared" si="1"/>
        <v>1640699.3151419994</v>
      </c>
      <c r="I55" s="110">
        <v>9.5310000000000006E-2</v>
      </c>
      <c r="J55" s="17">
        <f t="shared" si="2"/>
        <v>2214944.0754416995</v>
      </c>
      <c r="K55" s="16">
        <f t="shared" si="3"/>
        <v>574244.76029970008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26405311.088999994</v>
      </c>
      <c r="D56" s="93">
        <f>61106787*0.4</f>
        <v>24442714.800000001</v>
      </c>
      <c r="E56" s="60">
        <f>59703677*0.4</f>
        <v>23881470.800000001</v>
      </c>
      <c r="F56" s="51">
        <f t="shared" si="0"/>
        <v>25844067.088999994</v>
      </c>
      <c r="G56" s="110">
        <v>9.7199999999999995E-2</v>
      </c>
      <c r="H56" s="15">
        <f t="shared" si="1"/>
        <v>2512043.3210507995</v>
      </c>
      <c r="I56" s="110">
        <v>0.11226</v>
      </c>
      <c r="J56" s="17">
        <f t="shared" si="2"/>
        <v>2901254.9714111392</v>
      </c>
      <c r="K56" s="16">
        <f t="shared" si="3"/>
        <v>389211.65036033979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25338135.111000001</v>
      </c>
      <c r="D57" s="93">
        <f>59703677*0.4</f>
        <v>23881470.800000001</v>
      </c>
      <c r="E57" s="60">
        <f>62619346*0.4</f>
        <v>25047738.400000002</v>
      </c>
      <c r="F57" s="51">
        <f t="shared" si="0"/>
        <v>26504402.711000003</v>
      </c>
      <c r="G57" s="110">
        <v>0.12271</v>
      </c>
      <c r="H57" s="15">
        <f t="shared" si="1"/>
        <v>3252355.2566668103</v>
      </c>
      <c r="I57" s="110">
        <v>0.11108999999999999</v>
      </c>
      <c r="J57" s="17">
        <f t="shared" si="2"/>
        <v>2944374.0971649904</v>
      </c>
      <c r="K57" s="16">
        <f t="shared" si="3"/>
        <v>-307981.15950181987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25501340.914000005</v>
      </c>
      <c r="D58" s="93">
        <f>62619346*0.4</f>
        <v>25047738.400000002</v>
      </c>
      <c r="E58" s="60">
        <f>70113695*0.4</f>
        <v>28045478</v>
      </c>
      <c r="F58" s="51">
        <f t="shared" si="0"/>
        <v>28499080.514000002</v>
      </c>
      <c r="G58" s="110">
        <v>0.10594000000000001</v>
      </c>
      <c r="H58" s="15">
        <f t="shared" si="1"/>
        <v>3019192.5896531604</v>
      </c>
      <c r="I58" s="110">
        <v>8.7080000000000005E-2</v>
      </c>
      <c r="J58" s="17">
        <f t="shared" si="2"/>
        <v>2481699.9311591205</v>
      </c>
      <c r="K58" s="16">
        <f t="shared" si="3"/>
        <v>-537492.6584940399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329705317.09799993</v>
      </c>
      <c r="D59" s="96">
        <f>SUM(D47:D58)</f>
        <v>313749038.16000003</v>
      </c>
      <c r="E59" s="96">
        <f>SUM(E47:E58)</f>
        <v>313585372.40000004</v>
      </c>
      <c r="F59" s="96">
        <f>SUM(F47:F58)</f>
        <v>329541651.338</v>
      </c>
      <c r="G59" s="37"/>
      <c r="H59" s="38">
        <f>SUM(H47:H58)</f>
        <v>32403238.39502411</v>
      </c>
      <c r="I59" s="37"/>
      <c r="J59" s="38">
        <f>SUM(J47:J58)</f>
        <v>31911718.465703312</v>
      </c>
      <c r="K59" s="39">
        <f>SUM(K47:K58)</f>
        <v>-491519.92932079104</v>
      </c>
      <c r="N59" s="31"/>
      <c r="O59" s="32"/>
      <c r="P59" s="32"/>
      <c r="Q59" s="32"/>
      <c r="R59" s="32"/>
      <c r="S59" s="32"/>
      <c r="T59" s="32"/>
      <c r="U59" s="32"/>
      <c r="V59" s="32"/>
      <c r="W59" s="32"/>
    </row>
    <row r="60" spans="1:24" x14ac:dyDescent="0.2">
      <c r="D60" s="142"/>
      <c r="E60" s="142"/>
      <c r="G60" s="4"/>
      <c r="H60" s="4"/>
      <c r="I60" s="4"/>
      <c r="J60" s="68"/>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38" t="s">
        <v>45</v>
      </c>
      <c r="C64" s="48" t="s">
        <v>67</v>
      </c>
      <c r="D64" s="48" t="s">
        <v>121</v>
      </c>
      <c r="E64" s="161" t="s">
        <v>44</v>
      </c>
      <c r="F64" s="161"/>
      <c r="G64" s="161"/>
      <c r="H64" s="161"/>
      <c r="I64" s="161"/>
      <c r="K64" s="120"/>
      <c r="O64" s="29"/>
      <c r="P64" s="29"/>
      <c r="Q64" s="29"/>
      <c r="R64" s="29"/>
      <c r="S64" s="29"/>
      <c r="T64" s="29"/>
      <c r="U64" s="29"/>
      <c r="V64" s="29"/>
      <c r="W64" s="29"/>
      <c r="X64" s="29"/>
    </row>
    <row r="65" spans="1:24" ht="30.75" customHeight="1" x14ac:dyDescent="0.25">
      <c r="A65" s="162" t="s">
        <v>134</v>
      </c>
      <c r="B65" s="163"/>
      <c r="C65" s="164"/>
      <c r="D65" s="126">
        <f>366919*0.81</f>
        <v>297204.39</v>
      </c>
      <c r="E65" s="153"/>
      <c r="F65" s="154"/>
      <c r="G65" s="154"/>
      <c r="H65" s="154"/>
      <c r="I65" s="155"/>
      <c r="K65" s="120"/>
      <c r="O65" s="29"/>
      <c r="P65" s="29"/>
      <c r="Q65" s="29"/>
      <c r="R65" s="29"/>
      <c r="S65" s="29"/>
      <c r="T65" s="29"/>
      <c r="U65" s="29"/>
      <c r="V65" s="29"/>
      <c r="W65" s="29"/>
      <c r="X65" s="29"/>
    </row>
    <row r="66" spans="1:24" ht="28.5" x14ac:dyDescent="0.2">
      <c r="A66" s="69" t="s">
        <v>51</v>
      </c>
      <c r="B66" s="49" t="s">
        <v>62</v>
      </c>
      <c r="C66" s="97"/>
      <c r="D66" s="97">
        <v>-703433</v>
      </c>
      <c r="E66" s="151" t="s">
        <v>166</v>
      </c>
      <c r="F66" s="151"/>
      <c r="G66" s="151"/>
      <c r="H66" s="151"/>
      <c r="I66" s="151"/>
      <c r="K66" s="120"/>
      <c r="O66" s="29"/>
      <c r="P66" s="29"/>
      <c r="Q66" s="29"/>
      <c r="R66" s="29"/>
      <c r="S66" s="29"/>
      <c r="T66" s="29"/>
      <c r="U66" s="29"/>
      <c r="V66" s="29"/>
      <c r="W66" s="29"/>
      <c r="X66" s="29"/>
    </row>
    <row r="67" spans="1:24" ht="28.5" x14ac:dyDescent="0.2">
      <c r="A67" s="69" t="s">
        <v>52</v>
      </c>
      <c r="B67" s="49" t="s">
        <v>79</v>
      </c>
      <c r="C67" s="113"/>
      <c r="D67" s="113"/>
      <c r="E67" s="148"/>
      <c r="F67" s="149"/>
      <c r="G67" s="149"/>
      <c r="H67" s="149"/>
      <c r="I67" s="150"/>
      <c r="J67" s="78"/>
      <c r="K67" s="121"/>
      <c r="L67" s="78"/>
      <c r="M67" s="78"/>
      <c r="N67" s="78"/>
      <c r="O67" s="78"/>
      <c r="P67" s="78"/>
      <c r="Q67" s="78"/>
    </row>
    <row r="68" spans="1:24" ht="28.5" customHeight="1" x14ac:dyDescent="0.2">
      <c r="A68" s="69" t="s">
        <v>65</v>
      </c>
      <c r="B68" s="49" t="s">
        <v>64</v>
      </c>
      <c r="C68" s="113"/>
      <c r="D68" s="113">
        <v>171604</v>
      </c>
      <c r="E68" s="148" t="s">
        <v>164</v>
      </c>
      <c r="F68" s="149"/>
      <c r="G68" s="149"/>
      <c r="H68" s="149"/>
      <c r="I68" s="150"/>
      <c r="J68" s="78"/>
      <c r="K68" s="121"/>
      <c r="L68" s="78"/>
      <c r="M68" s="78"/>
      <c r="N68" s="78"/>
      <c r="O68" s="78"/>
      <c r="P68" s="78"/>
      <c r="Q68" s="78"/>
    </row>
    <row r="69" spans="1:24" ht="28.5" customHeight="1" x14ac:dyDescent="0.2">
      <c r="A69" s="69" t="s">
        <v>66</v>
      </c>
      <c r="B69" s="49" t="s">
        <v>63</v>
      </c>
      <c r="C69" s="113"/>
      <c r="D69" s="113">
        <v>-242553</v>
      </c>
      <c r="E69" s="148" t="s">
        <v>165</v>
      </c>
      <c r="F69" s="149"/>
      <c r="G69" s="149"/>
      <c r="H69" s="149"/>
      <c r="I69" s="150"/>
      <c r="J69" s="78"/>
      <c r="K69" s="124"/>
      <c r="L69" s="78"/>
      <c r="M69" s="78"/>
      <c r="N69" s="78"/>
      <c r="O69" s="78"/>
      <c r="P69" s="78"/>
      <c r="Q69" s="78"/>
    </row>
    <row r="70" spans="1:24" ht="28.5" customHeight="1" x14ac:dyDescent="0.2">
      <c r="A70" s="69" t="s">
        <v>69</v>
      </c>
      <c r="B70" s="49" t="s">
        <v>71</v>
      </c>
      <c r="C70" s="111"/>
      <c r="D70" s="97"/>
      <c r="E70" s="148"/>
      <c r="F70" s="149"/>
      <c r="G70" s="149"/>
      <c r="H70" s="149"/>
      <c r="I70" s="150"/>
      <c r="J70" s="78"/>
      <c r="K70" s="124"/>
      <c r="L70" s="78"/>
      <c r="M70" s="78"/>
      <c r="N70" s="78"/>
      <c r="O70" s="78"/>
      <c r="P70" s="78"/>
      <c r="Q70" s="78"/>
    </row>
    <row r="71" spans="1:24" ht="28.5" x14ac:dyDescent="0.2">
      <c r="A71" s="69" t="s">
        <v>70</v>
      </c>
      <c r="B71" s="49" t="s">
        <v>72</v>
      </c>
      <c r="C71" s="111"/>
      <c r="D71" s="97"/>
      <c r="E71" s="151"/>
      <c r="F71" s="151"/>
      <c r="G71" s="151"/>
      <c r="H71" s="151"/>
      <c r="I71" s="151"/>
      <c r="J71" s="78"/>
      <c r="K71" s="124"/>
      <c r="L71" s="78"/>
      <c r="M71" s="78"/>
      <c r="N71" s="78"/>
      <c r="O71" s="78"/>
      <c r="P71" s="78"/>
      <c r="Q71" s="78"/>
    </row>
    <row r="72" spans="1:24" ht="33.75" customHeight="1" x14ac:dyDescent="0.2">
      <c r="A72" s="69">
        <v>4</v>
      </c>
      <c r="B72" s="49" t="s">
        <v>68</v>
      </c>
      <c r="C72" s="111"/>
      <c r="D72" s="97"/>
      <c r="E72" s="151"/>
      <c r="F72" s="151"/>
      <c r="G72" s="151"/>
      <c r="H72" s="151"/>
      <c r="I72" s="151"/>
      <c r="J72" s="78"/>
      <c r="K72" s="124"/>
      <c r="L72" s="78"/>
      <c r="M72" s="78"/>
      <c r="N72" s="78"/>
      <c r="O72" s="78"/>
      <c r="P72" s="78"/>
      <c r="Q72" s="78"/>
    </row>
    <row r="73" spans="1:24" ht="42.75" x14ac:dyDescent="0.2">
      <c r="A73" s="69">
        <v>5</v>
      </c>
      <c r="B73" s="49" t="s">
        <v>81</v>
      </c>
      <c r="C73" s="111"/>
      <c r="D73" s="97"/>
      <c r="E73" s="151"/>
      <c r="F73" s="151"/>
      <c r="G73" s="151"/>
      <c r="H73" s="151"/>
      <c r="I73" s="151"/>
      <c r="J73" s="78"/>
      <c r="K73" s="124"/>
      <c r="L73" s="78"/>
      <c r="M73" s="78"/>
      <c r="N73" s="78"/>
      <c r="O73" s="78"/>
      <c r="P73" s="78"/>
      <c r="Q73" s="78"/>
    </row>
    <row r="74" spans="1:24" ht="28.5" x14ac:dyDescent="0.2">
      <c r="A74" s="54">
        <v>6</v>
      </c>
      <c r="B74" s="128" t="s">
        <v>137</v>
      </c>
      <c r="C74" s="111"/>
      <c r="D74" s="97"/>
      <c r="E74" s="151"/>
      <c r="F74" s="151"/>
      <c r="G74" s="151"/>
      <c r="H74" s="151"/>
      <c r="I74" s="151"/>
      <c r="K74" s="29"/>
    </row>
    <row r="75" spans="1:24" ht="46.5" customHeight="1" x14ac:dyDescent="0.2">
      <c r="A75" s="54">
        <v>7</v>
      </c>
      <c r="B75" s="46"/>
      <c r="C75" s="10"/>
      <c r="D75" s="97"/>
      <c r="E75" s="148"/>
      <c r="F75" s="149"/>
      <c r="G75" s="149"/>
      <c r="H75" s="149"/>
      <c r="I75" s="150"/>
    </row>
    <row r="76" spans="1:24" x14ac:dyDescent="0.2">
      <c r="A76" s="54">
        <v>8</v>
      </c>
      <c r="B76" s="46"/>
      <c r="C76" s="97"/>
      <c r="D76" s="97"/>
      <c r="E76" s="151"/>
      <c r="F76" s="151"/>
      <c r="G76" s="151"/>
      <c r="H76" s="151"/>
      <c r="I76" s="151"/>
    </row>
    <row r="77" spans="1:24" x14ac:dyDescent="0.2">
      <c r="A77" s="54">
        <v>9</v>
      </c>
      <c r="B77" s="46"/>
      <c r="C77" s="10"/>
      <c r="D77" s="97"/>
      <c r="E77" s="148"/>
      <c r="F77" s="149"/>
      <c r="G77" s="149"/>
      <c r="H77" s="149"/>
      <c r="I77" s="150"/>
    </row>
    <row r="78" spans="1:24" x14ac:dyDescent="0.2">
      <c r="A78" s="54">
        <v>10</v>
      </c>
      <c r="B78" s="46"/>
      <c r="C78" s="10"/>
      <c r="D78" s="97"/>
      <c r="E78" s="151"/>
      <c r="F78" s="151"/>
      <c r="G78" s="151"/>
      <c r="H78" s="151"/>
      <c r="I78" s="151"/>
    </row>
    <row r="79" spans="1:24" ht="15" x14ac:dyDescent="0.25">
      <c r="A79" s="1" t="s">
        <v>150</v>
      </c>
      <c r="B79" s="2" t="s">
        <v>131</v>
      </c>
      <c r="C79" s="2"/>
      <c r="D79" s="98">
        <f>SUM(D65:D78)</f>
        <v>-477177.61</v>
      </c>
      <c r="E79" s="25"/>
      <c r="F79" s="25"/>
      <c r="G79" s="25"/>
      <c r="H79" s="25"/>
    </row>
    <row r="80" spans="1:24" ht="15" x14ac:dyDescent="0.25">
      <c r="B80" s="123" t="s">
        <v>132</v>
      </c>
      <c r="C80" s="70"/>
      <c r="D80" s="98">
        <f>K59</f>
        <v>-491519.92932079104</v>
      </c>
      <c r="E80" s="25"/>
      <c r="F80" s="25"/>
      <c r="G80" s="25"/>
      <c r="H80" s="25"/>
    </row>
    <row r="81" spans="1:19" ht="15" x14ac:dyDescent="0.25">
      <c r="B81" s="70" t="s">
        <v>24</v>
      </c>
      <c r="C81" s="70"/>
      <c r="D81" s="99">
        <f>D79-D80</f>
        <v>14342.319320791052</v>
      </c>
    </row>
    <row r="82" spans="1:19" ht="15.75" thickBot="1" x14ac:dyDescent="0.3">
      <c r="B82" s="134" t="s">
        <v>73</v>
      </c>
      <c r="C82" s="71"/>
      <c r="D82" s="143">
        <f>IF(ISERROR(D81/J59),0,D81/J59)</f>
        <v>4.4943738571162395E-4</v>
      </c>
      <c r="E82" s="103"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39"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5"/>
      <c r="C88" s="106"/>
      <c r="D88" s="106"/>
      <c r="E88" s="107"/>
      <c r="F88" s="130"/>
      <c r="G88" s="108"/>
      <c r="H88" s="107"/>
      <c r="I88" s="104"/>
      <c r="J88" s="78"/>
      <c r="K88" s="78"/>
      <c r="L88" s="35"/>
      <c r="M88" s="35"/>
      <c r="N88" s="35"/>
      <c r="O88" s="35"/>
      <c r="P88" s="35"/>
      <c r="Q88" s="35"/>
      <c r="R88" s="35"/>
      <c r="S88" s="35"/>
    </row>
    <row r="89" spans="1:19" x14ac:dyDescent="0.2">
      <c r="B89" s="115">
        <v>2015</v>
      </c>
      <c r="C89" s="106">
        <f>+'GA Analysis  15'!K59</f>
        <v>338412.7259878898</v>
      </c>
      <c r="D89" s="106">
        <f>+'GA Analysis  15'!D65</f>
        <v>828836.82</v>
      </c>
      <c r="E89" s="107">
        <f>SUM('GA Analysis  15'!D66:D78)</f>
        <v>-550436</v>
      </c>
      <c r="F89" s="130">
        <f t="shared" ref="F89:F91" si="4">SUM(D89:E89)</f>
        <v>278400.81999999995</v>
      </c>
      <c r="G89" s="108">
        <f>F89-C89</f>
        <v>-60011.905987889855</v>
      </c>
      <c r="H89" s="107">
        <f>+'GA Analysis  15'!J59</f>
        <v>26924373.276987787</v>
      </c>
      <c r="I89" s="104">
        <f>IF(ISERROR(G89/H89),0,G89/H89)</f>
        <v>-2.2289063284968613E-3</v>
      </c>
      <c r="J89" s="78"/>
      <c r="K89" s="78"/>
      <c r="L89" s="35"/>
      <c r="M89" s="35"/>
      <c r="N89" s="35"/>
      <c r="O89" s="35"/>
      <c r="P89" s="35"/>
      <c r="Q89" s="35"/>
      <c r="R89" s="35"/>
      <c r="S89" s="35"/>
    </row>
    <row r="90" spans="1:19" x14ac:dyDescent="0.2">
      <c r="B90" s="115">
        <v>2016</v>
      </c>
      <c r="C90" s="106">
        <f>+K59</f>
        <v>-491519.92932079104</v>
      </c>
      <c r="D90" s="106">
        <f>+D65</f>
        <v>297204.39</v>
      </c>
      <c r="E90" s="107">
        <f>SUM(D66:D78)</f>
        <v>-774382</v>
      </c>
      <c r="F90" s="130">
        <f t="shared" si="4"/>
        <v>-477177.61</v>
      </c>
      <c r="G90" s="108">
        <f>F90-C90</f>
        <v>14342.319320791052</v>
      </c>
      <c r="H90" s="107">
        <f>+J59</f>
        <v>31911718.465703312</v>
      </c>
      <c r="I90" s="104">
        <f>IF(ISERROR(G90/H90),0,G90/H90)</f>
        <v>4.4943738571162395E-4</v>
      </c>
      <c r="J90" s="78"/>
      <c r="K90" s="78"/>
      <c r="L90" s="35"/>
      <c r="M90" s="35"/>
      <c r="N90" s="35"/>
      <c r="O90" s="35"/>
      <c r="P90" s="35"/>
      <c r="Q90" s="35"/>
      <c r="R90" s="35"/>
      <c r="S90" s="35"/>
    </row>
    <row r="91" spans="1:19" ht="15" thickBot="1" x14ac:dyDescent="0.25">
      <c r="B91" s="115"/>
      <c r="C91" s="109"/>
      <c r="D91" s="109"/>
      <c r="E91" s="109"/>
      <c r="F91" s="130">
        <f t="shared" si="4"/>
        <v>0</v>
      </c>
      <c r="G91" s="108">
        <f>F91-C91</f>
        <v>0</v>
      </c>
      <c r="H91" s="109"/>
      <c r="I91" s="105">
        <f>IF(ISERROR(G91/H91),0,G91/H91)</f>
        <v>0</v>
      </c>
      <c r="J91" s="78"/>
      <c r="K91" s="78"/>
      <c r="L91" s="35"/>
      <c r="M91" s="35"/>
      <c r="N91" s="35"/>
      <c r="O91" s="35"/>
      <c r="P91" s="35"/>
      <c r="Q91" s="35"/>
      <c r="R91" s="35"/>
      <c r="S91" s="35"/>
    </row>
    <row r="92" spans="1:19" ht="15.75" thickBot="1" x14ac:dyDescent="0.3">
      <c r="B92" s="74" t="s">
        <v>74</v>
      </c>
      <c r="C92" s="129">
        <f t="shared" ref="C92:H92" si="5">SUM(C88:C91)</f>
        <v>-153107.20333290123</v>
      </c>
      <c r="D92" s="129">
        <f t="shared" si="5"/>
        <v>1126041.21</v>
      </c>
      <c r="E92" s="129">
        <f t="shared" si="5"/>
        <v>-1324818</v>
      </c>
      <c r="F92" s="131">
        <f t="shared" si="5"/>
        <v>-198776.79000000004</v>
      </c>
      <c r="G92" s="129">
        <f>SUM(G88:G91)</f>
        <v>-45669.586667098803</v>
      </c>
      <c r="H92" s="76">
        <f t="shared" si="5"/>
        <v>58836091.7426911</v>
      </c>
      <c r="I92" s="141">
        <f>SUM(I88:I91)</f>
        <v>-1.7794689427852374E-3</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 right="0" top="0" bottom="0" header="0.31496062992125984" footer="0.31496062992125984"/>
  <pageSetup paperSize="5" scale="6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15</vt:lpstr>
      <vt:lpstr>GA Analysis  16</vt:lpstr>
      <vt:lpstr>'GA Analysis  15'!Print_Area</vt:lpstr>
      <vt:lpstr>'GA Analysis  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Kyle Davis</cp:lastModifiedBy>
  <cp:lastPrinted>2017-11-03T17:14:11Z</cp:lastPrinted>
  <dcterms:created xsi:type="dcterms:W3CDTF">2017-05-01T19:29:01Z</dcterms:created>
  <dcterms:modified xsi:type="dcterms:W3CDTF">2017-11-03T17:14:16Z</dcterms:modified>
</cp:coreProperties>
</file>