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ydro Treasury\Hydro\Rate Filings and Price Changes\2018 IRM\"/>
    </mc:Choice>
  </mc:AlternateContent>
  <bookViews>
    <workbookView xWindow="0" yWindow="0" windowWidth="28800" windowHeight="11535" activeTab="2"/>
  </bookViews>
  <sheets>
    <sheet name="Instructions" sheetId="2" r:id="rId1"/>
    <sheet name="GA Analysis 2013 " sheetId="4" r:id="rId2"/>
    <sheet name="GA Analysis 2014" sheetId="5" r:id="rId3"/>
    <sheet name="GA Analysis 2015" sheetId="6" r:id="rId4"/>
    <sheet name="GA Analysis 2016" sheetId="7" r:id="rId5"/>
  </sheets>
  <definedNames>
    <definedName name="GARate" localSheetId="1">#REF!</definedName>
    <definedName name="GARate" localSheetId="2">#REF!</definedName>
    <definedName name="GARate" localSheetId="3">#REF!</definedName>
    <definedName name="GARate" localSheetId="4">#REF!</definedName>
    <definedName name="GARate">#REF!</definedName>
    <definedName name="_xlnm.Print_Area" localSheetId="1">'GA Analysis 2013 '!$A$12:$K$107</definedName>
    <definedName name="_xlnm.Print_Area" localSheetId="2">'GA Analysis 2014'!$A$12:$K$107</definedName>
    <definedName name="_xlnm.Print_Area" localSheetId="3">'GA Analysis 2015'!$A$12:$K$107</definedName>
    <definedName name="_xlnm.Print_Area" localSheetId="4">'GA Analysis 2016'!$A$12:$K$107</definedName>
    <definedName name="_xlnm.Print_Area" localSheetId="0">Instructions!$A$11:$C$83</definedName>
  </definedNames>
  <calcPr calcId="152511" iterate="1"/>
</workbook>
</file>

<file path=xl/calcChain.xml><?xml version="1.0" encoding="utf-8"?>
<calcChain xmlns="http://schemas.openxmlformats.org/spreadsheetml/2006/main">
  <c r="I48" i="4" l="1"/>
  <c r="I49" i="4"/>
  <c r="I50" i="4"/>
  <c r="I51" i="4"/>
  <c r="I52" i="4"/>
  <c r="I53" i="4"/>
  <c r="I54" i="4"/>
  <c r="I55" i="4"/>
  <c r="I56" i="4"/>
  <c r="I57" i="4"/>
  <c r="I58" i="4"/>
  <c r="I47" i="4"/>
  <c r="I48" i="5" l="1"/>
  <c r="I49" i="5"/>
  <c r="I50" i="5"/>
  <c r="I51" i="5"/>
  <c r="I52" i="5"/>
  <c r="I53" i="5"/>
  <c r="I54" i="5"/>
  <c r="I55" i="5"/>
  <c r="I56" i="5"/>
  <c r="I57" i="5"/>
  <c r="I58" i="5"/>
  <c r="I47" i="5"/>
  <c r="D65" i="4"/>
  <c r="E91" i="7"/>
  <c r="E90" i="7"/>
  <c r="E89" i="7"/>
  <c r="I47" i="6"/>
  <c r="I48" i="6"/>
  <c r="I49" i="6"/>
  <c r="I50" i="6"/>
  <c r="I51" i="6"/>
  <c r="I52" i="6"/>
  <c r="I53" i="6"/>
  <c r="I54" i="6"/>
  <c r="I55" i="6"/>
  <c r="I56" i="6"/>
  <c r="I57" i="6"/>
  <c r="I58" i="6"/>
  <c r="I47" i="7"/>
  <c r="I48" i="7"/>
  <c r="I49" i="7"/>
  <c r="I50" i="7"/>
  <c r="I51" i="7"/>
  <c r="I52" i="7"/>
  <c r="I53" i="7"/>
  <c r="I54" i="7"/>
  <c r="I55" i="7"/>
  <c r="I56" i="7"/>
  <c r="I57" i="7"/>
  <c r="I58" i="7"/>
  <c r="D23" i="6" l="1"/>
  <c r="D26" i="6"/>
  <c r="D23" i="5"/>
  <c r="D26" i="5"/>
  <c r="J47" i="5"/>
  <c r="G58" i="5"/>
  <c r="G57" i="5"/>
  <c r="G56" i="5"/>
  <c r="G55" i="5"/>
  <c r="G54" i="5"/>
  <c r="G53" i="5"/>
  <c r="G52" i="5"/>
  <c r="G51" i="5"/>
  <c r="G50" i="5"/>
  <c r="G49" i="5"/>
  <c r="G48" i="5"/>
  <c r="G47" i="5"/>
  <c r="D26" i="7" l="1"/>
  <c r="C58" i="4"/>
  <c r="C58" i="5"/>
  <c r="D79" i="6"/>
  <c r="C49" i="6" l="1"/>
  <c r="C48" i="6"/>
  <c r="I59" i="5"/>
  <c r="D79" i="5" l="1"/>
  <c r="C51" i="7"/>
  <c r="C55" i="7"/>
  <c r="C54" i="7"/>
  <c r="C53" i="7"/>
  <c r="C52" i="7" l="1"/>
  <c r="C50" i="7"/>
  <c r="C49" i="7"/>
  <c r="C48" i="7"/>
  <c r="C47" i="7"/>
  <c r="C58" i="7"/>
  <c r="C57" i="7"/>
  <c r="C56" i="7"/>
  <c r="C57" i="6"/>
  <c r="C56" i="6"/>
  <c r="C55" i="6"/>
  <c r="C54" i="6"/>
  <c r="C53" i="6"/>
  <c r="C52" i="6"/>
  <c r="C51" i="6"/>
  <c r="C50" i="6"/>
  <c r="C47" i="6"/>
  <c r="C57" i="5"/>
  <c r="C56" i="5"/>
  <c r="C55" i="5"/>
  <c r="C54" i="5"/>
  <c r="C53" i="5"/>
  <c r="C52" i="5"/>
  <c r="C51" i="5"/>
  <c r="C50" i="5"/>
  <c r="C49" i="5"/>
  <c r="C48" i="5"/>
  <c r="C47" i="5"/>
  <c r="C57" i="4"/>
  <c r="C56" i="4"/>
  <c r="C55" i="4"/>
  <c r="C54" i="4"/>
  <c r="C53" i="4"/>
  <c r="C52" i="4"/>
  <c r="C51" i="4"/>
  <c r="C50" i="4"/>
  <c r="C49" i="4"/>
  <c r="C48" i="4"/>
  <c r="C47" i="4"/>
  <c r="G59" i="5" l="1"/>
  <c r="U59" i="4"/>
  <c r="R59" i="4"/>
  <c r="G59" i="4"/>
  <c r="O59" i="4"/>
  <c r="D91" i="7"/>
  <c r="D90" i="7"/>
  <c r="D89" i="7"/>
  <c r="E88" i="7"/>
  <c r="D88" i="7"/>
  <c r="E92" i="7" l="1"/>
  <c r="D92" i="7"/>
  <c r="F91" i="7"/>
  <c r="F90" i="7"/>
  <c r="F89" i="7"/>
  <c r="F88" i="7"/>
  <c r="D79" i="7"/>
  <c r="E59" i="7"/>
  <c r="D59" i="7"/>
  <c r="C59" i="7"/>
  <c r="F58" i="7"/>
  <c r="H58" i="7" s="1"/>
  <c r="F57" i="7"/>
  <c r="H57" i="7" s="1"/>
  <c r="F56" i="7"/>
  <c r="H56" i="7" s="1"/>
  <c r="F55" i="7"/>
  <c r="H55" i="7" s="1"/>
  <c r="F54" i="7"/>
  <c r="H54" i="7" s="1"/>
  <c r="F53" i="7"/>
  <c r="H53" i="7" s="1"/>
  <c r="F52" i="7"/>
  <c r="H52" i="7" s="1"/>
  <c r="F51" i="7"/>
  <c r="H51" i="7" s="1"/>
  <c r="F50" i="7"/>
  <c r="H50" i="7" s="1"/>
  <c r="F49" i="7"/>
  <c r="H49" i="7" s="1"/>
  <c r="F48" i="7"/>
  <c r="H48" i="7" s="1"/>
  <c r="F47" i="7"/>
  <c r="H47" i="7" s="1"/>
  <c r="D24" i="7"/>
  <c r="H92" i="6"/>
  <c r="E92" i="6"/>
  <c r="D92" i="6"/>
  <c r="C92" i="6"/>
  <c r="G91" i="6"/>
  <c r="I91" i="6" s="1"/>
  <c r="F91" i="6"/>
  <c r="F90" i="6"/>
  <c r="G90" i="6" s="1"/>
  <c r="I90" i="6" s="1"/>
  <c r="F89" i="6"/>
  <c r="G89" i="6" s="1"/>
  <c r="I89" i="6" s="1"/>
  <c r="F88" i="6"/>
  <c r="G88" i="6" s="1"/>
  <c r="E59" i="6"/>
  <c r="D59" i="6"/>
  <c r="C59" i="6"/>
  <c r="F58" i="6"/>
  <c r="F57" i="6"/>
  <c r="J56" i="6"/>
  <c r="F56" i="6"/>
  <c r="F55" i="6"/>
  <c r="F54" i="6"/>
  <c r="F53" i="6"/>
  <c r="F52" i="6"/>
  <c r="F51" i="6"/>
  <c r="F50" i="6"/>
  <c r="F49" i="6"/>
  <c r="F48" i="6"/>
  <c r="F47" i="6"/>
  <c r="D24" i="6"/>
  <c r="H92" i="5"/>
  <c r="E92" i="5"/>
  <c r="D92" i="5"/>
  <c r="C92" i="5"/>
  <c r="F91" i="5"/>
  <c r="G91" i="5" s="1"/>
  <c r="I91" i="5" s="1"/>
  <c r="F90" i="5"/>
  <c r="G90" i="5" s="1"/>
  <c r="I90" i="5" s="1"/>
  <c r="F89" i="5"/>
  <c r="G89" i="5" s="1"/>
  <c r="I89" i="5" s="1"/>
  <c r="G88" i="5"/>
  <c r="G92" i="5" s="1"/>
  <c r="F88" i="5"/>
  <c r="F92" i="5" s="1"/>
  <c r="E59" i="5"/>
  <c r="D59" i="5"/>
  <c r="C59" i="5"/>
  <c r="F58" i="5"/>
  <c r="H58" i="5" s="1"/>
  <c r="F57" i="5"/>
  <c r="J57" i="5" s="1"/>
  <c r="F56" i="5"/>
  <c r="H56" i="5" s="1"/>
  <c r="F55" i="5"/>
  <c r="J55" i="5" s="1"/>
  <c r="F54" i="5"/>
  <c r="J54" i="5" s="1"/>
  <c r="F53" i="5"/>
  <c r="J53" i="5" s="1"/>
  <c r="F52" i="5"/>
  <c r="H52" i="5" s="1"/>
  <c r="F51" i="5"/>
  <c r="J51" i="5" s="1"/>
  <c r="F50" i="5"/>
  <c r="J50" i="5" s="1"/>
  <c r="F49" i="5"/>
  <c r="J49" i="5" s="1"/>
  <c r="F48" i="5"/>
  <c r="H48" i="5" s="1"/>
  <c r="F47" i="5"/>
  <c r="D24" i="5"/>
  <c r="D22" i="5" s="1"/>
  <c r="F23" i="5" s="1"/>
  <c r="F24" i="5" l="1"/>
  <c r="F26" i="5"/>
  <c r="F25" i="5"/>
  <c r="D22" i="7"/>
  <c r="F23" i="7" s="1"/>
  <c r="H51" i="6"/>
  <c r="H54" i="6"/>
  <c r="H57" i="6"/>
  <c r="H52" i="6"/>
  <c r="H55" i="6"/>
  <c r="H50" i="6"/>
  <c r="J53" i="6"/>
  <c r="H56" i="6"/>
  <c r="K56" i="6" s="1"/>
  <c r="H47" i="6"/>
  <c r="H48" i="6"/>
  <c r="J49" i="6"/>
  <c r="H58" i="6"/>
  <c r="J52" i="5"/>
  <c r="K52" i="5" s="1"/>
  <c r="H47" i="5"/>
  <c r="K47" i="5"/>
  <c r="J56" i="5"/>
  <c r="K56" i="5" s="1"/>
  <c r="J48" i="5"/>
  <c r="F92" i="7"/>
  <c r="J58" i="7"/>
  <c r="K58" i="7" s="1"/>
  <c r="J57" i="7"/>
  <c r="K57" i="7" s="1"/>
  <c r="J56" i="7"/>
  <c r="K56" i="7" s="1"/>
  <c r="J55" i="7"/>
  <c r="K55" i="7" s="1"/>
  <c r="J54" i="7"/>
  <c r="K54" i="7" s="1"/>
  <c r="J53" i="7"/>
  <c r="K53" i="7" s="1"/>
  <c r="J52" i="7"/>
  <c r="K52" i="7" s="1"/>
  <c r="J51" i="7"/>
  <c r="K51" i="7" s="1"/>
  <c r="J50" i="7"/>
  <c r="K50" i="7" s="1"/>
  <c r="J49" i="7"/>
  <c r="K49" i="7" s="1"/>
  <c r="J48" i="7"/>
  <c r="K48" i="7" s="1"/>
  <c r="J47" i="7"/>
  <c r="F59" i="7"/>
  <c r="J58" i="6"/>
  <c r="J54" i="6"/>
  <c r="K54" i="6" s="1"/>
  <c r="J52" i="6"/>
  <c r="J50" i="6"/>
  <c r="K50" i="6" s="1"/>
  <c r="J48" i="6"/>
  <c r="K48" i="6" s="1"/>
  <c r="J58" i="5"/>
  <c r="K58" i="5" s="1"/>
  <c r="H54" i="5"/>
  <c r="K54" i="5" s="1"/>
  <c r="H50" i="5"/>
  <c r="K50" i="5" s="1"/>
  <c r="F59" i="5"/>
  <c r="K48" i="5"/>
  <c r="H59" i="7"/>
  <c r="F25" i="7"/>
  <c r="G92" i="6"/>
  <c r="I88" i="6"/>
  <c r="H49" i="6"/>
  <c r="H53" i="6"/>
  <c r="K53" i="6" s="1"/>
  <c r="D22" i="6"/>
  <c r="F24" i="6" s="1"/>
  <c r="J47" i="6"/>
  <c r="J51" i="6"/>
  <c r="K51" i="6" s="1"/>
  <c r="J55" i="6"/>
  <c r="K55" i="6" s="1"/>
  <c r="J57" i="6"/>
  <c r="F59" i="6"/>
  <c r="F92" i="6"/>
  <c r="I88" i="5"/>
  <c r="H51" i="5"/>
  <c r="K51" i="5" s="1"/>
  <c r="H55" i="5"/>
  <c r="K55" i="5" s="1"/>
  <c r="H57" i="5"/>
  <c r="K57" i="5" s="1"/>
  <c r="H49" i="5"/>
  <c r="K49" i="5" s="1"/>
  <c r="H53" i="5"/>
  <c r="K53" i="5" s="1"/>
  <c r="F88" i="4"/>
  <c r="G88" i="4" s="1"/>
  <c r="F89" i="4"/>
  <c r="G89" i="4" s="1"/>
  <c r="F90" i="4"/>
  <c r="G90" i="4" s="1"/>
  <c r="F91" i="4"/>
  <c r="G91" i="4" s="1"/>
  <c r="F26" i="7" l="1"/>
  <c r="F24" i="7"/>
  <c r="K49" i="6"/>
  <c r="K52" i="6"/>
  <c r="K57" i="6"/>
  <c r="K58" i="6"/>
  <c r="J59" i="7"/>
  <c r="H88" i="7" s="1"/>
  <c r="K47" i="7"/>
  <c r="K59" i="7" s="1"/>
  <c r="H59" i="6"/>
  <c r="J59" i="6"/>
  <c r="K47" i="6"/>
  <c r="F26" i="6"/>
  <c r="F23" i="6"/>
  <c r="F25" i="6"/>
  <c r="K59" i="5"/>
  <c r="J59" i="5"/>
  <c r="H59" i="5"/>
  <c r="I88" i="4"/>
  <c r="G92" i="4"/>
  <c r="F47" i="4"/>
  <c r="H47" i="4" s="1"/>
  <c r="H89" i="7" l="1"/>
  <c r="K59" i="6"/>
  <c r="D80" i="6" s="1"/>
  <c r="D81" i="6" s="1"/>
  <c r="D82" i="6" s="1"/>
  <c r="E82" i="6" s="1"/>
  <c r="H90" i="7"/>
  <c r="D80" i="7"/>
  <c r="D81" i="7" s="1"/>
  <c r="D82" i="7" s="1"/>
  <c r="E82" i="7" s="1"/>
  <c r="C88" i="7"/>
  <c r="G88" i="7" s="1"/>
  <c r="I88" i="7" s="1"/>
  <c r="D80" i="5"/>
  <c r="D81" i="5" s="1"/>
  <c r="D82" i="5" s="1"/>
  <c r="E82" i="5" s="1"/>
  <c r="C90" i="7"/>
  <c r="G90" i="7" s="1"/>
  <c r="J47" i="4"/>
  <c r="K47" i="4" s="1"/>
  <c r="D79" i="4"/>
  <c r="C89" i="7" l="1"/>
  <c r="G89" i="7" s="1"/>
  <c r="I89" i="7" s="1"/>
  <c r="I90" i="7"/>
  <c r="F51" i="4"/>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1" i="7" s="1"/>
  <c r="C92" i="4"/>
  <c r="H91" i="7" l="1"/>
  <c r="H92" i="7" s="1"/>
  <c r="C92" i="7"/>
  <c r="G91" i="7"/>
  <c r="D80" i="4"/>
  <c r="D81" i="4" s="1"/>
  <c r="H92" i="4"/>
  <c r="I91" i="7" l="1"/>
  <c r="G92" i="7"/>
  <c r="E92" i="4"/>
  <c r="D82" i="4" l="1"/>
  <c r="E82" i="4" s="1"/>
</calcChain>
</file>

<file path=xl/sharedStrings.xml><?xml version="1.0" encoding="utf-8"?>
<sst xmlns="http://schemas.openxmlformats.org/spreadsheetml/2006/main" count="584" uniqueCount="171">
  <si>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</si>
  <si>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</si>
  <si>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</si>
  <si>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</si>
  <si>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</si>
  <si>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</si>
  <si>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</si>
  <si>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</si>
  <si>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</si>
  <si>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</si>
  <si>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</si>
  <si>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</si>
  <si>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</si>
  <si>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</si>
  <si>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</si>
  <si>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</si>
  <si>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</si>
  <si>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</si>
  <si>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</si>
  <si>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</si>
  <si>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</si>
  <si>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</si>
  <si>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</si>
  <si>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</si>
  <si>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</si>
  <si>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</si>
  <si>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</si>
  <si>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</si>
  <si>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</si>
  <si>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</si>
  <si>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</si>
  <si>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</si>
  <si>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</si>
  <si>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</si>
  <si>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</si>
  <si>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</si>
  <si>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</si>
  <si>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</si>
  <si>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</si>
  <si>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</si>
  <si>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</si>
  <si>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</si>
  <si>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</si>
  <si>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</si>
  <si>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</si>
  <si>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</si>
  <si>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</si>
  <si>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</si>
  <si>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</si>
  <si>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</si>
  <si>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</si>
  <si>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</si>
  <si>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</si>
  <si>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</si>
  <si>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</si>
  <si>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</si>
  <si>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</si>
  <si>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</si>
  <si>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</si>
  <si>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</si>
  <si>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</si>
  <si>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</si>
  <si>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</si>
  <si>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</si>
  <si>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</si>
  <si>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</si>
  <si>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</si>
  <si>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</si>
  <si>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</si>
  <si>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</si>
  <si>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</si>
  <si>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</si>
  <si>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</si>
  <si>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</si>
  <si>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</si>
  <si>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</si>
  <si>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</si>
  <si>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</si>
  <si>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</si>
  <si>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</si>
  <si>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</si>
  <si>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</si>
  <si>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</si>
  <si>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</si>
  <si>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</si>
  <si>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</si>
  <si>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</si>
  <si>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</si>
  <si>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</si>
  <si>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</si>
  <si>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</si>
  <si>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</si>
  <si>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</si>
  <si>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</si>
  <si>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</si>
  <si>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</si>
  <si>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</si>
  <si>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</si>
  <si>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</si>
  <si>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</si>
  <si>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</si>
  <si>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</si>
  <si>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</si>
  <si>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</si>
  <si>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</si>
  <si>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</si>
  <si>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</si>
  <si>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</si>
  <si>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</si>
  <si>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</si>
  <si>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</si>
  <si>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</si>
  <si>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</si>
  <si>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</si>
  <si>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</si>
  <si>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</si>
  <si>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</si>
  <si>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</si>
  <si>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</si>
  <si>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</si>
  <si>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</si>
  <si>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</si>
  <si>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</si>
  <si>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</si>
  <si>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</si>
  <si>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</si>
  <si>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</si>
  <si>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</si>
  <si>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</si>
  <si>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</si>
  <si>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</si>
  <si>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</si>
  <si>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</si>
  <si>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</si>
  <si>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</si>
  <si>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</si>
  <si>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</si>
  <si>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</si>
  <si>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</si>
  <si>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</si>
  <si>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</si>
  <si>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</si>
  <si>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</si>
  <si>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</si>
  <si>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</si>
  <si>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</si>
  <si>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</si>
  <si>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</si>
  <si>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</si>
  <si>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</si>
  <si>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</si>
  <si>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</si>
  <si>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</si>
  <si>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</si>
  <si>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</si>
  <si>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</si>
  <si>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</si>
  <si>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</si>
  <si>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</si>
  <si>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</si>
  <si>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</si>
  <si>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</si>
  <si>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</si>
  <si>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2013, 2014, 2015 True-ups recalcuated based on more accurate unbilled cut-off information for RPP consumption.</t>
  </si>
  <si>
    <t>Total audited GA revenue per GL with Unbilled $2,339,495.    Expected as Above $2,322,810.</t>
  </si>
  <si>
    <t>Total audited GA revenue per GL with Unbilled $2,615,384.    Expected as Above $2,665,847.</t>
  </si>
  <si>
    <t xml:space="preserve">Total audited GA revenue per GL with Unbilled $3,358,164.  Expected as above $3,332,442.  </t>
  </si>
  <si>
    <t xml:space="preserve">Total audited GA revenue per GL with Unbilled $4,065,697.  Expected as above $4,067,387.  </t>
  </si>
  <si>
    <t>A/R Claimed for 2013 RPP Trueup recorded in 2016 year.</t>
  </si>
  <si>
    <t>A/R Claimed for 2014 RPP Trueup recorded in 2016 year.</t>
  </si>
  <si>
    <t>A/R Claimed for 2015 RPP Trueup recorded in 2016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</si>
</sst>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_);_(* \(#,##0.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8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168" fontId="3" fillId="0" borderId="16" xfId="0" applyNumberFormat="1" applyFont="1" applyBorder="1"/>
    <xf numFmtId="43" fontId="2" fillId="0" borderId="0" xfId="0" applyNumberFormat="1" applyFont="1" applyBorder="1"/>
    <xf numFmtId="0" fontId="2" fillId="0" borderId="0" xfId="0" quotePrefix="1" applyFont="1" applyBorder="1"/>
    <xf numFmtId="170" fontId="2" fillId="0" borderId="0" xfId="0" applyNumberFormat="1" applyFont="1" applyFill="1"/>
    <xf numFmtId="0" fontId="2" fillId="0" borderId="0" xfId="0" applyFont="1" applyAlignment="1">
      <alignment horizontal="right"/>
    </xf>
    <xf numFmtId="0" fontId="2" fillId="0" borderId="0" xfId="0" applyFont="1" applyFill="1" applyBorder="1"/>
    <xf numFmtId="169" fontId="2" fillId="0" borderId="0" xfId="5" applyNumberFormat="1" applyFont="1" applyFill="1" applyBorder="1"/>
    <xf numFmtId="168" fontId="2" fillId="0" borderId="0" xfId="0" applyNumberFormat="1" applyFont="1" applyFill="1" applyBorder="1"/>
    <xf numFmtId="0" fontId="7" fillId="0" borderId="0" xfId="0" applyFont="1" applyFill="1" applyBorder="1"/>
    <xf numFmtId="0" fontId="2" fillId="0" borderId="0" xfId="0" applyFont="1" applyBorder="1" applyAlignment="1">
      <alignment horizontal="center"/>
    </xf>
    <xf numFmtId="168" fontId="2" fillId="0" borderId="0" xfId="0" applyNumberFormat="1" applyFont="1" applyFill="1" applyBorder="1" applyAlignment="1">
      <alignment wrapText="1"/>
    </xf>
    <xf numFmtId="39" fontId="2" fillId="0" borderId="0" xfId="0" applyNumberFormat="1" applyFont="1" applyFill="1" applyBorder="1"/>
    <xf numFmtId="169" fontId="2" fillId="0" borderId="0" xfId="0" applyNumberFormat="1" applyFont="1" applyFill="1" applyBorder="1"/>
    <xf numFmtId="43" fontId="2" fillId="0" borderId="0" xfId="0" applyNumberFormat="1" applyFont="1" applyFill="1" applyBorder="1"/>
    <xf numFmtId="0" fontId="3" fillId="0" borderId="0" xfId="0" applyFont="1" applyFill="1" applyBorder="1" applyAlignment="1">
      <alignment horizontal="center" wrapText="1"/>
    </xf>
    <xf numFmtId="0" fontId="3" fillId="0" borderId="0" xfId="0" applyFont="1" applyFill="1" applyBorder="1" applyAlignment="1">
      <alignment horizontal="center"/>
    </xf>
    <xf numFmtId="167" fontId="2" fillId="0" borderId="0" xfId="0" applyNumberFormat="1" applyFont="1" applyFill="1" applyBorder="1"/>
    <xf numFmtId="0" fontId="2" fillId="0" borderId="0" xfId="0"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3" fillId="0" borderId="2" xfId="0" applyFont="1" applyBorder="1" applyAlignment="1">
      <alignment horizontal="center"/>
    </xf>
    <xf numFmtId="0" fontId="6" fillId="0" borderId="2" xfId="0" applyFont="1" applyBorder="1" applyAlignment="1">
      <alignment horizontal="center"/>
    </xf>
    <xf numFmtId="0" fontId="2" fillId="2" borderId="2" xfId="0" applyFont="1" applyFill="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In each of the years, the column "Non-RPP Class B Including Loss Factor Billed Consumption (kWh)" (= "F"),</a:t>
          </a:r>
          <a:r>
            <a:rPr lang="en-CA" sz="1100" baseline="0">
              <a:latin typeface="Arial" panose="020B0604020202020204" pitchFamily="34" charset="0"/>
              <a:cs typeface="Arial" panose="020B0604020202020204" pitchFamily="34" charset="0"/>
            </a:rPr>
            <a:t> is the estimated kWh including the adjustments for prior and current unbilled consumption for each month.  The report generated, as described below, does not give us the prior and current unbilled kWh, it prorates the bills by day each month and provides only the final number for kWh as adjusted for unbilled for that month.  Therefore, no kWh data will be input into the "Deduct previous" or "Add current" kWh each month for each of the years analyzed.</a:t>
          </a:r>
          <a:endParaRPr lang="en-CA" sz="1100">
            <a:latin typeface="Arial" panose="020B0604020202020204" pitchFamily="34" charset="0"/>
            <a:cs typeface="Arial" panose="020B0604020202020204" pitchFamily="34" charset="0"/>
          </a:endParaRPr>
        </a:p>
        <a:p>
          <a:endParaRPr lang="en-CA" sz="1100">
            <a:latin typeface="Arial" panose="020B0604020202020204" pitchFamily="34" charset="0"/>
            <a:cs typeface="Arial" panose="020B0604020202020204" pitchFamily="34" charset="0"/>
          </a:endParaRPr>
        </a:p>
        <a:p>
          <a:endParaRPr lang="en-CA" sz="1100" baseline="0">
            <a:latin typeface="Arial" panose="020B0604020202020204" pitchFamily="34" charset="0"/>
            <a:cs typeface="Arial" panose="020B0604020202020204" pitchFamily="34" charset="0"/>
          </a:endParaRPr>
        </a:p>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The billing system prorates</a:t>
          </a:r>
          <a:r>
            <a:rPr lang="en-CA" sz="1100" baseline="0">
              <a:solidFill>
                <a:schemeClr val="dk1"/>
              </a:solidFill>
              <a:effectLst/>
              <a:latin typeface="+mn-lt"/>
              <a:ea typeface="+mn-ea"/>
              <a:cs typeface="+mn-cs"/>
            </a:rPr>
            <a:t> the monthly consumption, which is used to true-up the GA claim quarterly. </a:t>
          </a:r>
          <a:endParaRPr lang="en-US">
            <a:effectLst/>
          </a:endParaRPr>
        </a:p>
        <a:p>
          <a:r>
            <a:rPr lang="en-CA" sz="1100">
              <a:solidFill>
                <a:schemeClr val="dk1"/>
              </a:solidFill>
              <a:effectLst/>
              <a:latin typeface="+mn-lt"/>
              <a:ea typeface="+mn-ea"/>
              <a:cs typeface="+mn-cs"/>
            </a:rPr>
            <a:t>Unbilled revenue is calculated and the GL is adjusted </a:t>
          </a:r>
          <a:r>
            <a:rPr lang="en-CA" sz="1100" baseline="0">
              <a:solidFill>
                <a:schemeClr val="dk1"/>
              </a:solidFill>
              <a:effectLst/>
              <a:latin typeface="+mn-lt"/>
              <a:ea typeface="+mn-ea"/>
              <a:cs typeface="+mn-cs"/>
            </a:rPr>
            <a:t>at year end based on number of days in each billing cycle after year end, relating to that year.</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The billing system prorates</a:t>
          </a:r>
          <a:r>
            <a:rPr lang="en-CA" sz="1100" baseline="0">
              <a:latin typeface="Arial" panose="020B0604020202020204" pitchFamily="34" charset="0"/>
              <a:cs typeface="Arial" panose="020B0604020202020204" pitchFamily="34" charset="0"/>
            </a:rPr>
            <a:t> the monthly consumption, which is used to true-up the GA claim quarterly. </a:t>
          </a:r>
          <a:endParaRPr lang="en-CA" sz="1100">
            <a:latin typeface="Arial" panose="020B0604020202020204" pitchFamily="34" charset="0"/>
            <a:cs typeface="Arial" panose="020B0604020202020204" pitchFamily="34" charset="0"/>
          </a:endParaRPr>
        </a:p>
        <a:p>
          <a:r>
            <a:rPr lang="en-CA" sz="1100">
              <a:latin typeface="Arial" panose="020B0604020202020204" pitchFamily="34" charset="0"/>
              <a:cs typeface="Arial" panose="020B0604020202020204" pitchFamily="34" charset="0"/>
            </a:rPr>
            <a:t>Unbilled revenue is calculated and the GL is adjusted </a:t>
          </a:r>
          <a:r>
            <a:rPr lang="en-CA" sz="1100" baseline="0">
              <a:latin typeface="Arial" panose="020B0604020202020204" pitchFamily="34" charset="0"/>
              <a:cs typeface="Arial" panose="020B0604020202020204" pitchFamily="34" charset="0"/>
            </a:rPr>
            <a:t>at year end based on number of days in each billing cycle after year end, relating to that year.</a:t>
          </a:r>
        </a:p>
        <a:p>
          <a:r>
            <a:rPr lang="en-CA" sz="1100" baseline="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During</a:t>
          </a:r>
          <a:r>
            <a:rPr lang="en-CA" sz="1100" baseline="0">
              <a:solidFill>
                <a:schemeClr val="dk1"/>
              </a:solidFill>
              <a:effectLst/>
              <a:latin typeface="+mn-lt"/>
              <a:ea typeface="+mn-ea"/>
              <a:cs typeface="+mn-cs"/>
            </a:rPr>
            <a:t> 2016, we were able to generate reports from the billing system to more accurately capture the Non-RPP customer consumption each month.  In this report, the billing software prorates the first bill's consumption in the next month based on the number of days in the billing cycle.  So, although there is still an element of estimation in the unbilled kWh each month, applying this method has proven to be a much more accurate way to extract the monthly total kWh with unbilled impact.  Total IESO purchases, plus embedded distribution kWh, less the RPP consumption from this report leaves the non-RPP kWh adjusted for unbilled estimation.  The GA RSVA was corrected in 2016 based on this new information, back to the time of last GA RSVA disposition in 2012.  Those corrections, as indicated by the small "unresolved differences" in this analysis each year, made the GA RSVA account more accurate annually from the last diposition, and moving forward.  </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0"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40" t="s">
        <v>161</v>
      </c>
    </row>
    <row r="11" spans="1:3" ht="15.75" x14ac:dyDescent="0.2">
      <c r="A11" s="43" t="s">
        <v>122</v>
      </c>
    </row>
    <row r="13" spans="1:3" ht="15.75" x14ac:dyDescent="0.2">
      <c r="A13" s="44" t="s">
        <v>31</v>
      </c>
    </row>
    <row r="14" spans="1:3" ht="34.5" customHeight="1" x14ac:dyDescent="0.2">
      <c r="A14" s="160" t="s">
        <v>154</v>
      </c>
      <c r="B14" s="160"/>
      <c r="C14" s="160"/>
    </row>
    <row r="16" spans="1:3" ht="15.75" x14ac:dyDescent="0.2">
      <c r="A16" s="44" t="s">
        <v>46</v>
      </c>
    </row>
    <row r="17" spans="1:26" x14ac:dyDescent="0.2">
      <c r="A17" s="42" t="s">
        <v>47</v>
      </c>
    </row>
    <row r="18" spans="1:26" ht="33" customHeight="1" x14ac:dyDescent="0.2">
      <c r="A18" s="162" t="s">
        <v>85</v>
      </c>
      <c r="B18" s="162"/>
      <c r="C18" s="162"/>
    </row>
    <row r="20" spans="1:26" x14ac:dyDescent="0.2">
      <c r="A20" s="42">
        <v>1</v>
      </c>
      <c r="B20" s="159" t="s">
        <v>140</v>
      </c>
      <c r="C20" s="159"/>
    </row>
    <row r="21" spans="1:26" x14ac:dyDescent="0.2">
      <c r="B21" s="134"/>
      <c r="C21" s="134"/>
    </row>
    <row r="23" spans="1:26" ht="31.5" customHeight="1" x14ac:dyDescent="0.2">
      <c r="A23" s="42">
        <v>2</v>
      </c>
      <c r="B23" s="160" t="s">
        <v>86</v>
      </c>
      <c r="C23" s="160"/>
    </row>
    <row r="24" spans="1:26" x14ac:dyDescent="0.2">
      <c r="B24" s="133"/>
      <c r="C24" s="133"/>
    </row>
    <row r="26" spans="1:26" x14ac:dyDescent="0.2">
      <c r="A26" s="42">
        <v>3</v>
      </c>
      <c r="B26" s="161" t="s">
        <v>109</v>
      </c>
      <c r="C26" s="161"/>
    </row>
    <row r="27" spans="1:26" ht="32.25" customHeight="1" x14ac:dyDescent="0.2">
      <c r="B27" s="160" t="s">
        <v>117</v>
      </c>
      <c r="C27" s="160"/>
    </row>
    <row r="28" spans="1:26" ht="63" customHeight="1" x14ac:dyDescent="0.2">
      <c r="B28" s="160" t="s">
        <v>129</v>
      </c>
      <c r="C28" s="16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60" t="s">
        <v>118</v>
      </c>
      <c r="C29" s="16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60" t="s">
        <v>155</v>
      </c>
      <c r="B33" s="160"/>
      <c r="C33" s="160"/>
    </row>
    <row r="34" spans="1:3" x14ac:dyDescent="0.2">
      <c r="B34" s="133"/>
      <c r="C34" s="133"/>
    </row>
    <row r="35" spans="1:3" x14ac:dyDescent="0.2">
      <c r="B35" s="85"/>
    </row>
    <row r="36" spans="1:3" x14ac:dyDescent="0.2">
      <c r="A36" s="42">
        <v>4</v>
      </c>
      <c r="B36" s="161" t="s">
        <v>141</v>
      </c>
      <c r="C36" s="161"/>
    </row>
    <row r="37" spans="1:3" ht="78.75" customHeight="1" x14ac:dyDescent="0.2">
      <c r="B37" s="160" t="s">
        <v>142</v>
      </c>
      <c r="C37" s="160"/>
    </row>
    <row r="38" spans="1:3" ht="65.25" customHeight="1" x14ac:dyDescent="0.2">
      <c r="B38" s="160" t="s">
        <v>124</v>
      </c>
      <c r="C38" s="160"/>
    </row>
    <row r="39" spans="1:3" ht="31.5" customHeight="1" x14ac:dyDescent="0.2">
      <c r="B39" s="160" t="s">
        <v>123</v>
      </c>
      <c r="C39" s="160"/>
    </row>
    <row r="40" spans="1:3" ht="30" customHeight="1" x14ac:dyDescent="0.2">
      <c r="B40" s="160" t="s">
        <v>125</v>
      </c>
      <c r="C40" s="16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60" t="s">
        <v>135</v>
      </c>
      <c r="C49" s="160"/>
    </row>
    <row r="51" spans="2:3" ht="30" customHeight="1" x14ac:dyDescent="0.2">
      <c r="B51" s="160" t="s">
        <v>120</v>
      </c>
      <c r="C51" s="160"/>
    </row>
    <row r="52" spans="2:3" ht="30" customHeight="1" x14ac:dyDescent="0.2">
      <c r="B52" s="160" t="s">
        <v>88</v>
      </c>
      <c r="C52" s="16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62" t="s">
        <v>152</v>
      </c>
      <c r="C78" s="162"/>
    </row>
    <row r="79" spans="1:3" x14ac:dyDescent="0.2">
      <c r="B79" s="87"/>
      <c r="C79" s="133"/>
    </row>
    <row r="81" spans="1:3" ht="30.75" customHeight="1" x14ac:dyDescent="0.2">
      <c r="A81" s="42">
        <v>7</v>
      </c>
      <c r="B81" s="160" t="s">
        <v>153</v>
      </c>
      <c r="C81" s="160"/>
    </row>
    <row r="82" spans="1:3" x14ac:dyDescent="0.2">
      <c r="B82" s="133"/>
      <c r="C82" s="133"/>
    </row>
    <row r="83" spans="1:3" ht="15.75" customHeight="1" x14ac:dyDescent="0.2">
      <c r="B83" s="159" t="s">
        <v>108</v>
      </c>
      <c r="C83" s="15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103"/>
  <sheetViews>
    <sheetView topLeftCell="A85" zoomScaleNormal="100" zoomScaleSheetLayoutView="100" workbookViewId="0">
      <selection activeCell="Z107" sqref="A1:Z10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23" width="9.140625" style="1"/>
    <col min="24" max="24" width="10.42578125" style="1" customWidth="1"/>
    <col min="25" max="25" width="11.28515625" style="1" customWidth="1"/>
    <col min="26"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9" t="s">
        <v>25</v>
      </c>
      <c r="C21" s="169"/>
      <c r="D21" s="24">
        <v>2013</v>
      </c>
      <c r="E21" s="170"/>
      <c r="F21" s="171"/>
      <c r="G21" s="79"/>
      <c r="H21" s="79"/>
      <c r="I21" s="79"/>
      <c r="J21" s="79"/>
      <c r="K21" s="79"/>
      <c r="L21" s="79"/>
      <c r="M21" s="79"/>
      <c r="N21" s="79"/>
      <c r="O21" s="79"/>
      <c r="P21" s="79"/>
      <c r="Q21" s="79"/>
    </row>
    <row r="22" spans="1:24" ht="15" thickBot="1" x14ac:dyDescent="0.25">
      <c r="A22" s="4"/>
      <c r="B22" s="5" t="s">
        <v>3</v>
      </c>
      <c r="C22" s="5" t="s">
        <v>2</v>
      </c>
      <c r="D22" s="117">
        <f>D23+D24</f>
        <v>105588684</v>
      </c>
      <c r="E22" s="6" t="s">
        <v>0</v>
      </c>
      <c r="F22" s="7">
        <v>1</v>
      </c>
      <c r="G22" s="79"/>
      <c r="H22" s="79"/>
      <c r="I22" s="79"/>
      <c r="J22" s="79"/>
      <c r="K22" s="79"/>
      <c r="L22" s="79"/>
      <c r="M22" s="79"/>
      <c r="N22" s="79"/>
      <c r="O22" s="79"/>
      <c r="P22" s="79"/>
      <c r="Q22" s="79"/>
    </row>
    <row r="23" spans="1:24" x14ac:dyDescent="0.2">
      <c r="B23" s="5" t="s">
        <v>7</v>
      </c>
      <c r="C23" s="5" t="s">
        <v>1</v>
      </c>
      <c r="D23" s="118">
        <v>62224281</v>
      </c>
      <c r="E23" s="6" t="s">
        <v>0</v>
      </c>
      <c r="F23" s="8">
        <f>IFERROR(D23/$D$22,0)</f>
        <v>0.58930823496199647</v>
      </c>
    </row>
    <row r="24" spans="1:24" ht="15" thickBot="1" x14ac:dyDescent="0.25">
      <c r="B24" s="5" t="s">
        <v>8</v>
      </c>
      <c r="C24" s="5" t="s">
        <v>6</v>
      </c>
      <c r="D24" s="117">
        <f>D25+D26</f>
        <v>43364403</v>
      </c>
      <c r="E24" s="6" t="s">
        <v>0</v>
      </c>
      <c r="F24" s="8">
        <f>IFERROR(D24/$D$22,0)</f>
        <v>0.41069176503800353</v>
      </c>
    </row>
    <row r="25" spans="1:24" x14ac:dyDescent="0.2">
      <c r="B25" s="5" t="s">
        <v>9</v>
      </c>
      <c r="C25" s="5" t="s">
        <v>4</v>
      </c>
      <c r="D25" s="118">
        <v>0</v>
      </c>
      <c r="E25" s="6" t="s">
        <v>0</v>
      </c>
      <c r="F25" s="8">
        <f>IFERROR(D25/$D$22,0)</f>
        <v>0</v>
      </c>
    </row>
    <row r="26" spans="1:24" x14ac:dyDescent="0.2">
      <c r="B26" s="5" t="s">
        <v>61</v>
      </c>
      <c r="C26" s="5" t="s">
        <v>5</v>
      </c>
      <c r="D26" s="119">
        <v>43364403</v>
      </c>
      <c r="E26" s="6" t="s">
        <v>0</v>
      </c>
      <c r="F26" s="8">
        <f>IFERROR(D26/$D$22,0)</f>
        <v>0.41069176503800353</v>
      </c>
      <c r="G26" s="29"/>
      <c r="H26" s="29"/>
    </row>
    <row r="27" spans="1:24" ht="34.5" customHeight="1" x14ac:dyDescent="0.2">
      <c r="B27" s="172" t="s">
        <v>77</v>
      </c>
      <c r="C27" s="172"/>
      <c r="D27" s="172"/>
      <c r="E27" s="172"/>
      <c r="F27" s="172"/>
      <c r="G27" s="173"/>
      <c r="H27" s="173"/>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6" ht="15" x14ac:dyDescent="0.25">
      <c r="B33" s="2" t="s">
        <v>42</v>
      </c>
    </row>
    <row r="34" spans="1:26" ht="15" customHeight="1" x14ac:dyDescent="0.25">
      <c r="B34" s="36"/>
      <c r="C34" s="36"/>
      <c r="D34" s="36"/>
      <c r="E34" s="36"/>
      <c r="F34" s="36"/>
      <c r="G34" s="36"/>
      <c r="H34" s="36"/>
    </row>
    <row r="35" spans="1:26" ht="15" customHeight="1" x14ac:dyDescent="0.25">
      <c r="B35" s="36"/>
      <c r="C35" s="36"/>
      <c r="D35" s="36"/>
      <c r="E35" s="36"/>
      <c r="F35" s="36"/>
      <c r="G35" s="36"/>
      <c r="H35" s="36"/>
    </row>
    <row r="36" spans="1:26" ht="15" customHeight="1" x14ac:dyDescent="0.25">
      <c r="B36" s="36"/>
      <c r="C36" s="36"/>
      <c r="D36" s="36"/>
      <c r="E36" s="36"/>
      <c r="F36" s="36"/>
      <c r="G36" s="36"/>
      <c r="H36" s="36"/>
    </row>
    <row r="37" spans="1:26" ht="15" customHeight="1" x14ac:dyDescent="0.25">
      <c r="B37" s="36"/>
      <c r="C37" s="36"/>
      <c r="D37" s="36"/>
      <c r="E37" s="36"/>
      <c r="F37" s="36"/>
      <c r="G37" s="36"/>
      <c r="H37" s="36"/>
    </row>
    <row r="38" spans="1:26" ht="14.25" customHeight="1" x14ac:dyDescent="0.25">
      <c r="B38" s="36"/>
      <c r="C38" s="36"/>
      <c r="D38" s="36"/>
      <c r="E38" s="36"/>
      <c r="F38" s="36"/>
      <c r="G38" s="36"/>
      <c r="H38" s="36"/>
    </row>
    <row r="39" spans="1:26" ht="14.25" customHeight="1" x14ac:dyDescent="0.25">
      <c r="B39" s="36"/>
      <c r="C39" s="36"/>
      <c r="D39" s="36"/>
      <c r="E39" s="36"/>
      <c r="F39" s="36"/>
      <c r="G39" s="36"/>
      <c r="H39" s="36"/>
    </row>
    <row r="40" spans="1:26" s="35" customFormat="1" ht="14.25" customHeight="1" x14ac:dyDescent="0.25">
      <c r="B40" s="36"/>
      <c r="C40" s="36"/>
      <c r="D40" s="36"/>
      <c r="E40" s="36"/>
      <c r="F40" s="36"/>
      <c r="G40" s="36"/>
      <c r="H40" s="36"/>
    </row>
    <row r="41" spans="1:26" s="35" customFormat="1" ht="14.25" customHeight="1" x14ac:dyDescent="0.25">
      <c r="B41" s="36"/>
      <c r="C41" s="36"/>
      <c r="D41" s="36"/>
      <c r="E41" s="36"/>
      <c r="F41" s="36"/>
      <c r="G41" s="36"/>
      <c r="H41" s="36"/>
    </row>
    <row r="43" spans="1:26" ht="15" x14ac:dyDescent="0.25">
      <c r="A43" s="1" t="s">
        <v>36</v>
      </c>
      <c r="B43" s="47" t="s">
        <v>141</v>
      </c>
      <c r="C43" s="3"/>
    </row>
    <row r="44" spans="1:26" ht="15.75" thickBot="1" x14ac:dyDescent="0.3">
      <c r="B44" s="2" t="s">
        <v>25</v>
      </c>
      <c r="C44" s="96">
        <v>2013</v>
      </c>
      <c r="D44" s="79"/>
      <c r="E44" s="79"/>
      <c r="F44" s="80"/>
      <c r="G44" s="33"/>
      <c r="H44" s="33"/>
      <c r="I44" s="33"/>
      <c r="J44" s="33"/>
      <c r="K44" s="33"/>
      <c r="N44" s="3" t="s">
        <v>29</v>
      </c>
    </row>
    <row r="45" spans="1:26"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4">
        <v>2016</v>
      </c>
      <c r="P45" s="174"/>
      <c r="Q45" s="174"/>
      <c r="R45" s="174">
        <v>2015</v>
      </c>
      <c r="S45" s="174"/>
      <c r="T45" s="174"/>
      <c r="U45" s="174">
        <v>2014</v>
      </c>
      <c r="V45" s="174"/>
      <c r="W45" s="174"/>
      <c r="X45" s="174">
        <v>2013</v>
      </c>
      <c r="Y45" s="174"/>
      <c r="Z45" s="174"/>
    </row>
    <row r="46" spans="1:26"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c r="X46" s="101" t="s">
        <v>26</v>
      </c>
      <c r="Y46" s="101" t="s">
        <v>27</v>
      </c>
      <c r="Z46" s="101" t="s">
        <v>28</v>
      </c>
    </row>
    <row r="47" spans="1:26" x14ac:dyDescent="0.2">
      <c r="B47" s="13" t="s">
        <v>10</v>
      </c>
      <c r="C47" s="94">
        <f>11658696-7141126</f>
        <v>4517570</v>
      </c>
      <c r="D47" s="94"/>
      <c r="E47" s="60"/>
      <c r="F47" s="51">
        <f>C47-D47+E47</f>
        <v>4517570</v>
      </c>
      <c r="G47" s="111">
        <v>3.7699999999999997E-2</v>
      </c>
      <c r="H47" s="15">
        <f>F47*G47</f>
        <v>170312.389</v>
      </c>
      <c r="I47" s="111">
        <f>+Z47</f>
        <v>4.999E-2</v>
      </c>
      <c r="J47" s="17">
        <f>F47*I47</f>
        <v>225833.32430000001</v>
      </c>
      <c r="K47" s="16">
        <f>J47-H47</f>
        <v>55520.935300000012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c r="X47" s="19">
        <v>3.7699999999999997E-2</v>
      </c>
      <c r="Y47" s="19">
        <v>6.2359999999999999E-2</v>
      </c>
      <c r="Z47" s="19">
        <v>4.999E-2</v>
      </c>
    </row>
    <row r="48" spans="1:26" x14ac:dyDescent="0.2">
      <c r="B48" s="13" t="s">
        <v>11</v>
      </c>
      <c r="C48" s="94">
        <f>10088650-6037587</f>
        <v>4051063</v>
      </c>
      <c r="D48" s="94"/>
      <c r="E48" s="60"/>
      <c r="F48" s="51">
        <f t="shared" ref="F48:F58" si="0">C48-D48+E48</f>
        <v>4051063</v>
      </c>
      <c r="G48" s="111">
        <v>5.7299999999999997E-2</v>
      </c>
      <c r="H48" s="15">
        <f t="shared" ref="H48:H58" si="1">F48*G48</f>
        <v>232125.9099</v>
      </c>
      <c r="I48" s="111">
        <f t="shared" ref="I48:I58" si="2">+Z48</f>
        <v>4.8140000000000002E-2</v>
      </c>
      <c r="J48" s="17">
        <f t="shared" ref="J48:J58" si="3">F48*I48</f>
        <v>195018.17282000001</v>
      </c>
      <c r="K48" s="16">
        <f t="shared" ref="K48:K58" si="4">J48-H48</f>
        <v>-37107.737079999992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c r="X48" s="20">
        <v>5.7299999999999997E-2</v>
      </c>
      <c r="Y48" s="20">
        <v>5.1670000000000001E-2</v>
      </c>
      <c r="Z48" s="20">
        <v>4.8140000000000002E-2</v>
      </c>
    </row>
    <row r="49" spans="1:26" x14ac:dyDescent="0.2">
      <c r="B49" s="13" t="s">
        <v>12</v>
      </c>
      <c r="C49" s="94">
        <f>9771778-5617174</f>
        <v>4154604</v>
      </c>
      <c r="D49" s="94"/>
      <c r="E49" s="60"/>
      <c r="F49" s="51">
        <f t="shared" si="0"/>
        <v>4154604</v>
      </c>
      <c r="G49" s="111">
        <v>4.3700000000000003E-2</v>
      </c>
      <c r="H49" s="15">
        <f t="shared" si="1"/>
        <v>181556.1948</v>
      </c>
      <c r="I49" s="111">
        <f t="shared" si="2"/>
        <v>4.9259999999999998E-2</v>
      </c>
      <c r="J49" s="17">
        <f t="shared" si="3"/>
        <v>204655.79303999999</v>
      </c>
      <c r="K49" s="16">
        <f t="shared" si="4"/>
        <v>23099.598239999992</v>
      </c>
      <c r="N49" s="11" t="s">
        <v>12</v>
      </c>
      <c r="O49" s="20">
        <v>9.0219999999999995E-2</v>
      </c>
      <c r="P49" s="20">
        <v>0.10299</v>
      </c>
      <c r="Q49" s="20">
        <v>0.1061</v>
      </c>
      <c r="R49" s="20">
        <v>3.6040000000000003E-2</v>
      </c>
      <c r="S49" s="20">
        <v>5.74E-2</v>
      </c>
      <c r="T49" s="20">
        <v>6.2899999999999998E-2</v>
      </c>
      <c r="U49" s="20">
        <v>1.103E-2</v>
      </c>
      <c r="V49" s="20">
        <v>-8.0000000000000002E-3</v>
      </c>
      <c r="W49" s="20">
        <v>-2.7E-4</v>
      </c>
      <c r="X49" s="20">
        <v>4.3700000000000003E-2</v>
      </c>
      <c r="Y49" s="20">
        <v>5.5969999999999999E-2</v>
      </c>
      <c r="Z49" s="20">
        <v>4.9259999999999998E-2</v>
      </c>
    </row>
    <row r="50" spans="1:26" x14ac:dyDescent="0.2">
      <c r="B50" s="13" t="s">
        <v>13</v>
      </c>
      <c r="C50" s="94">
        <f>8512329-4823873</f>
        <v>3688456</v>
      </c>
      <c r="D50" s="94"/>
      <c r="E50" s="60"/>
      <c r="F50" s="51">
        <f t="shared" si="0"/>
        <v>3688456</v>
      </c>
      <c r="G50" s="111">
        <v>5.6399999999999999E-2</v>
      </c>
      <c r="H50" s="15">
        <f t="shared" si="1"/>
        <v>208028.9184</v>
      </c>
      <c r="I50" s="111">
        <f t="shared" si="2"/>
        <v>5.8590000000000003E-2</v>
      </c>
      <c r="J50" s="17">
        <f t="shared" si="3"/>
        <v>216106.63704</v>
      </c>
      <c r="K50" s="16">
        <f t="shared" si="4"/>
        <v>8077.7186400000064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c r="X50" s="20">
        <v>5.6399999999999999E-2</v>
      </c>
      <c r="Y50" s="20">
        <v>5.6410000000000002E-2</v>
      </c>
      <c r="Z50" s="20">
        <v>5.8590000000000003E-2</v>
      </c>
    </row>
    <row r="51" spans="1:26" x14ac:dyDescent="0.2">
      <c r="B51" s="13" t="s">
        <v>14</v>
      </c>
      <c r="C51" s="94">
        <f>7854468-4421116</f>
        <v>3433352</v>
      </c>
      <c r="D51" s="94"/>
      <c r="E51" s="60"/>
      <c r="F51" s="51">
        <f t="shared" si="0"/>
        <v>3433352</v>
      </c>
      <c r="G51" s="111">
        <v>5.1299999999999998E-2</v>
      </c>
      <c r="H51" s="15">
        <f t="shared" si="1"/>
        <v>176130.95759999999</v>
      </c>
      <c r="I51" s="111">
        <f t="shared" si="2"/>
        <v>6.7589999999999997E-2</v>
      </c>
      <c r="J51" s="17">
        <f t="shared" si="3"/>
        <v>232060.26168</v>
      </c>
      <c r="K51" s="16">
        <f t="shared" si="4"/>
        <v>55929.304080000002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c r="X51" s="20">
        <v>5.1299999999999998E-2</v>
      </c>
      <c r="Y51" s="20">
        <v>6.2759999999999996E-2</v>
      </c>
      <c r="Z51" s="20">
        <v>6.7589999999999997E-2</v>
      </c>
    </row>
    <row r="52" spans="1:26" x14ac:dyDescent="0.2">
      <c r="B52" s="13" t="s">
        <v>15</v>
      </c>
      <c r="C52" s="94">
        <f>7800208-4345623</f>
        <v>3454585</v>
      </c>
      <c r="D52" s="94"/>
      <c r="E52" s="60"/>
      <c r="F52" s="51">
        <f t="shared" si="0"/>
        <v>3454585</v>
      </c>
      <c r="G52" s="111">
        <v>6.4100000000000004E-2</v>
      </c>
      <c r="H52" s="15">
        <f t="shared" si="1"/>
        <v>221438.89850000001</v>
      </c>
      <c r="I52" s="111">
        <f t="shared" si="2"/>
        <v>7.0430000000000006E-2</v>
      </c>
      <c r="J52" s="17">
        <f t="shared" si="3"/>
        <v>243306.42155000003</v>
      </c>
      <c r="K52" s="16">
        <f t="shared" si="4"/>
        <v>21867.523050000018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c r="X52" s="20">
        <v>6.4100000000000004E-2</v>
      </c>
      <c r="Y52" s="20">
        <v>7.1989999999999998E-2</v>
      </c>
      <c r="Z52" s="20">
        <v>7.0430000000000006E-2</v>
      </c>
    </row>
    <row r="53" spans="1:26" x14ac:dyDescent="0.2">
      <c r="B53" s="13" t="s">
        <v>16</v>
      </c>
      <c r="C53" s="60">
        <f>8853685-5228779</f>
        <v>3624906</v>
      </c>
      <c r="D53" s="94"/>
      <c r="E53" s="60"/>
      <c r="F53" s="51">
        <f t="shared" si="0"/>
        <v>3624906</v>
      </c>
      <c r="G53" s="111">
        <v>7.3800000000000004E-2</v>
      </c>
      <c r="H53" s="15">
        <f t="shared" si="1"/>
        <v>267518.06280000001</v>
      </c>
      <c r="I53" s="111">
        <f t="shared" si="2"/>
        <v>5.0889999999999998E-2</v>
      </c>
      <c r="J53" s="17">
        <f t="shared" si="3"/>
        <v>184471.46633999998</v>
      </c>
      <c r="K53" s="16">
        <f t="shared" si="4"/>
        <v>-83046.59646000003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c r="X53" s="20">
        <v>7.3800000000000004E-2</v>
      </c>
      <c r="Y53" s="20">
        <v>5.9369999999999999E-2</v>
      </c>
      <c r="Z53" s="20">
        <v>5.0889999999999998E-2</v>
      </c>
    </row>
    <row r="54" spans="1:26" x14ac:dyDescent="0.2">
      <c r="B54" s="13" t="s">
        <v>17</v>
      </c>
      <c r="C54" s="60">
        <f>8712982-5082104</f>
        <v>3630878</v>
      </c>
      <c r="D54" s="94"/>
      <c r="E54" s="60"/>
      <c r="F54" s="51">
        <f t="shared" si="0"/>
        <v>3630878</v>
      </c>
      <c r="G54" s="111">
        <v>4.0099999999999997E-2</v>
      </c>
      <c r="H54" s="15">
        <f t="shared" si="1"/>
        <v>145598.20779999997</v>
      </c>
      <c r="I54" s="111">
        <f t="shared" si="2"/>
        <v>6.2449999999999999E-2</v>
      </c>
      <c r="J54" s="17">
        <f t="shared" si="3"/>
        <v>226748.33109999998</v>
      </c>
      <c r="K54" s="16">
        <f t="shared" si="4"/>
        <v>81150.123300000007</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c r="X54" s="20">
        <v>4.0099999999999997E-2</v>
      </c>
      <c r="Y54" s="20">
        <v>7.2150000000000006E-2</v>
      </c>
      <c r="Z54" s="20">
        <v>6.2449999999999999E-2</v>
      </c>
    </row>
    <row r="55" spans="1:26" x14ac:dyDescent="0.2">
      <c r="B55" s="13" t="s">
        <v>18</v>
      </c>
      <c r="C55" s="60">
        <f>7629757-4243357</f>
        <v>3386400</v>
      </c>
      <c r="D55" s="94"/>
      <c r="E55" s="60"/>
      <c r="F55" s="51">
        <f t="shared" si="0"/>
        <v>3386400</v>
      </c>
      <c r="G55" s="111">
        <v>8.72E-2</v>
      </c>
      <c r="H55" s="15">
        <f t="shared" si="1"/>
        <v>295294.08000000002</v>
      </c>
      <c r="I55" s="111">
        <f t="shared" si="2"/>
        <v>6.6549999999999998E-2</v>
      </c>
      <c r="J55" s="17">
        <f t="shared" si="3"/>
        <v>225364.91999999998</v>
      </c>
      <c r="K55" s="16">
        <f t="shared" si="4"/>
        <v>-69929.160000000033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c r="X55" s="20">
        <v>8.72E-2</v>
      </c>
      <c r="Y55" s="20">
        <v>5.5570000000000001E-2</v>
      </c>
      <c r="Z55" s="20">
        <v>6.6549999999999998E-2</v>
      </c>
    </row>
    <row r="56" spans="1:26" x14ac:dyDescent="0.2">
      <c r="B56" s="13" t="s">
        <v>19</v>
      </c>
      <c r="C56" s="60">
        <f>8250437-4738470</f>
        <v>3511967</v>
      </c>
      <c r="D56" s="94"/>
      <c r="E56" s="60"/>
      <c r="F56" s="51">
        <f t="shared" si="0"/>
        <v>3511967</v>
      </c>
      <c r="G56" s="111">
        <v>5.8099999999999999E-2</v>
      </c>
      <c r="H56" s="15">
        <f t="shared" si="1"/>
        <v>204045.28269999998</v>
      </c>
      <c r="I56" s="111">
        <f t="shared" si="2"/>
        <v>6.3119999999999996E-2</v>
      </c>
      <c r="J56" s="17">
        <f t="shared" si="3"/>
        <v>221675.35703999997</v>
      </c>
      <c r="K56" s="16">
        <f t="shared" si="4"/>
        <v>17630.074339999992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c r="X56" s="20">
        <v>5.8099999999999999E-2</v>
      </c>
      <c r="Y56" s="20">
        <v>6.411E-2</v>
      </c>
      <c r="Z56" s="20">
        <v>6.3119999999999996E-2</v>
      </c>
    </row>
    <row r="57" spans="1:26" x14ac:dyDescent="0.2">
      <c r="B57" s="13" t="s">
        <v>20</v>
      </c>
      <c r="C57" s="60">
        <f>9383272-5592268</f>
        <v>3791004</v>
      </c>
      <c r="D57" s="94"/>
      <c r="E57" s="60"/>
      <c r="F57" s="51">
        <f t="shared" si="0"/>
        <v>3791004</v>
      </c>
      <c r="G57" s="111">
        <v>6.2300000000000001E-2</v>
      </c>
      <c r="H57" s="15">
        <f t="shared" si="1"/>
        <v>236179.54920000001</v>
      </c>
      <c r="I57" s="111">
        <f t="shared" si="2"/>
        <v>7.8549999999999995E-2</v>
      </c>
      <c r="J57" s="17">
        <f t="shared" si="3"/>
        <v>297783.36419999995</v>
      </c>
      <c r="K57" s="16">
        <f t="shared" si="4"/>
        <v>61603.814999999944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c r="X57" s="20">
        <v>6.2300000000000001E-2</v>
      </c>
      <c r="Y57" s="20">
        <v>8.8440000000000005E-2</v>
      </c>
      <c r="Z57" s="20">
        <v>7.8549999999999995E-2</v>
      </c>
    </row>
    <row r="58" spans="1:26" x14ac:dyDescent="0.2">
      <c r="B58" s="13" t="s">
        <v>21</v>
      </c>
      <c r="C58" s="95">
        <f>12115033-7809932</f>
        <v>4305101</v>
      </c>
      <c r="D58" s="94"/>
      <c r="E58" s="60"/>
      <c r="F58" s="51">
        <f t="shared" si="0"/>
        <v>4305101</v>
      </c>
      <c r="G58" s="111">
        <v>7.6100000000000001E-2</v>
      </c>
      <c r="H58" s="15">
        <f t="shared" si="1"/>
        <v>327618.18609999999</v>
      </c>
      <c r="I58" s="111">
        <f t="shared" si="2"/>
        <v>5.0680000000000003E-2</v>
      </c>
      <c r="J58" s="17">
        <f t="shared" si="3"/>
        <v>218182.51868000001</v>
      </c>
      <c r="K58" s="16">
        <f t="shared" si="4"/>
        <v>-109435.66741999998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c r="X58" s="20">
        <v>7.6100000000000001E-2</v>
      </c>
      <c r="Y58" s="20">
        <v>6.0299999999999999E-2</v>
      </c>
      <c r="Z58" s="20">
        <v>5.0680000000000003E-2</v>
      </c>
    </row>
    <row r="59" spans="1:26" ht="30.75" thickBot="1" x14ac:dyDescent="0.3">
      <c r="B59" s="128" t="s">
        <v>133</v>
      </c>
      <c r="C59" s="97">
        <f t="shared" ref="C59:H59" si="5">SUM(C47:C58)</f>
        <v>45549886</v>
      </c>
      <c r="D59" s="97">
        <f t="shared" si="5"/>
        <v>0</v>
      </c>
      <c r="E59" s="97">
        <f t="shared" si="5"/>
        <v>0</v>
      </c>
      <c r="F59" s="97">
        <f t="shared" si="5"/>
        <v>45549886</v>
      </c>
      <c r="G59" s="141">
        <f t="shared" si="5"/>
        <v>0.70810000000000017</v>
      </c>
      <c r="H59" s="38">
        <f t="shared" si="5"/>
        <v>2665846.6368</v>
      </c>
      <c r="I59" s="37"/>
      <c r="J59" s="38">
        <f>SUM(J47:J58)</f>
        <v>2691206.5677900002</v>
      </c>
      <c r="K59" s="39">
        <f>SUM(K47:K58)</f>
        <v>25359.930989999935</v>
      </c>
      <c r="N59" s="31"/>
      <c r="O59" s="32">
        <f>SUM(O47:O58)</f>
        <v>1.1788000000000001</v>
      </c>
      <c r="P59" s="32"/>
      <c r="Q59" s="32"/>
      <c r="R59" s="32">
        <f>SUM(R47:R58)</f>
        <v>0.92901999999999996</v>
      </c>
      <c r="S59" s="32"/>
      <c r="T59" s="32"/>
      <c r="U59" s="32">
        <f>SUM(U47:U58)</f>
        <v>0.63385000000000002</v>
      </c>
      <c r="V59" s="32"/>
      <c r="W59" s="32"/>
    </row>
    <row r="60" spans="1:26" x14ac:dyDescent="0.2">
      <c r="G60" s="4"/>
      <c r="H60" s="4"/>
      <c r="I60" s="4"/>
      <c r="J60" s="69"/>
      <c r="K60" s="126"/>
      <c r="N60" s="29"/>
      <c r="O60" s="30"/>
      <c r="P60" s="30"/>
      <c r="Q60" s="30"/>
      <c r="R60" s="30"/>
      <c r="S60" s="30"/>
      <c r="T60" s="30"/>
      <c r="U60" s="30"/>
      <c r="V60" s="30"/>
      <c r="W60" s="30"/>
    </row>
    <row r="61" spans="1:26" x14ac:dyDescent="0.2">
      <c r="F61" s="146"/>
      <c r="G61" s="146"/>
      <c r="H61" s="147"/>
      <c r="J61" s="115"/>
      <c r="N61" s="29"/>
      <c r="O61" s="30"/>
      <c r="P61" s="30"/>
      <c r="Q61" s="30"/>
      <c r="R61" s="30"/>
      <c r="S61" s="30"/>
      <c r="T61" s="30"/>
      <c r="U61" s="30"/>
      <c r="V61" s="30"/>
      <c r="W61" s="30"/>
    </row>
    <row r="62" spans="1:26" ht="15" x14ac:dyDescent="0.25">
      <c r="A62" s="1" t="s">
        <v>143</v>
      </c>
      <c r="B62" s="47" t="s">
        <v>136</v>
      </c>
      <c r="C62" s="2"/>
      <c r="F62" s="146"/>
      <c r="G62" s="146"/>
      <c r="H62" s="157"/>
      <c r="J62" s="115"/>
      <c r="K62" s="115"/>
      <c r="N62" s="29"/>
      <c r="O62" s="30"/>
      <c r="P62" s="30"/>
      <c r="Q62" s="30"/>
      <c r="R62" s="30"/>
      <c r="S62" s="30"/>
      <c r="T62" s="30"/>
      <c r="U62" s="30"/>
      <c r="V62" s="30"/>
      <c r="W62" s="30"/>
    </row>
    <row r="63" spans="1:26" ht="15" x14ac:dyDescent="0.25">
      <c r="B63" s="3"/>
      <c r="C63" s="2"/>
      <c r="K63" s="123"/>
      <c r="N63" s="29"/>
      <c r="O63" s="29"/>
      <c r="P63" s="29"/>
      <c r="Q63" s="156"/>
      <c r="R63" s="29"/>
      <c r="S63" s="29"/>
      <c r="T63" s="29"/>
      <c r="U63" s="29"/>
      <c r="V63" s="29"/>
      <c r="W63" s="29"/>
    </row>
    <row r="64" spans="1:26" ht="45" x14ac:dyDescent="0.25">
      <c r="A64" s="11"/>
      <c r="B64" s="102" t="s">
        <v>45</v>
      </c>
      <c r="C64" s="48" t="s">
        <v>67</v>
      </c>
      <c r="D64" s="48" t="s">
        <v>121</v>
      </c>
      <c r="E64" s="175" t="s">
        <v>44</v>
      </c>
      <c r="F64" s="175"/>
      <c r="G64" s="175"/>
      <c r="H64" s="175"/>
      <c r="I64" s="175"/>
      <c r="K64" s="121"/>
      <c r="N64" s="146"/>
      <c r="O64" s="146"/>
      <c r="P64" s="146"/>
      <c r="Q64" s="150"/>
      <c r="R64" s="29"/>
      <c r="S64" s="29"/>
      <c r="T64" s="29"/>
      <c r="U64" s="29"/>
      <c r="V64" s="143"/>
      <c r="W64" s="29"/>
      <c r="X64" s="29"/>
    </row>
    <row r="65" spans="1:24" ht="30.75" customHeight="1" x14ac:dyDescent="0.25">
      <c r="A65" s="166" t="s">
        <v>134</v>
      </c>
      <c r="B65" s="167"/>
      <c r="C65" s="168"/>
      <c r="D65" s="127">
        <f>99283+61377</f>
        <v>160660</v>
      </c>
      <c r="E65" s="177"/>
      <c r="F65" s="178"/>
      <c r="G65" s="178"/>
      <c r="H65" s="178"/>
      <c r="I65" s="179"/>
      <c r="K65" s="121"/>
      <c r="N65" s="147"/>
      <c r="O65" s="146"/>
      <c r="P65" s="148"/>
      <c r="Q65" s="29"/>
      <c r="R65" s="29"/>
      <c r="S65" s="29"/>
      <c r="T65" s="29"/>
      <c r="U65" s="29"/>
      <c r="V65" s="29"/>
      <c r="W65" s="29"/>
      <c r="X65" s="29"/>
    </row>
    <row r="66" spans="1:24" ht="28.5" x14ac:dyDescent="0.2">
      <c r="A66" s="70" t="s">
        <v>51</v>
      </c>
      <c r="B66" s="49" t="s">
        <v>62</v>
      </c>
      <c r="C66" s="112"/>
      <c r="D66" s="98"/>
      <c r="E66" s="176"/>
      <c r="F66" s="176"/>
      <c r="G66" s="176"/>
      <c r="H66" s="176"/>
      <c r="I66" s="176"/>
      <c r="K66" s="121"/>
      <c r="N66" s="147"/>
      <c r="O66" s="146"/>
      <c r="P66" s="148"/>
      <c r="Q66" s="29"/>
      <c r="R66" s="29"/>
      <c r="S66" s="29"/>
      <c r="T66" s="29"/>
      <c r="U66" s="29"/>
      <c r="V66" s="29"/>
      <c r="W66" s="29"/>
      <c r="X66" s="29"/>
    </row>
    <row r="67" spans="1:24" ht="28.5" x14ac:dyDescent="0.2">
      <c r="A67" s="70" t="s">
        <v>52</v>
      </c>
      <c r="B67" s="49" t="s">
        <v>79</v>
      </c>
      <c r="C67" s="113"/>
      <c r="D67" s="114">
        <v>-92974</v>
      </c>
      <c r="E67" s="163" t="s">
        <v>168</v>
      </c>
      <c r="F67" s="164"/>
      <c r="G67" s="164"/>
      <c r="H67" s="164"/>
      <c r="I67" s="165"/>
      <c r="J67" s="79"/>
      <c r="K67" s="122"/>
      <c r="L67" s="79"/>
      <c r="M67" s="79"/>
      <c r="N67" s="147"/>
      <c r="O67" s="149"/>
      <c r="P67" s="148"/>
      <c r="Q67" s="149"/>
      <c r="R67" s="29"/>
      <c r="S67" s="29"/>
      <c r="T67" s="29"/>
    </row>
    <row r="68" spans="1:24" ht="28.5" x14ac:dyDescent="0.2">
      <c r="A68" s="70" t="s">
        <v>65</v>
      </c>
      <c r="B68" s="49" t="s">
        <v>64</v>
      </c>
      <c r="C68" s="112"/>
      <c r="D68" s="114"/>
      <c r="E68" s="176"/>
      <c r="F68" s="176"/>
      <c r="G68" s="176"/>
      <c r="H68" s="176"/>
      <c r="I68" s="176"/>
      <c r="J68" s="79"/>
      <c r="K68" s="122"/>
      <c r="L68" s="79"/>
      <c r="M68" s="79"/>
      <c r="N68" s="147"/>
      <c r="O68" s="149"/>
      <c r="P68" s="148"/>
      <c r="Q68" s="149"/>
      <c r="R68" s="29"/>
      <c r="S68" s="29"/>
      <c r="T68" s="29"/>
    </row>
    <row r="69" spans="1:24" ht="28.5" x14ac:dyDescent="0.2">
      <c r="A69" s="70" t="s">
        <v>66</v>
      </c>
      <c r="B69" s="49" t="s">
        <v>63</v>
      </c>
      <c r="C69" s="113"/>
      <c r="D69" s="98">
        <v>-50463</v>
      </c>
      <c r="E69" s="163" t="s">
        <v>165</v>
      </c>
      <c r="F69" s="164"/>
      <c r="G69" s="164"/>
      <c r="H69" s="164"/>
      <c r="I69" s="165"/>
      <c r="J69" s="79"/>
      <c r="K69" s="125"/>
      <c r="L69" s="79"/>
      <c r="M69" s="79"/>
      <c r="N69" s="147"/>
      <c r="O69" s="149"/>
      <c r="P69" s="148"/>
      <c r="Q69" s="149"/>
      <c r="R69" s="29"/>
      <c r="S69" s="29"/>
      <c r="T69" s="29"/>
    </row>
    <row r="70" spans="1:24" ht="28.5" x14ac:dyDescent="0.2">
      <c r="A70" s="70" t="s">
        <v>69</v>
      </c>
      <c r="B70" s="49" t="s">
        <v>71</v>
      </c>
      <c r="C70" s="112"/>
      <c r="D70" s="98"/>
      <c r="E70" s="163"/>
      <c r="F70" s="164"/>
      <c r="G70" s="164"/>
      <c r="H70" s="164"/>
      <c r="I70" s="165"/>
      <c r="J70" s="79"/>
      <c r="K70" s="125"/>
      <c r="L70" s="79"/>
      <c r="M70" s="79"/>
      <c r="N70" s="147"/>
      <c r="O70" s="149"/>
      <c r="P70" s="148"/>
      <c r="Q70" s="149"/>
      <c r="R70" s="29"/>
      <c r="S70" s="29"/>
      <c r="T70" s="29"/>
    </row>
    <row r="71" spans="1:24" ht="28.5" x14ac:dyDescent="0.2">
      <c r="A71" s="70" t="s">
        <v>70</v>
      </c>
      <c r="B71" s="49" t="s">
        <v>72</v>
      </c>
      <c r="C71" s="112"/>
      <c r="D71" s="98"/>
      <c r="E71" s="176"/>
      <c r="F71" s="176"/>
      <c r="G71" s="176"/>
      <c r="H71" s="176"/>
      <c r="I71" s="176"/>
      <c r="J71" s="79"/>
      <c r="K71" s="125"/>
      <c r="L71" s="79"/>
      <c r="M71" s="79"/>
      <c r="N71" s="147"/>
      <c r="O71" s="149"/>
      <c r="P71" s="148"/>
      <c r="Q71" s="149"/>
      <c r="R71" s="29"/>
      <c r="S71" s="29"/>
      <c r="T71" s="29"/>
    </row>
    <row r="72" spans="1:24" ht="33.75" customHeight="1" x14ac:dyDescent="0.2">
      <c r="A72" s="70">
        <v>4</v>
      </c>
      <c r="B72" s="49" t="s">
        <v>68</v>
      </c>
      <c r="C72" s="112"/>
      <c r="D72" s="98"/>
      <c r="E72" s="176"/>
      <c r="F72" s="176"/>
      <c r="G72" s="176"/>
      <c r="H72" s="176"/>
      <c r="I72" s="176"/>
      <c r="J72" s="79"/>
      <c r="K72" s="125"/>
      <c r="L72" s="79"/>
      <c r="M72" s="79"/>
      <c r="N72" s="147"/>
      <c r="O72" s="149"/>
      <c r="P72" s="148"/>
      <c r="Q72" s="149"/>
      <c r="R72" s="29"/>
      <c r="S72" s="29"/>
      <c r="T72" s="29"/>
    </row>
    <row r="73" spans="1:24" ht="42.75" x14ac:dyDescent="0.2">
      <c r="A73" s="70">
        <v>5</v>
      </c>
      <c r="B73" s="49" t="s">
        <v>81</v>
      </c>
      <c r="C73" s="112"/>
      <c r="D73" s="98"/>
      <c r="E73" s="176"/>
      <c r="F73" s="176"/>
      <c r="G73" s="176"/>
      <c r="H73" s="176"/>
      <c r="I73" s="176"/>
      <c r="J73" s="79"/>
      <c r="K73" s="125"/>
      <c r="L73" s="79"/>
      <c r="M73" s="79"/>
      <c r="N73" s="147"/>
      <c r="O73" s="149"/>
      <c r="P73" s="148"/>
      <c r="Q73" s="149"/>
      <c r="R73" s="29"/>
      <c r="S73" s="29"/>
      <c r="T73" s="29"/>
    </row>
    <row r="74" spans="1:24" ht="28.5" x14ac:dyDescent="0.2">
      <c r="A74" s="54">
        <v>6</v>
      </c>
      <c r="B74" s="129" t="s">
        <v>137</v>
      </c>
      <c r="C74" s="112"/>
      <c r="D74" s="98"/>
      <c r="E74" s="176"/>
      <c r="F74" s="176"/>
      <c r="G74" s="176"/>
      <c r="H74" s="176"/>
      <c r="I74" s="176"/>
      <c r="K74" s="29"/>
      <c r="N74" s="147"/>
      <c r="O74" s="146"/>
      <c r="P74" s="148"/>
      <c r="Q74" s="29"/>
      <c r="R74" s="29"/>
      <c r="S74" s="29"/>
      <c r="T74" s="29"/>
    </row>
    <row r="75" spans="1:24" x14ac:dyDescent="0.2">
      <c r="A75" s="54">
        <v>7</v>
      </c>
      <c r="B75" s="46"/>
      <c r="C75" s="10"/>
      <c r="D75" s="98"/>
      <c r="E75" s="176"/>
      <c r="F75" s="176"/>
      <c r="G75" s="176"/>
      <c r="H75" s="176"/>
      <c r="I75" s="176"/>
      <c r="N75" s="147"/>
      <c r="O75" s="146"/>
      <c r="P75" s="148"/>
      <c r="Q75" s="29"/>
      <c r="R75" s="29"/>
      <c r="S75" s="29"/>
      <c r="T75" s="29"/>
    </row>
    <row r="76" spans="1:24" x14ac:dyDescent="0.2">
      <c r="A76" s="54">
        <v>8</v>
      </c>
      <c r="B76" s="46"/>
      <c r="C76" s="10"/>
      <c r="D76" s="98"/>
      <c r="E76" s="176"/>
      <c r="F76" s="176"/>
      <c r="G76" s="176"/>
      <c r="H76" s="176"/>
      <c r="I76" s="176"/>
      <c r="N76" s="147"/>
      <c r="O76" s="146"/>
      <c r="P76" s="148"/>
      <c r="Q76" s="29"/>
      <c r="R76" s="29"/>
      <c r="S76" s="29"/>
      <c r="T76" s="29"/>
    </row>
    <row r="77" spans="1:24" x14ac:dyDescent="0.2">
      <c r="A77" s="54">
        <v>9</v>
      </c>
      <c r="B77" s="46"/>
      <c r="C77" s="10"/>
      <c r="D77" s="98"/>
      <c r="E77" s="163"/>
      <c r="F77" s="164"/>
      <c r="G77" s="164"/>
      <c r="H77" s="164"/>
      <c r="I77" s="165"/>
      <c r="N77" s="146"/>
      <c r="O77" s="146"/>
      <c r="P77" s="146"/>
      <c r="Q77" s="29"/>
      <c r="R77" s="29"/>
      <c r="S77" s="29"/>
      <c r="T77" s="29"/>
    </row>
    <row r="78" spans="1:24" x14ac:dyDescent="0.2">
      <c r="A78" s="54">
        <v>10</v>
      </c>
      <c r="B78" s="46"/>
      <c r="C78" s="10"/>
      <c r="D78" s="98"/>
      <c r="E78" s="176"/>
      <c r="F78" s="176"/>
      <c r="G78" s="176"/>
      <c r="H78" s="176"/>
      <c r="I78" s="176"/>
      <c r="N78" s="146"/>
      <c r="O78" s="146"/>
      <c r="P78" s="149"/>
      <c r="Q78" s="149"/>
      <c r="R78" s="29"/>
      <c r="S78" s="142"/>
      <c r="T78" s="29"/>
    </row>
    <row r="79" spans="1:24" ht="15" x14ac:dyDescent="0.25">
      <c r="A79" s="1" t="s">
        <v>150</v>
      </c>
      <c r="B79" s="2" t="s">
        <v>131</v>
      </c>
      <c r="C79" s="2"/>
      <c r="D79" s="99">
        <f>SUM(D65:D78)</f>
        <v>17223</v>
      </c>
      <c r="E79" s="25"/>
      <c r="F79" s="25"/>
      <c r="G79" s="25"/>
      <c r="H79" s="25"/>
      <c r="N79" s="146"/>
      <c r="O79" s="146"/>
      <c r="P79" s="146"/>
      <c r="Q79" s="29"/>
      <c r="R79" s="29"/>
      <c r="S79" s="29"/>
      <c r="T79" s="29"/>
    </row>
    <row r="80" spans="1:24" ht="15" x14ac:dyDescent="0.25">
      <c r="B80" s="124" t="s">
        <v>132</v>
      </c>
      <c r="C80" s="71"/>
      <c r="D80" s="99">
        <f>K59</f>
        <v>25359.930989999935</v>
      </c>
      <c r="E80" s="25"/>
      <c r="F80" s="25"/>
      <c r="G80" s="25"/>
      <c r="H80" s="25"/>
      <c r="N80" s="146"/>
      <c r="O80" s="146"/>
      <c r="P80" s="146"/>
      <c r="Q80" s="29"/>
      <c r="R80" s="29"/>
      <c r="S80" s="29"/>
      <c r="T80" s="29"/>
    </row>
    <row r="81" spans="1:19" ht="15" x14ac:dyDescent="0.25">
      <c r="B81" s="71" t="s">
        <v>24</v>
      </c>
      <c r="C81" s="71"/>
      <c r="D81" s="100">
        <f>D79-D80</f>
        <v>-8136.9309899999353</v>
      </c>
      <c r="N81" s="146"/>
      <c r="O81" s="146"/>
      <c r="P81" s="146"/>
    </row>
    <row r="82" spans="1:19" ht="15.75" thickBot="1" x14ac:dyDescent="0.3">
      <c r="B82" s="135" t="s">
        <v>73</v>
      </c>
      <c r="C82" s="72"/>
      <c r="D82" s="61">
        <f>IF(ISERROR(D81/J59),0,D81/J59)</f>
        <v>-3.0235252423160982E-3</v>
      </c>
      <c r="E82" s="104" t="str">
        <f>IF(AND(D82&lt;0.01,D82&gt;-0.01),"","Unresolved differences of greater than + or - 1% should be explained")</f>
        <v/>
      </c>
      <c r="G82" s="79"/>
      <c r="H82" s="35"/>
      <c r="I82" s="35"/>
      <c r="J82" s="35"/>
      <c r="K82" s="35"/>
      <c r="L82" s="35"/>
      <c r="N82" s="146"/>
      <c r="O82" s="146"/>
      <c r="P82" s="146"/>
    </row>
    <row r="83" spans="1:19" ht="15.75" thickTop="1" x14ac:dyDescent="0.25">
      <c r="B83" s="2"/>
      <c r="C83" s="56"/>
      <c r="D83" s="59"/>
      <c r="G83" s="79"/>
      <c r="N83" s="146"/>
      <c r="O83" s="146"/>
      <c r="P83" s="146"/>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3">
    <mergeCell ref="O45:Q45"/>
    <mergeCell ref="E64:I64"/>
    <mergeCell ref="X45:Z45"/>
    <mergeCell ref="E77:I77"/>
    <mergeCell ref="E78:I78"/>
    <mergeCell ref="E71:I71"/>
    <mergeCell ref="E72:I72"/>
    <mergeCell ref="E73:I73"/>
    <mergeCell ref="E74:I74"/>
    <mergeCell ref="E75:I75"/>
    <mergeCell ref="E76:I76"/>
    <mergeCell ref="R45:T45"/>
    <mergeCell ref="U45:W45"/>
    <mergeCell ref="E65:I65"/>
    <mergeCell ref="E70:I70"/>
    <mergeCell ref="E66:I66"/>
    <mergeCell ref="E69:I69"/>
    <mergeCell ref="A65:C65"/>
    <mergeCell ref="B21:C21"/>
    <mergeCell ref="E21:F21"/>
    <mergeCell ref="B27:H27"/>
    <mergeCell ref="E67:I67"/>
    <mergeCell ref="E68:I68"/>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48"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zoomScaleNormal="100" zoomScaleSheetLayoutView="100" workbookViewId="0">
      <selection activeCell="W108" sqref="A1:W10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8.28515625" style="1" customWidth="1"/>
    <col min="19" max="19" width="11" style="1" customWidth="1"/>
    <col min="20" max="20" width="14.42578125"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2014</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9" t="s">
        <v>25</v>
      </c>
      <c r="C21" s="169"/>
      <c r="D21" s="24">
        <v>2014</v>
      </c>
      <c r="E21" s="170"/>
      <c r="F21" s="171"/>
      <c r="G21" s="79"/>
      <c r="H21" s="79"/>
      <c r="I21" s="79"/>
      <c r="J21" s="79"/>
      <c r="K21" s="79"/>
      <c r="L21" s="79"/>
      <c r="M21" s="79"/>
      <c r="N21" s="79"/>
      <c r="O21" s="79"/>
      <c r="P21" s="79"/>
      <c r="Q21" s="79"/>
    </row>
    <row r="22" spans="1:24" ht="15" thickBot="1" x14ac:dyDescent="0.25">
      <c r="A22" s="4"/>
      <c r="B22" s="5" t="s">
        <v>3</v>
      </c>
      <c r="C22" s="5" t="s">
        <v>2</v>
      </c>
      <c r="D22" s="117">
        <f>D23+D24</f>
        <v>105946615</v>
      </c>
      <c r="E22" s="6" t="s">
        <v>0</v>
      </c>
      <c r="F22" s="7">
        <v>1</v>
      </c>
      <c r="G22" s="79"/>
      <c r="H22" s="79"/>
      <c r="I22" s="79"/>
      <c r="J22" s="79"/>
      <c r="K22" s="79"/>
      <c r="L22" s="79"/>
      <c r="M22" s="79"/>
      <c r="N22" s="79"/>
      <c r="O22" s="79"/>
      <c r="P22" s="79"/>
      <c r="Q22" s="79"/>
    </row>
    <row r="23" spans="1:24" x14ac:dyDescent="0.2">
      <c r="B23" s="5" t="s">
        <v>7</v>
      </c>
      <c r="C23" s="5" t="s">
        <v>1</v>
      </c>
      <c r="D23" s="118">
        <f>64627274</f>
        <v>64627274</v>
      </c>
      <c r="E23" s="6" t="s">
        <v>0</v>
      </c>
      <c r="F23" s="8">
        <f>IFERROR(D23/$D$22,0)</f>
        <v>0.60999847895093207</v>
      </c>
    </row>
    <row r="24" spans="1:24" ht="15" thickBot="1" x14ac:dyDescent="0.25">
      <c r="B24" s="5" t="s">
        <v>8</v>
      </c>
      <c r="C24" s="5" t="s">
        <v>6</v>
      </c>
      <c r="D24" s="117">
        <f>D25+D26</f>
        <v>41319341</v>
      </c>
      <c r="E24" s="6" t="s">
        <v>0</v>
      </c>
      <c r="F24" s="8">
        <f>IFERROR(D24/$D$22,0)</f>
        <v>0.39000152104906799</v>
      </c>
    </row>
    <row r="25" spans="1:24" x14ac:dyDescent="0.2">
      <c r="B25" s="5" t="s">
        <v>9</v>
      </c>
      <c r="C25" s="5" t="s">
        <v>4</v>
      </c>
      <c r="D25" s="118">
        <v>0</v>
      </c>
      <c r="E25" s="6" t="s">
        <v>0</v>
      </c>
      <c r="F25" s="8">
        <f>IFERROR(D25/$D$22,0)</f>
        <v>0</v>
      </c>
    </row>
    <row r="26" spans="1:24" x14ac:dyDescent="0.2">
      <c r="B26" s="5" t="s">
        <v>61</v>
      </c>
      <c r="C26" s="5" t="s">
        <v>5</v>
      </c>
      <c r="D26" s="119">
        <f>22436430+18882911</f>
        <v>41319341</v>
      </c>
      <c r="E26" s="6" t="s">
        <v>0</v>
      </c>
      <c r="F26" s="8">
        <f>IFERROR(D26/$D$22,0)</f>
        <v>0.39000152104906799</v>
      </c>
      <c r="G26" s="29"/>
      <c r="H26" s="29"/>
    </row>
    <row r="27" spans="1:24" ht="34.5" customHeight="1" x14ac:dyDescent="0.2">
      <c r="B27" s="172" t="s">
        <v>77</v>
      </c>
      <c r="C27" s="172"/>
      <c r="D27" s="172"/>
      <c r="E27" s="172"/>
      <c r="F27" s="172"/>
      <c r="G27" s="173"/>
      <c r="H27" s="173"/>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4">
        <v>2016</v>
      </c>
      <c r="P45" s="174"/>
      <c r="Q45" s="174"/>
      <c r="R45" s="174">
        <v>2015</v>
      </c>
      <c r="S45" s="174"/>
      <c r="T45" s="174"/>
      <c r="U45" s="174">
        <v>2014</v>
      </c>
      <c r="V45" s="174"/>
      <c r="W45" s="17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12437823-7908489</f>
        <v>4529334</v>
      </c>
      <c r="D47" s="94"/>
      <c r="E47" s="60"/>
      <c r="F47" s="51">
        <f>C47-D47+E47</f>
        <v>4529334</v>
      </c>
      <c r="G47" s="111">
        <f t="shared" ref="G47:G58" si="0">+U47</f>
        <v>3.6260000000000001E-2</v>
      </c>
      <c r="H47" s="15">
        <f>F47*G47</f>
        <v>164233.65084000002</v>
      </c>
      <c r="I47" s="111">
        <f>+W47</f>
        <v>1.261E-2</v>
      </c>
      <c r="J47" s="17">
        <f>F47*I47</f>
        <v>57114.901740000001</v>
      </c>
      <c r="K47" s="16">
        <f>J47-H47</f>
        <v>-107118.74910000002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10453495-6500508</f>
        <v>3952987</v>
      </c>
      <c r="D48" s="94"/>
      <c r="E48" s="60"/>
      <c r="F48" s="51">
        <f t="shared" ref="F48:F58" si="1">C48-D48+E48</f>
        <v>3952987</v>
      </c>
      <c r="G48" s="111">
        <f t="shared" si="0"/>
        <v>2.231E-2</v>
      </c>
      <c r="H48" s="15">
        <f t="shared" ref="H48:H58" si="2">F48*G48</f>
        <v>88191.139970000004</v>
      </c>
      <c r="I48" s="111">
        <f t="shared" ref="I48:I58" si="3">+W48</f>
        <v>1.3300000000000001E-2</v>
      </c>
      <c r="J48" s="17">
        <f t="shared" ref="J48:J58" si="4">F48*I48</f>
        <v>52574.727100000004</v>
      </c>
      <c r="K48" s="16">
        <f t="shared" ref="K48:K58" si="5">J48-H48</f>
        <v>-35616.41287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10328528-6199550</f>
        <v>4128978</v>
      </c>
      <c r="D49" s="94"/>
      <c r="E49" s="60"/>
      <c r="F49" s="51">
        <f t="shared" si="1"/>
        <v>4128978</v>
      </c>
      <c r="G49" s="111">
        <f t="shared" si="0"/>
        <v>1.103E-2</v>
      </c>
      <c r="H49" s="15">
        <f t="shared" si="2"/>
        <v>45542.627339999999</v>
      </c>
      <c r="I49" s="111">
        <f t="shared" si="3"/>
        <v>-2.7E-4</v>
      </c>
      <c r="J49" s="17">
        <f t="shared" si="4"/>
        <v>-1114.8240599999999</v>
      </c>
      <c r="K49" s="16">
        <f t="shared" si="5"/>
        <v>-46657.451399999998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8454774-4912063</f>
        <v>3542711</v>
      </c>
      <c r="D50" s="94"/>
      <c r="E50" s="60"/>
      <c r="F50" s="51">
        <f t="shared" si="1"/>
        <v>3542711</v>
      </c>
      <c r="G50" s="111">
        <f t="shared" si="0"/>
        <v>-9.6500000000000006E-3</v>
      </c>
      <c r="H50" s="15">
        <f t="shared" si="2"/>
        <v>-34187.16115</v>
      </c>
      <c r="I50" s="111">
        <f t="shared" si="3"/>
        <v>5.1979999999999998E-2</v>
      </c>
      <c r="J50" s="17">
        <f t="shared" si="4"/>
        <v>184150.11778</v>
      </c>
      <c r="K50" s="16">
        <f t="shared" si="5"/>
        <v>218337.27893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8050601-4605172</f>
        <v>3445429</v>
      </c>
      <c r="D51" s="94"/>
      <c r="E51" s="60"/>
      <c r="F51" s="51">
        <f t="shared" si="1"/>
        <v>3445429</v>
      </c>
      <c r="G51" s="111">
        <f t="shared" si="0"/>
        <v>5.3560000000000003E-2</v>
      </c>
      <c r="H51" s="15">
        <f t="shared" si="2"/>
        <v>184537.17724000002</v>
      </c>
      <c r="I51" s="111">
        <f t="shared" si="3"/>
        <v>7.1959999999999996E-2</v>
      </c>
      <c r="J51" s="17">
        <f t="shared" si="4"/>
        <v>247933.07084</v>
      </c>
      <c r="K51" s="16">
        <f t="shared" si="5"/>
        <v>63395.893599999981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7699204-4352753</f>
        <v>3346451</v>
      </c>
      <c r="D52" s="94"/>
      <c r="E52" s="60"/>
      <c r="F52" s="51">
        <f t="shared" si="1"/>
        <v>3346451</v>
      </c>
      <c r="G52" s="111">
        <f t="shared" si="0"/>
        <v>7.1900000000000006E-2</v>
      </c>
      <c r="H52" s="15">
        <f t="shared" si="2"/>
        <v>240609.82690000001</v>
      </c>
      <c r="I52" s="111">
        <f t="shared" si="3"/>
        <v>6.0249999999999998E-2</v>
      </c>
      <c r="J52" s="17">
        <f t="shared" si="4"/>
        <v>201623.67275</v>
      </c>
      <c r="K52" s="16">
        <f t="shared" si="5"/>
        <v>-38986.154150000017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8384454-4838545</f>
        <v>3545909</v>
      </c>
      <c r="D53" s="94"/>
      <c r="E53" s="60"/>
      <c r="F53" s="51">
        <f t="shared" si="1"/>
        <v>3545909</v>
      </c>
      <c r="G53" s="111">
        <f t="shared" si="0"/>
        <v>5.9760000000000001E-2</v>
      </c>
      <c r="H53" s="15">
        <f t="shared" si="2"/>
        <v>211903.52184</v>
      </c>
      <c r="I53" s="111">
        <f t="shared" si="3"/>
        <v>6.2560000000000004E-2</v>
      </c>
      <c r="J53" s="17">
        <f t="shared" si="4"/>
        <v>221832.06704000002</v>
      </c>
      <c r="K53" s="16">
        <f t="shared" si="5"/>
        <v>9928.5452000000223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8426828-4908946</f>
        <v>3517882</v>
      </c>
      <c r="D54" s="94"/>
      <c r="E54" s="60"/>
      <c r="F54" s="51">
        <f t="shared" si="1"/>
        <v>3517882</v>
      </c>
      <c r="G54" s="111">
        <f t="shared" si="0"/>
        <v>6.1079999999999995E-2</v>
      </c>
      <c r="H54" s="15">
        <f t="shared" si="2"/>
        <v>214872.23255999997</v>
      </c>
      <c r="I54" s="111">
        <f t="shared" si="3"/>
        <v>6.7610000000000003E-2</v>
      </c>
      <c r="J54" s="17">
        <f t="shared" si="4"/>
        <v>237844.00202000001</v>
      </c>
      <c r="K54" s="16">
        <f t="shared" si="5"/>
        <v>22971.76946000004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7444274-4179162</f>
        <v>3265112</v>
      </c>
      <c r="D55" s="94"/>
      <c r="E55" s="60"/>
      <c r="F55" s="51">
        <f t="shared" si="1"/>
        <v>3265112</v>
      </c>
      <c r="G55" s="111">
        <f t="shared" si="0"/>
        <v>8.0489999999999992E-2</v>
      </c>
      <c r="H55" s="15">
        <f t="shared" si="2"/>
        <v>262808.86487999995</v>
      </c>
      <c r="I55" s="111">
        <f t="shared" si="3"/>
        <v>7.9629999999999992E-2</v>
      </c>
      <c r="J55" s="17">
        <f t="shared" si="4"/>
        <v>260000.86855999997</v>
      </c>
      <c r="K55" s="16">
        <f t="shared" si="5"/>
        <v>-2807.9963199999765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8074846-4581335</f>
        <v>3493511</v>
      </c>
      <c r="D56" s="94"/>
      <c r="E56" s="60"/>
      <c r="F56" s="51">
        <f t="shared" si="1"/>
        <v>3493511</v>
      </c>
      <c r="G56" s="111">
        <f t="shared" si="0"/>
        <v>7.492E-2</v>
      </c>
      <c r="H56" s="15">
        <f t="shared" si="2"/>
        <v>261733.84411999999</v>
      </c>
      <c r="I56" s="111">
        <f t="shared" si="3"/>
        <v>0.10014000000000001</v>
      </c>
      <c r="J56" s="17">
        <f t="shared" si="4"/>
        <v>349840.19154000003</v>
      </c>
      <c r="K56" s="16">
        <f t="shared" si="5"/>
        <v>88106.347420000035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9712227-5856830</f>
        <v>3855397</v>
      </c>
      <c r="D57" s="94"/>
      <c r="E57" s="60"/>
      <c r="F57" s="51">
        <f t="shared" si="1"/>
        <v>3855397</v>
      </c>
      <c r="G57" s="111">
        <f t="shared" si="0"/>
        <v>9.9010000000000001E-2</v>
      </c>
      <c r="H57" s="15">
        <f t="shared" si="2"/>
        <v>381722.85697000002</v>
      </c>
      <c r="I57" s="111">
        <f t="shared" si="3"/>
        <v>8.231999999999999E-2</v>
      </c>
      <c r="J57" s="17">
        <f t="shared" si="4"/>
        <v>317376.28103999997</v>
      </c>
      <c r="K57" s="16">
        <f t="shared" si="5"/>
        <v>-64346.57593000005</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f>10716834-6605852</f>
        <v>4110982</v>
      </c>
      <c r="D58" s="94"/>
      <c r="E58" s="60"/>
      <c r="F58" s="51">
        <f t="shared" si="1"/>
        <v>4110982</v>
      </c>
      <c r="G58" s="111">
        <f t="shared" si="0"/>
        <v>7.3180000000000009E-2</v>
      </c>
      <c r="H58" s="15">
        <f t="shared" si="2"/>
        <v>300841.66276000004</v>
      </c>
      <c r="I58" s="111">
        <f t="shared" si="3"/>
        <v>7.4439999999999992E-2</v>
      </c>
      <c r="J58" s="17">
        <f t="shared" si="4"/>
        <v>306021.50007999997</v>
      </c>
      <c r="K58" s="16">
        <f t="shared" si="5"/>
        <v>5179.8373199999332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 t="shared" ref="C59:H59" si="6">SUM(C47:C58)</f>
        <v>44734683</v>
      </c>
      <c r="D59" s="97">
        <f t="shared" si="6"/>
        <v>0</v>
      </c>
      <c r="E59" s="97">
        <f t="shared" si="6"/>
        <v>0</v>
      </c>
      <c r="F59" s="97">
        <f t="shared" si="6"/>
        <v>44734683</v>
      </c>
      <c r="G59" s="141">
        <f t="shared" si="6"/>
        <v>0.63385000000000002</v>
      </c>
      <c r="H59" s="38">
        <f t="shared" si="6"/>
        <v>2322810.2442700001</v>
      </c>
      <c r="I59" s="141">
        <f>SUM(I47:I58)</f>
        <v>0.67652999999999996</v>
      </c>
      <c r="J59" s="38">
        <f>SUM(J47:J58)</f>
        <v>2435196.5764299999</v>
      </c>
      <c r="K59" s="39">
        <f>SUM(K47:K58)</f>
        <v>112386.33215999996</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F61" s="146"/>
      <c r="G61" s="146"/>
      <c r="H61" s="147"/>
      <c r="J61" s="123"/>
      <c r="N61" s="29"/>
      <c r="O61" s="30"/>
      <c r="P61" s="30"/>
      <c r="Q61" s="30"/>
      <c r="R61" s="30"/>
      <c r="S61" s="30"/>
      <c r="T61" s="30"/>
      <c r="U61" s="30"/>
      <c r="V61" s="30"/>
      <c r="W61" s="30"/>
    </row>
    <row r="62" spans="1:24" ht="15" x14ac:dyDescent="0.25">
      <c r="A62" s="1" t="s">
        <v>143</v>
      </c>
      <c r="B62" s="47" t="s">
        <v>136</v>
      </c>
      <c r="C62" s="2"/>
      <c r="F62" s="146"/>
      <c r="G62" s="146"/>
      <c r="H62" s="157"/>
      <c r="J62" s="121"/>
      <c r="K62" s="115"/>
      <c r="N62" s="146"/>
      <c r="O62" s="148"/>
      <c r="P62" s="148"/>
      <c r="Q62" s="148"/>
      <c r="R62" s="148"/>
      <c r="S62" s="148"/>
      <c r="T62" s="148"/>
      <c r="U62" s="148"/>
      <c r="V62" s="30"/>
      <c r="W62" s="30"/>
    </row>
    <row r="63" spans="1:24" ht="15" x14ac:dyDescent="0.25">
      <c r="B63" s="3"/>
      <c r="C63" s="2"/>
      <c r="K63" s="123"/>
      <c r="N63" s="155"/>
      <c r="O63" s="146"/>
      <c r="P63" s="146"/>
      <c r="Q63" s="146"/>
      <c r="R63" s="146"/>
      <c r="S63" s="146"/>
      <c r="T63" s="146"/>
      <c r="U63" s="146"/>
      <c r="V63" s="29"/>
      <c r="W63" s="29"/>
    </row>
    <row r="64" spans="1:24" ht="45" x14ac:dyDescent="0.25">
      <c r="A64" s="11"/>
      <c r="B64" s="138" t="s">
        <v>45</v>
      </c>
      <c r="C64" s="48" t="s">
        <v>67</v>
      </c>
      <c r="D64" s="48" t="s">
        <v>121</v>
      </c>
      <c r="E64" s="175" t="s">
        <v>44</v>
      </c>
      <c r="F64" s="175"/>
      <c r="G64" s="175"/>
      <c r="H64" s="175"/>
      <c r="I64" s="175"/>
      <c r="K64" s="121"/>
      <c r="N64" s="151"/>
      <c r="O64" s="146"/>
      <c r="P64" s="148"/>
      <c r="Q64" s="146"/>
      <c r="R64" s="147"/>
      <c r="S64" s="146"/>
      <c r="T64" s="154"/>
      <c r="U64" s="146"/>
      <c r="V64" s="29"/>
      <c r="W64" s="29"/>
      <c r="X64" s="29"/>
    </row>
    <row r="65" spans="1:24" ht="30.75" customHeight="1" x14ac:dyDescent="0.25">
      <c r="A65" s="166" t="s">
        <v>134</v>
      </c>
      <c r="B65" s="167"/>
      <c r="C65" s="168"/>
      <c r="D65" s="127">
        <v>157265</v>
      </c>
      <c r="E65" s="177"/>
      <c r="F65" s="178"/>
      <c r="G65" s="178"/>
      <c r="H65" s="178"/>
      <c r="I65" s="179"/>
      <c r="K65" s="121"/>
      <c r="N65" s="148"/>
      <c r="O65" s="146"/>
      <c r="P65" s="148"/>
      <c r="Q65" s="146"/>
      <c r="R65" s="147"/>
      <c r="S65" s="146"/>
      <c r="T65" s="154"/>
      <c r="U65" s="146"/>
      <c r="V65" s="29"/>
      <c r="W65" s="29"/>
      <c r="X65" s="29"/>
    </row>
    <row r="66" spans="1:24" ht="28.5" x14ac:dyDescent="0.2">
      <c r="A66" s="70" t="s">
        <v>51</v>
      </c>
      <c r="B66" s="49" t="s">
        <v>62</v>
      </c>
      <c r="C66" s="112"/>
      <c r="D66" s="98"/>
      <c r="E66" s="176"/>
      <c r="F66" s="176"/>
      <c r="G66" s="176"/>
      <c r="H66" s="176"/>
      <c r="I66" s="176"/>
      <c r="K66" s="121"/>
      <c r="N66" s="148"/>
      <c r="O66" s="146"/>
      <c r="P66" s="148"/>
      <c r="Q66" s="146"/>
      <c r="R66" s="147"/>
      <c r="S66" s="146"/>
      <c r="T66" s="154"/>
      <c r="U66" s="146"/>
      <c r="V66" s="29"/>
      <c r="W66" s="29"/>
      <c r="X66" s="29"/>
    </row>
    <row r="67" spans="1:24" ht="28.5" x14ac:dyDescent="0.2">
      <c r="A67" s="70" t="s">
        <v>52</v>
      </c>
      <c r="B67" s="49" t="s">
        <v>79</v>
      </c>
      <c r="C67" s="113"/>
      <c r="D67" s="114">
        <v>-74609</v>
      </c>
      <c r="E67" s="163" t="s">
        <v>169</v>
      </c>
      <c r="F67" s="164"/>
      <c r="G67" s="164"/>
      <c r="H67" s="164"/>
      <c r="I67" s="165"/>
      <c r="J67" s="79"/>
      <c r="K67" s="122"/>
      <c r="L67" s="79"/>
      <c r="M67" s="79"/>
      <c r="N67" s="148"/>
      <c r="O67" s="149"/>
      <c r="P67" s="148"/>
      <c r="Q67" s="149"/>
      <c r="R67" s="147"/>
      <c r="S67" s="146"/>
      <c r="T67" s="154"/>
      <c r="U67" s="146"/>
    </row>
    <row r="68" spans="1:24" ht="28.5" x14ac:dyDescent="0.2">
      <c r="A68" s="70" t="s">
        <v>65</v>
      </c>
      <c r="B68" s="49" t="s">
        <v>64</v>
      </c>
      <c r="C68" s="112"/>
      <c r="D68" s="114"/>
      <c r="E68" s="176"/>
      <c r="F68" s="176"/>
      <c r="G68" s="176"/>
      <c r="H68" s="176"/>
      <c r="I68" s="176"/>
      <c r="J68" s="79"/>
      <c r="K68" s="122"/>
      <c r="L68" s="79"/>
      <c r="M68" s="79"/>
      <c r="N68" s="148"/>
      <c r="O68" s="149"/>
      <c r="P68" s="148"/>
      <c r="Q68" s="149"/>
      <c r="R68" s="147"/>
      <c r="S68" s="146"/>
      <c r="T68" s="154"/>
      <c r="U68" s="146"/>
    </row>
    <row r="69" spans="1:24" ht="28.5" x14ac:dyDescent="0.2">
      <c r="A69" s="70" t="s">
        <v>66</v>
      </c>
      <c r="B69" s="49" t="s">
        <v>63</v>
      </c>
      <c r="C69" s="113"/>
      <c r="D69" s="114">
        <v>16685</v>
      </c>
      <c r="E69" s="163" t="s">
        <v>164</v>
      </c>
      <c r="F69" s="164"/>
      <c r="G69" s="164"/>
      <c r="H69" s="164"/>
      <c r="I69" s="165"/>
      <c r="J69" s="79"/>
      <c r="K69" s="125"/>
      <c r="L69" s="79"/>
      <c r="M69" s="79"/>
      <c r="N69" s="148"/>
      <c r="O69" s="149"/>
      <c r="P69" s="148"/>
      <c r="Q69" s="149"/>
      <c r="R69" s="147"/>
      <c r="S69" s="146"/>
      <c r="T69" s="154"/>
      <c r="U69" s="146"/>
    </row>
    <row r="70" spans="1:24" ht="28.5" x14ac:dyDescent="0.2">
      <c r="A70" s="70" t="s">
        <v>69</v>
      </c>
      <c r="B70" s="49" t="s">
        <v>71</v>
      </c>
      <c r="C70" s="112"/>
      <c r="D70" s="98"/>
      <c r="E70" s="176"/>
      <c r="F70" s="176"/>
      <c r="G70" s="176"/>
      <c r="H70" s="176"/>
      <c r="I70" s="176"/>
      <c r="J70" s="79"/>
      <c r="K70" s="125"/>
      <c r="L70" s="79"/>
      <c r="M70" s="79"/>
      <c r="N70" s="148"/>
      <c r="O70" s="149"/>
      <c r="P70" s="148"/>
      <c r="Q70" s="149"/>
      <c r="R70" s="147"/>
      <c r="S70" s="146"/>
      <c r="T70" s="154"/>
      <c r="U70" s="146"/>
    </row>
    <row r="71" spans="1:24" ht="28.5" x14ac:dyDescent="0.2">
      <c r="A71" s="70" t="s">
        <v>70</v>
      </c>
      <c r="B71" s="49" t="s">
        <v>72</v>
      </c>
      <c r="C71" s="112"/>
      <c r="D71" s="98"/>
      <c r="E71" s="176"/>
      <c r="F71" s="176"/>
      <c r="G71" s="176"/>
      <c r="H71" s="176"/>
      <c r="I71" s="176"/>
      <c r="J71" s="79"/>
      <c r="K71" s="125"/>
      <c r="L71" s="79"/>
      <c r="M71" s="79"/>
      <c r="N71" s="148"/>
      <c r="O71" s="149"/>
      <c r="P71" s="148"/>
      <c r="Q71" s="149"/>
      <c r="R71" s="147"/>
      <c r="S71" s="146"/>
      <c r="T71" s="154"/>
      <c r="U71" s="146"/>
    </row>
    <row r="72" spans="1:24" ht="33.75" customHeight="1" x14ac:dyDescent="0.2">
      <c r="A72" s="70">
        <v>4</v>
      </c>
      <c r="B72" s="49" t="s">
        <v>68</v>
      </c>
      <c r="C72" s="112"/>
      <c r="D72" s="98"/>
      <c r="E72" s="176"/>
      <c r="F72" s="176"/>
      <c r="G72" s="176"/>
      <c r="H72" s="176"/>
      <c r="I72" s="176"/>
      <c r="J72" s="79"/>
      <c r="K72" s="125"/>
      <c r="L72" s="79"/>
      <c r="M72" s="79"/>
      <c r="N72" s="148"/>
      <c r="O72" s="149"/>
      <c r="P72" s="148"/>
      <c r="Q72" s="149"/>
      <c r="R72" s="147"/>
      <c r="S72" s="146"/>
      <c r="T72" s="154"/>
      <c r="U72" s="146"/>
    </row>
    <row r="73" spans="1:24" ht="42.75" x14ac:dyDescent="0.2">
      <c r="A73" s="70">
        <v>5</v>
      </c>
      <c r="B73" s="49" t="s">
        <v>81</v>
      </c>
      <c r="C73" s="112"/>
      <c r="D73" s="98"/>
      <c r="E73" s="176"/>
      <c r="F73" s="176"/>
      <c r="G73" s="176"/>
      <c r="H73" s="176"/>
      <c r="I73" s="176"/>
      <c r="J73" s="79"/>
      <c r="K73" s="125"/>
      <c r="L73" s="79"/>
      <c r="M73" s="79"/>
      <c r="N73" s="148"/>
      <c r="O73" s="149"/>
      <c r="P73" s="148"/>
      <c r="Q73" s="149"/>
      <c r="R73" s="147"/>
      <c r="S73" s="146"/>
      <c r="T73" s="154"/>
      <c r="U73" s="146"/>
    </row>
    <row r="74" spans="1:24" ht="28.5" x14ac:dyDescent="0.2">
      <c r="A74" s="54">
        <v>6</v>
      </c>
      <c r="B74" s="129" t="s">
        <v>137</v>
      </c>
      <c r="C74" s="112"/>
      <c r="D74" s="98"/>
      <c r="E74" s="176"/>
      <c r="F74" s="176"/>
      <c r="G74" s="176"/>
      <c r="H74" s="176"/>
      <c r="I74" s="176"/>
      <c r="K74" s="29"/>
      <c r="N74" s="148"/>
      <c r="O74" s="146"/>
      <c r="P74" s="148"/>
      <c r="Q74" s="146"/>
      <c r="R74" s="147"/>
      <c r="S74" s="146"/>
      <c r="T74" s="154"/>
      <c r="U74" s="146"/>
    </row>
    <row r="75" spans="1:24" x14ac:dyDescent="0.2">
      <c r="A75" s="54">
        <v>7</v>
      </c>
      <c r="B75" s="46"/>
      <c r="C75" s="10"/>
      <c r="D75" s="98"/>
      <c r="E75" s="176"/>
      <c r="F75" s="176"/>
      <c r="G75" s="176"/>
      <c r="H75" s="176"/>
      <c r="I75" s="176"/>
      <c r="N75" s="148"/>
      <c r="O75" s="146"/>
      <c r="P75" s="148"/>
      <c r="Q75" s="146"/>
      <c r="R75" s="147"/>
      <c r="S75" s="146"/>
      <c r="T75" s="154"/>
      <c r="U75" s="146"/>
    </row>
    <row r="76" spans="1:24" x14ac:dyDescent="0.2">
      <c r="A76" s="54">
        <v>8</v>
      </c>
      <c r="B76" s="46"/>
      <c r="C76" s="10"/>
      <c r="D76" s="98"/>
      <c r="E76" s="176"/>
      <c r="F76" s="176"/>
      <c r="G76" s="176"/>
      <c r="H76" s="176"/>
      <c r="I76" s="176"/>
      <c r="N76" s="146"/>
      <c r="O76" s="146"/>
      <c r="P76" s="146"/>
      <c r="Q76" s="146"/>
      <c r="R76" s="146"/>
      <c r="S76" s="146"/>
      <c r="T76" s="146"/>
      <c r="U76" s="146"/>
    </row>
    <row r="77" spans="1:24" x14ac:dyDescent="0.2">
      <c r="A77" s="54">
        <v>9</v>
      </c>
      <c r="B77" s="46"/>
      <c r="C77" s="10"/>
      <c r="D77" s="98"/>
      <c r="E77" s="163"/>
      <c r="F77" s="164"/>
      <c r="G77" s="164"/>
      <c r="H77" s="164"/>
      <c r="I77" s="165"/>
      <c r="N77" s="146"/>
      <c r="O77" s="146"/>
      <c r="P77" s="146"/>
      <c r="Q77" s="146"/>
      <c r="R77" s="146"/>
      <c r="S77" s="146"/>
      <c r="T77" s="146"/>
      <c r="U77" s="146"/>
    </row>
    <row r="78" spans="1:24" x14ac:dyDescent="0.2">
      <c r="A78" s="54">
        <v>10</v>
      </c>
      <c r="B78" s="46"/>
      <c r="C78" s="10"/>
      <c r="D78" s="98"/>
      <c r="E78" s="176"/>
      <c r="F78" s="176"/>
      <c r="G78" s="176"/>
      <c r="H78" s="176"/>
      <c r="I78" s="176"/>
      <c r="N78" s="146"/>
      <c r="O78" s="146"/>
      <c r="P78" s="146"/>
      <c r="Q78" s="146"/>
      <c r="R78" s="146"/>
      <c r="S78" s="146"/>
      <c r="T78" s="154"/>
      <c r="U78" s="146"/>
    </row>
    <row r="79" spans="1:24" ht="15" x14ac:dyDescent="0.25">
      <c r="A79" s="1" t="s">
        <v>150</v>
      </c>
      <c r="B79" s="2" t="s">
        <v>131</v>
      </c>
      <c r="C79" s="2"/>
      <c r="D79" s="99">
        <f>SUM(D65:D78)</f>
        <v>99341</v>
      </c>
      <c r="E79" s="25"/>
      <c r="F79" s="25"/>
      <c r="G79" s="25"/>
      <c r="H79" s="25"/>
      <c r="N79" s="148"/>
      <c r="O79" s="146"/>
      <c r="P79" s="146"/>
      <c r="Q79" s="146"/>
      <c r="R79" s="148"/>
      <c r="S79" s="146"/>
      <c r="T79" s="146"/>
      <c r="U79" s="146"/>
    </row>
    <row r="80" spans="1:24" ht="15" x14ac:dyDescent="0.25">
      <c r="B80" s="124" t="s">
        <v>132</v>
      </c>
      <c r="C80" s="71"/>
      <c r="D80" s="99">
        <f>K59</f>
        <v>112386.33215999996</v>
      </c>
      <c r="E80" s="25"/>
      <c r="F80" s="25"/>
      <c r="G80" s="25"/>
      <c r="H80" s="25"/>
      <c r="N80" s="148"/>
      <c r="O80" s="146"/>
      <c r="P80" s="146"/>
      <c r="Q80" s="146"/>
      <c r="R80" s="148"/>
      <c r="S80" s="146"/>
      <c r="T80" s="146"/>
      <c r="U80" s="146"/>
    </row>
    <row r="81" spans="1:21" ht="15" x14ac:dyDescent="0.25">
      <c r="B81" s="71" t="s">
        <v>24</v>
      </c>
      <c r="C81" s="71"/>
      <c r="D81" s="100">
        <f>D79-D80</f>
        <v>-13045.332159999962</v>
      </c>
      <c r="N81" s="148"/>
      <c r="O81" s="146"/>
      <c r="P81" s="146"/>
      <c r="Q81" s="146"/>
      <c r="R81" s="148"/>
      <c r="S81" s="146"/>
      <c r="T81" s="146"/>
      <c r="U81" s="146"/>
    </row>
    <row r="82" spans="1:21" ht="15.75" thickBot="1" x14ac:dyDescent="0.3">
      <c r="B82" s="135" t="s">
        <v>73</v>
      </c>
      <c r="C82" s="72"/>
      <c r="D82" s="61">
        <f>IF(ISERROR(D81/J59),0,D81/J59)</f>
        <v>-5.3569934707794423E-3</v>
      </c>
      <c r="E82" s="104" t="str">
        <f>IF(AND(D82&lt;0.01,D82&gt;-0.01),"","Unresolved differences of greater than + or - 1% should be explained")</f>
        <v/>
      </c>
      <c r="G82" s="79"/>
      <c r="H82" s="35"/>
      <c r="I82" s="35"/>
      <c r="J82" s="35"/>
      <c r="K82" s="35"/>
      <c r="L82" s="35"/>
      <c r="N82" s="148"/>
      <c r="O82" s="146"/>
      <c r="P82" s="146"/>
      <c r="Q82" s="146"/>
      <c r="R82" s="148"/>
      <c r="S82" s="146"/>
      <c r="T82" s="146"/>
      <c r="U82" s="146"/>
    </row>
    <row r="83" spans="1:21" ht="15.75" thickTop="1" x14ac:dyDescent="0.25">
      <c r="B83" s="2"/>
      <c r="C83" s="56"/>
      <c r="D83" s="59"/>
      <c r="G83" s="79"/>
      <c r="N83" s="148"/>
      <c r="O83" s="146"/>
      <c r="P83" s="146"/>
      <c r="Q83" s="146"/>
      <c r="R83" s="148"/>
      <c r="S83" s="146"/>
      <c r="T83" s="146"/>
      <c r="U83" s="146"/>
    </row>
    <row r="84" spans="1:21" ht="15" x14ac:dyDescent="0.25">
      <c r="B84" s="2"/>
      <c r="C84" s="56"/>
      <c r="D84" s="34"/>
      <c r="N84" s="148"/>
      <c r="O84" s="146"/>
      <c r="P84" s="146"/>
      <c r="Q84" s="146"/>
      <c r="R84" s="148"/>
      <c r="S84" s="146"/>
      <c r="T84" s="146"/>
      <c r="U84" s="146"/>
    </row>
    <row r="85" spans="1:21" ht="15" x14ac:dyDescent="0.25">
      <c r="A85" s="1" t="s">
        <v>75</v>
      </c>
      <c r="B85" s="73" t="s">
        <v>138</v>
      </c>
      <c r="C85" s="58"/>
      <c r="D85" s="59"/>
      <c r="N85" s="148"/>
      <c r="O85" s="146"/>
      <c r="P85" s="146"/>
      <c r="Q85" s="146"/>
      <c r="R85" s="148"/>
      <c r="S85" s="146"/>
      <c r="T85" s="146"/>
      <c r="U85" s="146"/>
    </row>
    <row r="86" spans="1:21" ht="15" x14ac:dyDescent="0.25">
      <c r="B86" s="57"/>
      <c r="C86" s="58"/>
      <c r="D86" s="59"/>
      <c r="N86" s="148"/>
      <c r="O86" s="146"/>
      <c r="P86" s="146"/>
      <c r="Q86" s="146"/>
      <c r="R86" s="148"/>
      <c r="S86" s="146"/>
      <c r="T86" s="146"/>
      <c r="U86" s="146"/>
    </row>
    <row r="87" spans="1:21" ht="75" x14ac:dyDescent="0.25">
      <c r="B87" s="139" t="s">
        <v>25</v>
      </c>
      <c r="C87" s="48" t="s">
        <v>157</v>
      </c>
      <c r="D87" s="48" t="s">
        <v>158</v>
      </c>
      <c r="E87" s="48" t="s">
        <v>159</v>
      </c>
      <c r="F87" s="74" t="s">
        <v>131</v>
      </c>
      <c r="G87" s="48" t="s">
        <v>24</v>
      </c>
      <c r="H87" s="76" t="s">
        <v>160</v>
      </c>
      <c r="I87" s="48" t="s">
        <v>73</v>
      </c>
      <c r="J87" s="79"/>
      <c r="K87" s="79"/>
      <c r="L87" s="35"/>
      <c r="M87" s="35"/>
      <c r="N87" s="148"/>
      <c r="O87" s="146"/>
      <c r="P87" s="146"/>
      <c r="Q87" s="146"/>
      <c r="R87" s="148"/>
      <c r="S87" s="146"/>
      <c r="T87" s="146"/>
      <c r="U87" s="146"/>
    </row>
    <row r="88" spans="1:21" x14ac:dyDescent="0.2">
      <c r="B88" s="116"/>
      <c r="C88" s="107"/>
      <c r="D88" s="107"/>
      <c r="E88" s="108"/>
      <c r="F88" s="131">
        <f>SUM(D88:E88)</f>
        <v>0</v>
      </c>
      <c r="G88" s="109">
        <f>F88-C88</f>
        <v>0</v>
      </c>
      <c r="H88" s="108"/>
      <c r="I88" s="105">
        <f>IF(ISERROR(G88/H88),0,G88/H88)</f>
        <v>0</v>
      </c>
      <c r="J88" s="79"/>
      <c r="K88" s="79"/>
      <c r="L88" s="35"/>
      <c r="M88" s="35"/>
      <c r="N88" s="148"/>
      <c r="O88" s="146"/>
      <c r="P88" s="146"/>
      <c r="Q88" s="146"/>
      <c r="R88" s="148"/>
      <c r="S88" s="146"/>
      <c r="T88" s="146"/>
      <c r="U88" s="146"/>
    </row>
    <row r="89" spans="1:21" x14ac:dyDescent="0.2">
      <c r="B89" s="116"/>
      <c r="C89" s="107"/>
      <c r="D89" s="107"/>
      <c r="E89" s="108"/>
      <c r="F89" s="131">
        <f t="shared" ref="F89:F91" si="7">SUM(D89:E89)</f>
        <v>0</v>
      </c>
      <c r="G89" s="109">
        <f>F89-C89</f>
        <v>0</v>
      </c>
      <c r="H89" s="108"/>
      <c r="I89" s="105">
        <f>IF(ISERROR(G89/H89),0,G89/H89)</f>
        <v>0</v>
      </c>
      <c r="J89" s="79"/>
      <c r="K89" s="79"/>
      <c r="L89" s="35"/>
      <c r="M89" s="35"/>
      <c r="N89" s="148"/>
      <c r="O89" s="146"/>
      <c r="P89" s="146"/>
      <c r="Q89" s="146"/>
      <c r="R89" s="148"/>
      <c r="S89" s="146"/>
      <c r="T89" s="146"/>
      <c r="U89" s="146"/>
    </row>
    <row r="90" spans="1:21" x14ac:dyDescent="0.2">
      <c r="B90" s="116"/>
      <c r="C90" s="107"/>
      <c r="D90" s="107"/>
      <c r="E90" s="108"/>
      <c r="F90" s="131">
        <f t="shared" si="7"/>
        <v>0</v>
      </c>
      <c r="G90" s="109">
        <f>F90-C90</f>
        <v>0</v>
      </c>
      <c r="H90" s="108"/>
      <c r="I90" s="105">
        <f>IF(ISERROR(G90/H90),0,G90/H90)</f>
        <v>0</v>
      </c>
      <c r="J90" s="79"/>
      <c r="K90" s="79"/>
      <c r="L90" s="35"/>
      <c r="M90" s="35"/>
      <c r="N90" s="148"/>
      <c r="O90" s="146"/>
      <c r="P90" s="146"/>
      <c r="Q90" s="146"/>
      <c r="R90" s="148"/>
      <c r="S90" s="146"/>
      <c r="T90" s="146"/>
      <c r="U90" s="146"/>
    </row>
    <row r="91" spans="1:21" ht="15" thickBot="1" x14ac:dyDescent="0.25">
      <c r="B91" s="116"/>
      <c r="C91" s="110"/>
      <c r="D91" s="110"/>
      <c r="E91" s="110"/>
      <c r="F91" s="131">
        <f t="shared" si="7"/>
        <v>0</v>
      </c>
      <c r="G91" s="109">
        <f>F91-C91</f>
        <v>0</v>
      </c>
      <c r="H91" s="110"/>
      <c r="I91" s="106">
        <f>IF(ISERROR(G91/H91),0,G91/H91)</f>
        <v>0</v>
      </c>
      <c r="J91" s="79"/>
      <c r="K91" s="79"/>
      <c r="L91" s="35"/>
      <c r="M91" s="35"/>
      <c r="N91" s="146"/>
      <c r="O91" s="146"/>
      <c r="P91" s="146"/>
      <c r="Q91" s="146"/>
      <c r="R91" s="146"/>
      <c r="S91" s="146"/>
      <c r="T91" s="146"/>
      <c r="U91" s="146"/>
    </row>
    <row r="92" spans="1:21" ht="15.75" thickBot="1" x14ac:dyDescent="0.3">
      <c r="B92" s="75" t="s">
        <v>74</v>
      </c>
      <c r="C92" s="130">
        <f t="shared" ref="C92:H92" si="8">SUM(C88:C91)</f>
        <v>0</v>
      </c>
      <c r="D92" s="130">
        <f t="shared" si="8"/>
        <v>0</v>
      </c>
      <c r="E92" s="130">
        <f t="shared" si="8"/>
        <v>0</v>
      </c>
      <c r="F92" s="132">
        <f t="shared" si="8"/>
        <v>0</v>
      </c>
      <c r="G92" s="130">
        <f>SUM(G88:G91)</f>
        <v>0</v>
      </c>
      <c r="H92" s="77">
        <f t="shared" si="8"/>
        <v>0</v>
      </c>
      <c r="I92" s="78" t="s">
        <v>80</v>
      </c>
      <c r="J92" s="79"/>
      <c r="K92" s="79"/>
      <c r="L92" s="35"/>
      <c r="M92" s="35"/>
      <c r="N92" s="146"/>
      <c r="O92" s="146"/>
      <c r="P92" s="146"/>
      <c r="Q92" s="146"/>
      <c r="R92" s="148"/>
      <c r="S92" s="146"/>
      <c r="T92" s="146"/>
      <c r="U92" s="146"/>
    </row>
    <row r="93" spans="1:21" x14ac:dyDescent="0.2">
      <c r="B93" s="4"/>
      <c r="C93" s="4"/>
      <c r="D93" s="4"/>
      <c r="E93" s="4"/>
      <c r="F93" s="4"/>
      <c r="G93" s="4"/>
      <c r="J93" s="79"/>
      <c r="K93" s="79"/>
      <c r="L93" s="35"/>
      <c r="M93" s="35"/>
      <c r="N93" s="146"/>
      <c r="O93" s="146"/>
      <c r="P93" s="146"/>
      <c r="Q93" s="146"/>
      <c r="R93" s="146"/>
      <c r="S93" s="146"/>
      <c r="T93" s="146"/>
      <c r="U93" s="146"/>
    </row>
    <row r="94" spans="1:21" x14ac:dyDescent="0.2">
      <c r="J94" s="79"/>
      <c r="K94" s="79"/>
      <c r="L94" s="35"/>
      <c r="M94" s="35"/>
      <c r="N94" s="146"/>
      <c r="O94" s="146"/>
      <c r="P94" s="146"/>
      <c r="Q94" s="146"/>
      <c r="R94" s="146"/>
      <c r="S94" s="146"/>
      <c r="T94" s="146"/>
      <c r="U94" s="146"/>
    </row>
    <row r="95" spans="1:21" ht="15" x14ac:dyDescent="0.25">
      <c r="B95" s="3" t="s">
        <v>37</v>
      </c>
      <c r="J95" s="79"/>
      <c r="K95" s="79"/>
      <c r="N95" s="146"/>
      <c r="O95" s="146"/>
      <c r="P95" s="146"/>
      <c r="Q95" s="146"/>
      <c r="R95" s="146"/>
      <c r="S95" s="146"/>
      <c r="T95" s="146"/>
      <c r="U95" s="146"/>
    </row>
    <row r="96" spans="1:21" x14ac:dyDescent="0.2">
      <c r="B96" s="53"/>
      <c r="C96" s="53"/>
      <c r="D96" s="53"/>
      <c r="E96" s="53"/>
      <c r="F96" s="53"/>
      <c r="G96" s="53"/>
      <c r="H96" s="53"/>
      <c r="J96" s="79"/>
      <c r="K96" s="79"/>
      <c r="N96" s="146"/>
      <c r="O96" s="146"/>
      <c r="P96" s="146"/>
      <c r="Q96" s="146"/>
      <c r="R96" s="146"/>
      <c r="S96" s="146"/>
      <c r="T96" s="146"/>
      <c r="U96" s="146"/>
    </row>
    <row r="97" spans="2:21" x14ac:dyDescent="0.2">
      <c r="B97" s="53"/>
      <c r="C97" s="53"/>
      <c r="D97" s="53"/>
      <c r="E97" s="53"/>
      <c r="F97" s="53"/>
      <c r="G97" s="53"/>
      <c r="H97" s="53"/>
      <c r="J97" s="79"/>
      <c r="K97" s="79"/>
      <c r="N97" s="146"/>
      <c r="O97" s="146"/>
      <c r="P97" s="146"/>
      <c r="Q97" s="146"/>
      <c r="R97" s="146"/>
      <c r="S97" s="146"/>
      <c r="T97" s="146"/>
      <c r="U97" s="146"/>
    </row>
    <row r="98" spans="2:21" x14ac:dyDescent="0.2">
      <c r="B98" s="53"/>
      <c r="C98" s="53"/>
      <c r="D98" s="53"/>
      <c r="E98" s="53"/>
      <c r="F98" s="53"/>
      <c r="G98" s="53"/>
      <c r="H98" s="53"/>
      <c r="N98" s="146"/>
      <c r="O98" s="146"/>
      <c r="P98" s="146"/>
      <c r="Q98" s="146"/>
      <c r="R98" s="146"/>
      <c r="S98" s="146"/>
      <c r="T98" s="146"/>
      <c r="U98" s="146"/>
    </row>
    <row r="99" spans="2:21" x14ac:dyDescent="0.2">
      <c r="B99" s="53"/>
      <c r="C99" s="53"/>
      <c r="D99" s="53"/>
      <c r="E99" s="53"/>
      <c r="F99" s="53"/>
      <c r="G99" s="53"/>
      <c r="H99" s="53"/>
      <c r="N99" s="146"/>
      <c r="O99" s="146"/>
      <c r="P99" s="146"/>
      <c r="Q99" s="146"/>
      <c r="R99" s="146"/>
      <c r="S99" s="146"/>
      <c r="T99" s="146"/>
      <c r="U99" s="146"/>
    </row>
    <row r="100" spans="2:21" x14ac:dyDescent="0.2">
      <c r="B100" s="53"/>
      <c r="C100" s="53"/>
      <c r="D100" s="53"/>
      <c r="E100" s="53"/>
      <c r="F100" s="53"/>
      <c r="G100" s="53"/>
      <c r="H100" s="53"/>
      <c r="N100" s="146"/>
      <c r="O100" s="146"/>
      <c r="P100" s="146"/>
      <c r="Q100" s="146"/>
      <c r="R100" s="146"/>
      <c r="S100" s="146"/>
      <c r="T100" s="146"/>
      <c r="U100" s="146"/>
    </row>
    <row r="101" spans="2:21" x14ac:dyDescent="0.2">
      <c r="B101" s="53"/>
      <c r="C101" s="53"/>
      <c r="D101" s="53"/>
      <c r="E101" s="53"/>
      <c r="F101" s="53"/>
      <c r="G101" s="53"/>
      <c r="H101" s="53"/>
      <c r="N101" s="146"/>
      <c r="O101" s="146"/>
      <c r="P101" s="146"/>
      <c r="Q101" s="146"/>
      <c r="R101" s="146"/>
      <c r="S101" s="146"/>
      <c r="T101" s="146"/>
      <c r="U101" s="146"/>
    </row>
    <row r="102" spans="2:21" x14ac:dyDescent="0.2">
      <c r="B102" s="53"/>
      <c r="C102" s="53"/>
      <c r="D102" s="53"/>
      <c r="E102" s="53"/>
      <c r="F102" s="53"/>
      <c r="G102" s="53"/>
      <c r="H102" s="53"/>
    </row>
    <row r="103" spans="2:2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51"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opLeftCell="A86" zoomScaleNormal="100" zoomScaleSheetLayoutView="100" workbookViewId="0">
      <selection activeCell="V108" sqref="A1:W10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2.710937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9" t="s">
        <v>25</v>
      </c>
      <c r="C21" s="169"/>
      <c r="D21" s="24">
        <v>2015</v>
      </c>
      <c r="E21" s="170"/>
      <c r="F21" s="171"/>
      <c r="G21" s="79"/>
      <c r="H21" s="79"/>
      <c r="I21" s="79"/>
      <c r="J21" s="79"/>
      <c r="K21" s="79"/>
      <c r="L21" s="79"/>
      <c r="M21" s="79"/>
      <c r="N21" s="79"/>
      <c r="O21" s="79"/>
      <c r="P21" s="79"/>
      <c r="Q21" s="79"/>
    </row>
    <row r="22" spans="1:24" ht="15" thickBot="1" x14ac:dyDescent="0.25">
      <c r="A22" s="4"/>
      <c r="B22" s="5" t="s">
        <v>3</v>
      </c>
      <c r="C22" s="5" t="s">
        <v>2</v>
      </c>
      <c r="D22" s="117">
        <f>D23+D24</f>
        <v>100701246</v>
      </c>
      <c r="E22" s="6" t="s">
        <v>0</v>
      </c>
      <c r="F22" s="7">
        <v>1</v>
      </c>
      <c r="G22" s="79"/>
      <c r="H22" s="79"/>
      <c r="I22" s="79"/>
      <c r="J22" s="79"/>
      <c r="K22" s="79"/>
      <c r="L22" s="79"/>
      <c r="M22" s="79"/>
      <c r="N22" s="79"/>
      <c r="O22" s="79"/>
      <c r="P22" s="79"/>
      <c r="Q22" s="79"/>
    </row>
    <row r="23" spans="1:24" x14ac:dyDescent="0.2">
      <c r="B23" s="5" t="s">
        <v>7</v>
      </c>
      <c r="C23" s="5" t="s">
        <v>1</v>
      </c>
      <c r="D23" s="118">
        <f>58315777-3</f>
        <v>58315774</v>
      </c>
      <c r="E23" s="6" t="s">
        <v>0</v>
      </c>
      <c r="F23" s="8">
        <f>IFERROR(D23/$D$22,0)</f>
        <v>0.57909684652759907</v>
      </c>
    </row>
    <row r="24" spans="1:24" ht="15" thickBot="1" x14ac:dyDescent="0.25">
      <c r="B24" s="5" t="s">
        <v>8</v>
      </c>
      <c r="C24" s="5" t="s">
        <v>6</v>
      </c>
      <c r="D24" s="117">
        <f>D25+D26</f>
        <v>42385472</v>
      </c>
      <c r="E24" s="6" t="s">
        <v>0</v>
      </c>
      <c r="F24" s="8">
        <f>IFERROR(D24/$D$22,0)</f>
        <v>0.42090315347240093</v>
      </c>
    </row>
    <row r="25" spans="1:24" x14ac:dyDescent="0.2">
      <c r="B25" s="5" t="s">
        <v>9</v>
      </c>
      <c r="C25" s="5" t="s">
        <v>4</v>
      </c>
      <c r="D25" s="118">
        <v>0</v>
      </c>
      <c r="E25" s="6" t="s">
        <v>0</v>
      </c>
      <c r="F25" s="8">
        <f>IFERROR(D25/$D$22,0)</f>
        <v>0</v>
      </c>
    </row>
    <row r="26" spans="1:24" x14ac:dyDescent="0.2">
      <c r="B26" s="5" t="s">
        <v>61</v>
      </c>
      <c r="C26" s="5" t="s">
        <v>5</v>
      </c>
      <c r="D26" s="119">
        <f>20441487+1837719+3475979+15000584+1597420+32283</f>
        <v>42385472</v>
      </c>
      <c r="E26" s="6" t="s">
        <v>0</v>
      </c>
      <c r="F26" s="8">
        <f>IFERROR(D26/$D$22,0)</f>
        <v>0.42090315347240093</v>
      </c>
      <c r="G26" s="29"/>
      <c r="H26" s="29"/>
    </row>
    <row r="27" spans="1:24" ht="34.5" customHeight="1" x14ac:dyDescent="0.2">
      <c r="B27" s="172" t="s">
        <v>77</v>
      </c>
      <c r="C27" s="172"/>
      <c r="D27" s="172"/>
      <c r="E27" s="172"/>
      <c r="F27" s="172"/>
      <c r="G27" s="173"/>
      <c r="H27" s="173"/>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4">
        <v>2016</v>
      </c>
      <c r="P45" s="174"/>
      <c r="Q45" s="174"/>
      <c r="R45" s="174">
        <v>2015</v>
      </c>
      <c r="S45" s="174"/>
      <c r="T45" s="174"/>
      <c r="U45" s="174">
        <v>2014</v>
      </c>
      <c r="V45" s="174"/>
      <c r="W45" s="17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11422301-7087160</f>
        <v>4335141</v>
      </c>
      <c r="D47" s="94"/>
      <c r="E47" s="60"/>
      <c r="F47" s="51">
        <f>C47-D47+E47</f>
        <v>4335141</v>
      </c>
      <c r="G47" s="111">
        <v>5.5500000000000001E-2</v>
      </c>
      <c r="H47" s="15">
        <f>F47*G47</f>
        <v>240600.32550000001</v>
      </c>
      <c r="I47" s="111">
        <f>+T47</f>
        <v>5.0680000000000003E-2</v>
      </c>
      <c r="J47" s="17">
        <f>F47*I47</f>
        <v>219704.94588000001</v>
      </c>
      <c r="K47" s="16">
        <f>J47-H47</f>
        <v>-20895.379619999992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10601143-6522967</f>
        <v>4078176</v>
      </c>
      <c r="D48" s="94"/>
      <c r="E48" s="60"/>
      <c r="F48" s="51">
        <f t="shared" ref="F48:F58" si="0">C48-D48+E48</f>
        <v>4078176</v>
      </c>
      <c r="G48" s="111">
        <v>6.9800000000000001E-2</v>
      </c>
      <c r="H48" s="15">
        <f t="shared" ref="H48:H58" si="1">F48*G48</f>
        <v>284656.68479999999</v>
      </c>
      <c r="I48" s="111">
        <f t="shared" ref="I48:I58" si="2">+T48</f>
        <v>3.9609999999999999E-2</v>
      </c>
      <c r="J48" s="17">
        <f t="shared" ref="J48:J58" si="3">F48*I48</f>
        <v>161536.55135999998</v>
      </c>
      <c r="K48" s="16">
        <f t="shared" ref="K48:K58" si="4">J48-H48</f>
        <v>-123120.13344000001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9418222-5421001</f>
        <v>3997221</v>
      </c>
      <c r="D49" s="94"/>
      <c r="E49" s="60"/>
      <c r="F49" s="51">
        <f t="shared" si="0"/>
        <v>3997221</v>
      </c>
      <c r="G49" s="111">
        <v>3.5999999999999997E-2</v>
      </c>
      <c r="H49" s="15">
        <f t="shared" si="1"/>
        <v>143899.95599999998</v>
      </c>
      <c r="I49" s="111">
        <f t="shared" si="2"/>
        <v>6.2899999999999998E-2</v>
      </c>
      <c r="J49" s="17">
        <f t="shared" si="3"/>
        <v>251425.2009</v>
      </c>
      <c r="K49" s="16">
        <f t="shared" si="4"/>
        <v>107525.24490000002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7851484-4408352</f>
        <v>3443132</v>
      </c>
      <c r="D50" s="94"/>
      <c r="E50" s="60"/>
      <c r="F50" s="51">
        <f t="shared" si="0"/>
        <v>3443132</v>
      </c>
      <c r="G50" s="111">
        <v>6.7100000000000007E-2</v>
      </c>
      <c r="H50" s="15">
        <f t="shared" si="1"/>
        <v>231034.15720000002</v>
      </c>
      <c r="I50" s="111">
        <f t="shared" si="2"/>
        <v>9.5590000000000008E-2</v>
      </c>
      <c r="J50" s="17">
        <f t="shared" si="3"/>
        <v>329128.98788000003</v>
      </c>
      <c r="K50" s="16">
        <f t="shared" si="4"/>
        <v>98094.830680000014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7482655-4185177</f>
        <v>3297478</v>
      </c>
      <c r="D51" s="94"/>
      <c r="E51" s="60"/>
      <c r="F51" s="51">
        <f t="shared" si="0"/>
        <v>3297478</v>
      </c>
      <c r="G51" s="111">
        <v>9.4200000000000006E-2</v>
      </c>
      <c r="H51" s="15">
        <f t="shared" si="1"/>
        <v>310622.4276</v>
      </c>
      <c r="I51" s="111">
        <f t="shared" si="2"/>
        <v>9.6680000000000002E-2</v>
      </c>
      <c r="J51" s="17">
        <f t="shared" si="3"/>
        <v>318800.17304000002</v>
      </c>
      <c r="K51" s="16">
        <f t="shared" si="4"/>
        <v>8177.7454400000279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7509526-4114582</f>
        <v>3394944</v>
      </c>
      <c r="D52" s="94"/>
      <c r="E52" s="60"/>
      <c r="F52" s="51">
        <f t="shared" si="0"/>
        <v>3394944</v>
      </c>
      <c r="G52" s="111">
        <v>9.2299999999999993E-2</v>
      </c>
      <c r="H52" s="15">
        <f t="shared" si="1"/>
        <v>313353.33119999996</v>
      </c>
      <c r="I52" s="111">
        <f t="shared" si="2"/>
        <v>9.5400000000000013E-2</v>
      </c>
      <c r="J52" s="17">
        <f t="shared" si="3"/>
        <v>323877.65760000004</v>
      </c>
      <c r="K52" s="16">
        <f t="shared" si="4"/>
        <v>10524.326400000078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8684473-5065119</f>
        <v>3619354</v>
      </c>
      <c r="D53" s="94"/>
      <c r="E53" s="60"/>
      <c r="F53" s="51">
        <f t="shared" si="0"/>
        <v>3619354</v>
      </c>
      <c r="G53" s="111">
        <v>8.8900000000000007E-2</v>
      </c>
      <c r="H53" s="15">
        <f t="shared" si="1"/>
        <v>321760.57060000004</v>
      </c>
      <c r="I53" s="111">
        <f t="shared" si="2"/>
        <v>7.8829999999999997E-2</v>
      </c>
      <c r="J53" s="17">
        <f t="shared" si="3"/>
        <v>285313.67582</v>
      </c>
      <c r="K53" s="16">
        <f t="shared" si="4"/>
        <v>-36446.894780000031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8183442-4718901</f>
        <v>3464541</v>
      </c>
      <c r="D54" s="94"/>
      <c r="E54" s="60"/>
      <c r="F54" s="51">
        <f t="shared" si="0"/>
        <v>3464541</v>
      </c>
      <c r="G54" s="111">
        <v>8.8099999999999998E-2</v>
      </c>
      <c r="H54" s="15">
        <f t="shared" si="1"/>
        <v>305226.06209999998</v>
      </c>
      <c r="I54" s="111">
        <f t="shared" si="2"/>
        <v>8.0099999999999991E-2</v>
      </c>
      <c r="J54" s="17">
        <f t="shared" si="3"/>
        <v>277509.73409999994</v>
      </c>
      <c r="K54" s="16">
        <f t="shared" si="4"/>
        <v>-27716.328000000038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7617973-4267329</f>
        <v>3350644</v>
      </c>
      <c r="D55" s="94"/>
      <c r="E55" s="60"/>
      <c r="F55" s="51">
        <f t="shared" si="0"/>
        <v>3350644</v>
      </c>
      <c r="G55" s="111">
        <v>8.2699999999999996E-2</v>
      </c>
      <c r="H55" s="15">
        <f t="shared" si="1"/>
        <v>277098.25880000001</v>
      </c>
      <c r="I55" s="111">
        <f t="shared" si="2"/>
        <v>6.7030000000000006E-2</v>
      </c>
      <c r="J55" s="17">
        <f t="shared" si="3"/>
        <v>224593.66732000001</v>
      </c>
      <c r="K55" s="16">
        <f t="shared" si="4"/>
        <v>-52504.591480000003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7792383-4424592</f>
        <v>3367791</v>
      </c>
      <c r="D56" s="94"/>
      <c r="E56" s="60"/>
      <c r="F56" s="51">
        <f t="shared" si="0"/>
        <v>3367791</v>
      </c>
      <c r="G56" s="111">
        <v>6.3700000000000007E-2</v>
      </c>
      <c r="H56" s="15">
        <f t="shared" si="1"/>
        <v>214528.28670000003</v>
      </c>
      <c r="I56" s="111">
        <f t="shared" si="2"/>
        <v>7.5439999999999993E-2</v>
      </c>
      <c r="J56" s="17">
        <f t="shared" si="3"/>
        <v>254066.15303999998</v>
      </c>
      <c r="K56" s="16">
        <f t="shared" si="4"/>
        <v>39537.86633999995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8426909-4917562</f>
        <v>3509347</v>
      </c>
      <c r="D57" s="94"/>
      <c r="E57" s="60"/>
      <c r="F57" s="51">
        <f t="shared" si="0"/>
        <v>3509347</v>
      </c>
      <c r="G57" s="111">
        <v>7.6200000000000004E-2</v>
      </c>
      <c r="H57" s="15">
        <f t="shared" si="1"/>
        <v>267412.2414</v>
      </c>
      <c r="I57" s="111">
        <f t="shared" si="2"/>
        <v>0.11320000000000001</v>
      </c>
      <c r="J57" s="17">
        <f t="shared" si="3"/>
        <v>397258.08040000004</v>
      </c>
      <c r="K57" s="16">
        <f t="shared" si="4"/>
        <v>129845.83900000004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3684555</v>
      </c>
      <c r="D58" s="94"/>
      <c r="E58" s="60"/>
      <c r="F58" s="51">
        <f t="shared" si="0"/>
        <v>3684555</v>
      </c>
      <c r="G58" s="111">
        <v>0.11459999999999999</v>
      </c>
      <c r="H58" s="15">
        <f t="shared" si="1"/>
        <v>422250.00299999997</v>
      </c>
      <c r="I58" s="111">
        <f t="shared" si="2"/>
        <v>9.4709999999999989E-2</v>
      </c>
      <c r="J58" s="17">
        <f t="shared" si="3"/>
        <v>348964.20404999994</v>
      </c>
      <c r="K58" s="16">
        <f t="shared" si="4"/>
        <v>-73285.798950000026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43542324</v>
      </c>
      <c r="D59" s="97">
        <f>SUM(D47:D58)</f>
        <v>0</v>
      </c>
      <c r="E59" s="97">
        <f>SUM(E47:E58)</f>
        <v>0</v>
      </c>
      <c r="F59" s="97">
        <f>SUM(F47:F58)</f>
        <v>43542324</v>
      </c>
      <c r="G59" s="37"/>
      <c r="H59" s="38">
        <f>SUM(H47:H58)</f>
        <v>3332442.3048999999</v>
      </c>
      <c r="I59" s="37"/>
      <c r="J59" s="38">
        <f>SUM(J47:J58)</f>
        <v>3392179.0313899997</v>
      </c>
      <c r="K59" s="39">
        <f>SUM(K47:K58)</f>
        <v>59736.72649000003</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G61" s="158"/>
      <c r="H61" s="147"/>
      <c r="I61" s="145"/>
      <c r="N61" s="29"/>
      <c r="O61" s="30"/>
      <c r="P61" s="30"/>
      <c r="Q61" s="30"/>
      <c r="R61" s="30"/>
      <c r="S61" s="30"/>
      <c r="T61" s="30"/>
      <c r="U61" s="30"/>
      <c r="V61" s="30"/>
      <c r="W61" s="30"/>
    </row>
    <row r="62" spans="1:24" ht="15" x14ac:dyDescent="0.25">
      <c r="A62" s="1" t="s">
        <v>143</v>
      </c>
      <c r="B62" s="47" t="s">
        <v>136</v>
      </c>
      <c r="C62" s="2"/>
      <c r="G62" s="146"/>
      <c r="H62" s="157"/>
      <c r="K62" s="115"/>
      <c r="N62" s="146"/>
      <c r="O62" s="148"/>
      <c r="P62" s="148"/>
      <c r="Q62" s="148"/>
      <c r="R62" s="148"/>
      <c r="S62" s="148"/>
      <c r="T62" s="148"/>
      <c r="U62" s="148"/>
      <c r="V62" s="30"/>
      <c r="W62" s="30"/>
    </row>
    <row r="63" spans="1:24" ht="15" x14ac:dyDescent="0.25">
      <c r="B63" s="3"/>
      <c r="C63" s="2"/>
      <c r="K63" s="123"/>
      <c r="N63" s="146"/>
      <c r="O63" s="146"/>
      <c r="P63" s="146"/>
      <c r="Q63" s="146"/>
      <c r="R63" s="146"/>
      <c r="S63" s="146"/>
      <c r="T63" s="146"/>
      <c r="U63" s="146"/>
      <c r="V63" s="29"/>
      <c r="W63" s="29"/>
    </row>
    <row r="64" spans="1:24" ht="45" x14ac:dyDescent="0.25">
      <c r="A64" s="11"/>
      <c r="B64" s="138" t="s">
        <v>45</v>
      </c>
      <c r="C64" s="48" t="s">
        <v>67</v>
      </c>
      <c r="D64" s="48" t="s">
        <v>121</v>
      </c>
      <c r="E64" s="175" t="s">
        <v>44</v>
      </c>
      <c r="F64" s="175"/>
      <c r="G64" s="175"/>
      <c r="H64" s="175"/>
      <c r="I64" s="175"/>
      <c r="K64" s="121"/>
      <c r="N64" s="151"/>
      <c r="O64" s="146"/>
      <c r="P64" s="148"/>
      <c r="Q64" s="146"/>
      <c r="R64" s="153"/>
      <c r="S64" s="146"/>
      <c r="T64" s="146"/>
      <c r="U64" s="146"/>
      <c r="V64" s="29"/>
      <c r="W64" s="29"/>
      <c r="X64" s="29"/>
    </row>
    <row r="65" spans="1:24" ht="30.75" customHeight="1" x14ac:dyDescent="0.25">
      <c r="A65" s="166" t="s">
        <v>134</v>
      </c>
      <c r="B65" s="167"/>
      <c r="C65" s="168"/>
      <c r="D65" s="127">
        <v>29160</v>
      </c>
      <c r="E65" s="177"/>
      <c r="F65" s="178"/>
      <c r="G65" s="178"/>
      <c r="H65" s="178"/>
      <c r="I65" s="179"/>
      <c r="K65" s="121"/>
      <c r="N65" s="148"/>
      <c r="O65" s="146"/>
      <c r="P65" s="148"/>
      <c r="Q65" s="146"/>
      <c r="R65" s="154"/>
      <c r="S65" s="146"/>
      <c r="T65" s="146"/>
      <c r="U65" s="146"/>
      <c r="V65" s="29"/>
      <c r="W65" s="29"/>
      <c r="X65" s="29"/>
    </row>
    <row r="66" spans="1:24" ht="28.5" x14ac:dyDescent="0.2">
      <c r="A66" s="70" t="s">
        <v>51</v>
      </c>
      <c r="B66" s="49" t="s">
        <v>62</v>
      </c>
      <c r="C66" s="112"/>
      <c r="D66" s="98"/>
      <c r="E66" s="176"/>
      <c r="F66" s="176"/>
      <c r="G66" s="176"/>
      <c r="H66" s="176"/>
      <c r="I66" s="176"/>
      <c r="K66" s="121"/>
      <c r="N66" s="148"/>
      <c r="O66" s="146"/>
      <c r="P66" s="148"/>
      <c r="Q66" s="146"/>
      <c r="R66" s="154"/>
      <c r="S66" s="146"/>
      <c r="T66" s="146"/>
      <c r="U66" s="146"/>
      <c r="V66" s="29"/>
      <c r="W66" s="29"/>
      <c r="X66" s="29"/>
    </row>
    <row r="67" spans="1:24" ht="28.5" x14ac:dyDescent="0.2">
      <c r="A67" s="70" t="s">
        <v>52</v>
      </c>
      <c r="B67" s="49" t="s">
        <v>79</v>
      </c>
      <c r="C67" s="113"/>
      <c r="D67" s="114">
        <v>-13862</v>
      </c>
      <c r="E67" s="163" t="s">
        <v>170</v>
      </c>
      <c r="F67" s="164"/>
      <c r="G67" s="164"/>
      <c r="H67" s="164"/>
      <c r="I67" s="165"/>
      <c r="J67" s="79"/>
      <c r="K67" s="122"/>
      <c r="L67" s="79"/>
      <c r="M67" s="79"/>
      <c r="N67" s="148"/>
      <c r="O67" s="149"/>
      <c r="P67" s="148"/>
      <c r="Q67" s="149"/>
      <c r="R67" s="154"/>
      <c r="S67" s="146"/>
      <c r="T67" s="146"/>
      <c r="U67" s="146"/>
    </row>
    <row r="68" spans="1:24" ht="28.5" x14ac:dyDescent="0.2">
      <c r="A68" s="70" t="s">
        <v>65</v>
      </c>
      <c r="B68" s="49" t="s">
        <v>64</v>
      </c>
      <c r="C68" s="112"/>
      <c r="D68" s="114"/>
      <c r="E68" s="176"/>
      <c r="F68" s="176"/>
      <c r="G68" s="176"/>
      <c r="H68" s="176"/>
      <c r="I68" s="176"/>
      <c r="J68" s="79"/>
      <c r="K68" s="122"/>
      <c r="L68" s="79"/>
      <c r="M68" s="79"/>
      <c r="N68" s="148"/>
      <c r="O68" s="149"/>
      <c r="P68" s="148"/>
      <c r="Q68" s="149"/>
      <c r="R68" s="154"/>
      <c r="S68" s="146"/>
      <c r="T68" s="146"/>
      <c r="U68" s="146"/>
    </row>
    <row r="69" spans="1:24" ht="28.5" x14ac:dyDescent="0.2">
      <c r="A69" s="70" t="s">
        <v>66</v>
      </c>
      <c r="B69" s="49" t="s">
        <v>63</v>
      </c>
      <c r="C69" s="113"/>
      <c r="D69" s="114">
        <v>25722</v>
      </c>
      <c r="E69" s="163" t="s">
        <v>166</v>
      </c>
      <c r="F69" s="164"/>
      <c r="G69" s="164"/>
      <c r="H69" s="164"/>
      <c r="I69" s="165"/>
      <c r="J69" s="79"/>
      <c r="K69" s="125"/>
      <c r="L69" s="79"/>
      <c r="M69" s="79"/>
      <c r="N69" s="148"/>
      <c r="O69" s="149"/>
      <c r="P69" s="148"/>
      <c r="Q69" s="149"/>
      <c r="R69" s="154"/>
      <c r="S69" s="146"/>
      <c r="T69" s="146"/>
      <c r="U69" s="146"/>
    </row>
    <row r="70" spans="1:24" ht="28.5" x14ac:dyDescent="0.2">
      <c r="A70" s="70" t="s">
        <v>69</v>
      </c>
      <c r="B70" s="49" t="s">
        <v>71</v>
      </c>
      <c r="C70" s="112"/>
      <c r="D70" s="98"/>
      <c r="E70" s="176"/>
      <c r="F70" s="176"/>
      <c r="G70" s="176"/>
      <c r="H70" s="176"/>
      <c r="I70" s="176"/>
      <c r="J70" s="79"/>
      <c r="K70" s="125"/>
      <c r="L70" s="79"/>
      <c r="M70" s="79"/>
      <c r="N70" s="148"/>
      <c r="O70" s="149"/>
      <c r="P70" s="148"/>
      <c r="Q70" s="149"/>
      <c r="R70" s="154"/>
      <c r="S70" s="146"/>
      <c r="T70" s="146"/>
      <c r="U70" s="146"/>
    </row>
    <row r="71" spans="1:24" ht="28.5" x14ac:dyDescent="0.2">
      <c r="A71" s="70" t="s">
        <v>70</v>
      </c>
      <c r="B71" s="49" t="s">
        <v>72</v>
      </c>
      <c r="C71" s="112"/>
      <c r="D71" s="98"/>
      <c r="E71" s="176"/>
      <c r="F71" s="176"/>
      <c r="G71" s="176"/>
      <c r="H71" s="176"/>
      <c r="I71" s="176"/>
      <c r="J71" s="79"/>
      <c r="K71" s="125"/>
      <c r="L71" s="79"/>
      <c r="M71" s="79"/>
      <c r="N71" s="148"/>
      <c r="O71" s="149"/>
      <c r="P71" s="148"/>
      <c r="Q71" s="149"/>
      <c r="R71" s="154"/>
      <c r="S71" s="146"/>
      <c r="T71" s="146"/>
      <c r="U71" s="146"/>
    </row>
    <row r="72" spans="1:24" ht="33.75" customHeight="1" x14ac:dyDescent="0.2">
      <c r="A72" s="70">
        <v>4</v>
      </c>
      <c r="B72" s="49" t="s">
        <v>68</v>
      </c>
      <c r="C72" s="112"/>
      <c r="D72" s="98"/>
      <c r="E72" s="176"/>
      <c r="F72" s="176"/>
      <c r="G72" s="176"/>
      <c r="H72" s="176"/>
      <c r="I72" s="176"/>
      <c r="J72" s="79"/>
      <c r="K72" s="125"/>
      <c r="L72" s="79"/>
      <c r="M72" s="79"/>
      <c r="N72" s="148"/>
      <c r="O72" s="149"/>
      <c r="P72" s="148"/>
      <c r="Q72" s="149"/>
      <c r="R72" s="154"/>
      <c r="S72" s="146"/>
      <c r="T72" s="146"/>
      <c r="U72" s="146"/>
    </row>
    <row r="73" spans="1:24" ht="42.75" x14ac:dyDescent="0.2">
      <c r="A73" s="70">
        <v>5</v>
      </c>
      <c r="B73" s="49" t="s">
        <v>81</v>
      </c>
      <c r="C73" s="112"/>
      <c r="D73" s="98"/>
      <c r="E73" s="176"/>
      <c r="F73" s="176"/>
      <c r="G73" s="176"/>
      <c r="H73" s="176"/>
      <c r="I73" s="176"/>
      <c r="J73" s="79"/>
      <c r="K73" s="125"/>
      <c r="L73" s="79"/>
      <c r="M73" s="79"/>
      <c r="N73" s="148"/>
      <c r="O73" s="149"/>
      <c r="P73" s="148"/>
      <c r="Q73" s="149"/>
      <c r="R73" s="154"/>
      <c r="S73" s="146"/>
      <c r="T73" s="146"/>
      <c r="U73" s="146"/>
    </row>
    <row r="74" spans="1:24" ht="28.5" x14ac:dyDescent="0.2">
      <c r="A74" s="54">
        <v>6</v>
      </c>
      <c r="B74" s="129" t="s">
        <v>137</v>
      </c>
      <c r="C74" s="112"/>
      <c r="D74" s="98"/>
      <c r="E74" s="176"/>
      <c r="F74" s="176"/>
      <c r="G74" s="176"/>
      <c r="H74" s="176"/>
      <c r="I74" s="176"/>
      <c r="K74" s="29"/>
      <c r="N74" s="148"/>
      <c r="O74" s="146"/>
      <c r="P74" s="148"/>
      <c r="Q74" s="146"/>
      <c r="R74" s="154"/>
      <c r="S74" s="146"/>
      <c r="T74" s="146"/>
      <c r="U74" s="146"/>
    </row>
    <row r="75" spans="1:24" x14ac:dyDescent="0.2">
      <c r="A75" s="54">
        <v>7</v>
      </c>
      <c r="B75" s="46"/>
      <c r="C75" s="10"/>
      <c r="D75" s="98"/>
      <c r="E75" s="176"/>
      <c r="F75" s="176"/>
      <c r="G75" s="176"/>
      <c r="H75" s="176"/>
      <c r="I75" s="176"/>
      <c r="N75" s="148"/>
      <c r="O75" s="146"/>
      <c r="P75" s="148"/>
      <c r="Q75" s="146"/>
      <c r="R75" s="154"/>
      <c r="S75" s="146"/>
      <c r="T75" s="146"/>
      <c r="U75" s="146"/>
    </row>
    <row r="76" spans="1:24" x14ac:dyDescent="0.2">
      <c r="A76" s="54">
        <v>8</v>
      </c>
      <c r="B76" s="46"/>
      <c r="C76" s="10"/>
      <c r="D76" s="98"/>
      <c r="E76" s="176"/>
      <c r="F76" s="176"/>
      <c r="G76" s="176"/>
      <c r="H76" s="176"/>
      <c r="I76" s="176"/>
      <c r="N76" s="146"/>
      <c r="O76" s="146"/>
      <c r="P76" s="146"/>
      <c r="Q76" s="146"/>
      <c r="R76" s="154"/>
      <c r="S76" s="146"/>
      <c r="T76" s="146"/>
      <c r="U76" s="146"/>
    </row>
    <row r="77" spans="1:24" x14ac:dyDescent="0.2">
      <c r="A77" s="54">
        <v>9</v>
      </c>
      <c r="B77" s="46"/>
      <c r="C77" s="10"/>
      <c r="D77" s="98"/>
      <c r="E77" s="163"/>
      <c r="F77" s="164"/>
      <c r="G77" s="164"/>
      <c r="H77" s="164"/>
      <c r="I77" s="165"/>
      <c r="N77" s="146"/>
      <c r="O77" s="146"/>
      <c r="P77" s="146"/>
      <c r="Q77" s="146"/>
      <c r="R77" s="153"/>
      <c r="S77" s="146"/>
      <c r="T77" s="146"/>
      <c r="U77" s="146"/>
    </row>
    <row r="78" spans="1:24" x14ac:dyDescent="0.2">
      <c r="A78" s="54">
        <v>10</v>
      </c>
      <c r="B78" s="46"/>
      <c r="C78" s="10"/>
      <c r="D78" s="98"/>
      <c r="E78" s="176"/>
      <c r="F78" s="176"/>
      <c r="G78" s="176"/>
      <c r="H78" s="176"/>
      <c r="I78" s="176"/>
      <c r="N78" s="146"/>
      <c r="O78" s="146"/>
      <c r="P78" s="146"/>
      <c r="Q78" s="146"/>
      <c r="R78" s="146"/>
      <c r="S78" s="146"/>
      <c r="T78" s="146"/>
      <c r="U78" s="146"/>
    </row>
    <row r="79" spans="1:24" ht="15" x14ac:dyDescent="0.25">
      <c r="A79" s="1" t="s">
        <v>150</v>
      </c>
      <c r="B79" s="2" t="s">
        <v>131</v>
      </c>
      <c r="C79" s="2"/>
      <c r="D79" s="99">
        <f>SUM(D65:D78)</f>
        <v>41020</v>
      </c>
      <c r="E79" s="25"/>
      <c r="F79" s="25"/>
      <c r="G79" s="25"/>
      <c r="H79" s="25"/>
      <c r="N79" s="146"/>
      <c r="O79" s="146"/>
      <c r="P79" s="146"/>
      <c r="Q79" s="146"/>
      <c r="R79" s="146"/>
      <c r="S79" s="146"/>
      <c r="T79" s="146"/>
      <c r="U79" s="146"/>
    </row>
    <row r="80" spans="1:24" ht="15" x14ac:dyDescent="0.25">
      <c r="B80" s="124" t="s">
        <v>132</v>
      </c>
      <c r="C80" s="71"/>
      <c r="D80" s="99">
        <f>K59</f>
        <v>59736.72649000003</v>
      </c>
      <c r="E80" s="25"/>
      <c r="F80" s="25"/>
      <c r="G80" s="25"/>
      <c r="H80" s="25"/>
      <c r="N80" s="146"/>
      <c r="O80" s="146"/>
      <c r="P80" s="146"/>
      <c r="Q80" s="146"/>
      <c r="R80" s="146"/>
      <c r="S80" s="146"/>
      <c r="T80" s="146"/>
      <c r="U80" s="146"/>
    </row>
    <row r="81" spans="1:21" ht="15" x14ac:dyDescent="0.25">
      <c r="B81" s="71" t="s">
        <v>24</v>
      </c>
      <c r="C81" s="71"/>
      <c r="D81" s="100">
        <f>D79-D80</f>
        <v>-18716.72649000003</v>
      </c>
      <c r="N81" s="146"/>
      <c r="O81" s="146"/>
      <c r="P81" s="146"/>
      <c r="Q81" s="146"/>
      <c r="R81" s="146"/>
      <c r="S81" s="146"/>
      <c r="T81" s="146"/>
      <c r="U81" s="146"/>
    </row>
    <row r="82" spans="1:21" ht="15.75" thickBot="1" x14ac:dyDescent="0.3">
      <c r="B82" s="135" t="s">
        <v>73</v>
      </c>
      <c r="C82" s="72"/>
      <c r="D82" s="61">
        <f>IF(ISERROR(D81/J59),0,D81/J59)</f>
        <v>-5.5176116345281908E-3</v>
      </c>
      <c r="E82" s="104" t="str">
        <f>IF(AND(D82&lt;0.01,D82&gt;-0.01),"","Unresolved differences of greater than + or - 1% should be explained")</f>
        <v/>
      </c>
      <c r="G82" s="79"/>
      <c r="H82" s="35"/>
      <c r="I82" s="35"/>
      <c r="J82" s="35"/>
      <c r="K82" s="35"/>
      <c r="L82" s="35"/>
      <c r="N82" s="146"/>
      <c r="O82" s="146"/>
      <c r="P82" s="146"/>
      <c r="Q82" s="146"/>
      <c r="R82" s="146"/>
      <c r="S82" s="146"/>
      <c r="T82" s="146"/>
      <c r="U82" s="146"/>
    </row>
    <row r="83" spans="1:21" ht="15.75" thickTop="1" x14ac:dyDescent="0.25">
      <c r="B83" s="2"/>
      <c r="C83" s="56"/>
      <c r="D83" s="59"/>
      <c r="G83" s="79"/>
      <c r="N83" s="146"/>
      <c r="O83" s="146"/>
      <c r="P83" s="146"/>
      <c r="Q83" s="146"/>
      <c r="R83" s="146"/>
      <c r="S83" s="146"/>
      <c r="T83" s="146"/>
      <c r="U83" s="146"/>
    </row>
    <row r="84" spans="1:21" ht="15" x14ac:dyDescent="0.25">
      <c r="B84" s="2"/>
      <c r="C84" s="56"/>
      <c r="D84" s="34"/>
      <c r="N84" s="146"/>
      <c r="O84" s="146"/>
      <c r="P84" s="146"/>
      <c r="Q84" s="146"/>
      <c r="R84" s="146"/>
      <c r="S84" s="146"/>
      <c r="T84" s="146"/>
      <c r="U84" s="146"/>
    </row>
    <row r="85" spans="1:21" ht="15" x14ac:dyDescent="0.25">
      <c r="A85" s="1" t="s">
        <v>75</v>
      </c>
      <c r="B85" s="73" t="s">
        <v>138</v>
      </c>
      <c r="C85" s="58"/>
      <c r="D85" s="59"/>
    </row>
    <row r="86" spans="1:21" ht="15" x14ac:dyDescent="0.25">
      <c r="B86" s="57"/>
      <c r="C86" s="58"/>
      <c r="D86" s="59"/>
    </row>
    <row r="87" spans="1:21"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21"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21" x14ac:dyDescent="0.2">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21" x14ac:dyDescent="0.2">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21" ht="15" thickBot="1" x14ac:dyDescent="0.25">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21" ht="15.75" thickBot="1" x14ac:dyDescent="0.3">
      <c r="B92" s="75" t="s">
        <v>74</v>
      </c>
      <c r="C92" s="130">
        <f t="shared" ref="C92:H92" si="6">SUM(C88:C91)</f>
        <v>0</v>
      </c>
      <c r="D92" s="130">
        <f t="shared" si="6"/>
        <v>0</v>
      </c>
      <c r="E92" s="130">
        <f t="shared" si="6"/>
        <v>0</v>
      </c>
      <c r="F92" s="132">
        <f t="shared" si="6"/>
        <v>0</v>
      </c>
      <c r="G92" s="130">
        <f>SUM(G88:G91)</f>
        <v>0</v>
      </c>
      <c r="H92" s="77">
        <f t="shared" si="6"/>
        <v>0</v>
      </c>
      <c r="I92" s="78" t="s">
        <v>80</v>
      </c>
      <c r="J92" s="79"/>
      <c r="K92" s="79"/>
      <c r="L92" s="35"/>
      <c r="M92" s="35"/>
      <c r="N92" s="35"/>
      <c r="O92" s="35"/>
      <c r="P92" s="35"/>
      <c r="Q92" s="35"/>
      <c r="R92" s="35"/>
      <c r="S92" s="35"/>
    </row>
    <row r="93" spans="1:21" x14ac:dyDescent="0.2">
      <c r="B93" s="4"/>
      <c r="C93" s="4"/>
      <c r="D93" s="4"/>
      <c r="E93" s="4"/>
      <c r="F93" s="4"/>
      <c r="G93" s="4"/>
      <c r="J93" s="79"/>
      <c r="K93" s="79"/>
      <c r="L93" s="35"/>
      <c r="M93" s="35"/>
      <c r="N93" s="35"/>
      <c r="O93" s="35"/>
      <c r="P93" s="35"/>
      <c r="Q93" s="35"/>
      <c r="R93" s="35"/>
      <c r="S93" s="35"/>
    </row>
    <row r="94" spans="1:21" x14ac:dyDescent="0.2">
      <c r="J94" s="79"/>
      <c r="K94" s="79"/>
      <c r="L94" s="35"/>
      <c r="M94" s="35"/>
      <c r="N94" s="35"/>
      <c r="O94" s="35"/>
      <c r="P94" s="35"/>
      <c r="Q94" s="35"/>
      <c r="R94" s="35"/>
      <c r="S94" s="35"/>
    </row>
    <row r="95" spans="1:21" ht="15" x14ac:dyDescent="0.25">
      <c r="B95" s="3" t="s">
        <v>37</v>
      </c>
      <c r="J95" s="79"/>
      <c r="K95" s="79"/>
    </row>
    <row r="96" spans="1:21"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78" fitToHeight="2" orientation="landscape" cellComments="asDisplayed" r:id="rId1"/>
  <rowBreaks count="1" manualBreakCount="1">
    <brk id="6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opLeftCell="A76" zoomScaleNormal="100" zoomScaleSheetLayoutView="100" workbookViewId="0">
      <selection activeCell="W107" sqref="A1:W10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5.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9" t="s">
        <v>25</v>
      </c>
      <c r="C21" s="169"/>
      <c r="D21" s="24">
        <v>2016</v>
      </c>
      <c r="E21" s="170"/>
      <c r="F21" s="171"/>
      <c r="G21" s="79"/>
      <c r="H21" s="79"/>
      <c r="I21" s="79"/>
      <c r="J21" s="79"/>
      <c r="K21" s="79"/>
      <c r="L21" s="79"/>
      <c r="M21" s="79"/>
      <c r="N21" s="79"/>
      <c r="O21" s="79"/>
      <c r="P21" s="79"/>
      <c r="Q21" s="79"/>
    </row>
    <row r="22" spans="1:24" ht="15" thickBot="1" x14ac:dyDescent="0.25">
      <c r="A22" s="4"/>
      <c r="B22" s="5" t="s">
        <v>3</v>
      </c>
      <c r="C22" s="5" t="s">
        <v>2</v>
      </c>
      <c r="D22" s="117">
        <f>D23+D24</f>
        <v>96413254</v>
      </c>
      <c r="E22" s="6" t="s">
        <v>0</v>
      </c>
      <c r="F22" s="7">
        <v>1</v>
      </c>
      <c r="G22" s="79"/>
      <c r="H22" s="79"/>
      <c r="I22" s="79"/>
      <c r="J22" s="79"/>
      <c r="K22" s="79"/>
      <c r="L22" s="79"/>
      <c r="M22" s="79"/>
      <c r="N22" s="79"/>
      <c r="O22" s="79"/>
      <c r="P22" s="79"/>
      <c r="Q22" s="79"/>
    </row>
    <row r="23" spans="1:24" x14ac:dyDescent="0.2">
      <c r="B23" s="5" t="s">
        <v>7</v>
      </c>
      <c r="C23" s="5" t="s">
        <v>1</v>
      </c>
      <c r="D23" s="118">
        <v>56318826</v>
      </c>
      <c r="E23" s="6" t="s">
        <v>0</v>
      </c>
      <c r="F23" s="8">
        <f>IFERROR(D23/$D$22,0)</f>
        <v>0.58413987354892094</v>
      </c>
    </row>
    <row r="24" spans="1:24" ht="15" thickBot="1" x14ac:dyDescent="0.25">
      <c r="B24" s="5" t="s">
        <v>8</v>
      </c>
      <c r="C24" s="5" t="s">
        <v>6</v>
      </c>
      <c r="D24" s="117">
        <f>D25+D26</f>
        <v>40094428</v>
      </c>
      <c r="E24" s="6" t="s">
        <v>0</v>
      </c>
      <c r="F24" s="8">
        <f>IFERROR(D24/$D$22,0)</f>
        <v>0.415860126451079</v>
      </c>
    </row>
    <row r="25" spans="1:24" x14ac:dyDescent="0.2">
      <c r="B25" s="5" t="s">
        <v>9</v>
      </c>
      <c r="C25" s="5" t="s">
        <v>4</v>
      </c>
      <c r="D25" s="118"/>
      <c r="E25" s="6" t="s">
        <v>0</v>
      </c>
      <c r="F25" s="8">
        <f>IFERROR(D25/$D$22,0)</f>
        <v>0</v>
      </c>
    </row>
    <row r="26" spans="1:24" x14ac:dyDescent="0.2">
      <c r="B26" s="5" t="s">
        <v>61</v>
      </c>
      <c r="C26" s="5" t="s">
        <v>5</v>
      </c>
      <c r="D26" s="119">
        <f>19104668+20989760</f>
        <v>40094428</v>
      </c>
      <c r="E26" s="6" t="s">
        <v>0</v>
      </c>
      <c r="F26" s="8">
        <f>IFERROR(D26/$D$22,0)</f>
        <v>0.415860126451079</v>
      </c>
      <c r="G26" s="29"/>
      <c r="H26" s="29"/>
    </row>
    <row r="27" spans="1:24" ht="34.5" customHeight="1" x14ac:dyDescent="0.2">
      <c r="B27" s="172" t="s">
        <v>77</v>
      </c>
      <c r="C27" s="172"/>
      <c r="D27" s="172"/>
      <c r="E27" s="172"/>
      <c r="F27" s="172"/>
      <c r="G27" s="173"/>
      <c r="H27" s="173"/>
    </row>
    <row r="28" spans="1:24" x14ac:dyDescent="0.2">
      <c r="D28" s="144"/>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74">
        <v>2016</v>
      </c>
      <c r="P45" s="174"/>
      <c r="Q45" s="174"/>
      <c r="R45" s="174">
        <v>2015</v>
      </c>
      <c r="S45" s="174"/>
      <c r="T45" s="174"/>
      <c r="U45" s="174">
        <v>2014</v>
      </c>
      <c r="V45" s="174"/>
      <c r="W45" s="17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f>10573859-6325575</f>
        <v>4248284</v>
      </c>
      <c r="D47" s="94"/>
      <c r="E47" s="60"/>
      <c r="F47" s="51">
        <f>C47-D47+E47</f>
        <v>4248284</v>
      </c>
      <c r="G47" s="111">
        <v>8.4199999999999997E-2</v>
      </c>
      <c r="H47" s="15">
        <f>F47*G47</f>
        <v>357705.51279999997</v>
      </c>
      <c r="I47" s="111">
        <f>+Q47</f>
        <v>9.1789999999999997E-2</v>
      </c>
      <c r="J47" s="17">
        <f>F47*I47</f>
        <v>389949.98835999996</v>
      </c>
      <c r="K47" s="16">
        <f>J47-H47</f>
        <v>32244.475559999992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9471477-5651217</f>
        <v>3820260</v>
      </c>
      <c r="D48" s="94"/>
      <c r="E48" s="60"/>
      <c r="F48" s="51">
        <f t="shared" ref="F48:F58" si="0">C48-D48+E48</f>
        <v>3820260</v>
      </c>
      <c r="G48" s="111">
        <v>0.1038</v>
      </c>
      <c r="H48" s="15">
        <f t="shared" ref="H48:H58" si="1">F48*G48</f>
        <v>396542.98800000001</v>
      </c>
      <c r="I48" s="111">
        <f t="shared" ref="I48:I58" si="2">+Q48</f>
        <v>9.851E-2</v>
      </c>
      <c r="J48" s="17">
        <f t="shared" ref="J48:J58" si="3">F48*I48</f>
        <v>376333.8126</v>
      </c>
      <c r="K48" s="16">
        <f t="shared" ref="K48:K58" si="4">J48-H48</f>
        <v>-20209.175400000007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8739288-4990063</f>
        <v>3749225</v>
      </c>
      <c r="D49" s="94"/>
      <c r="E49" s="60"/>
      <c r="F49" s="51">
        <f t="shared" si="0"/>
        <v>3749225</v>
      </c>
      <c r="G49" s="111">
        <v>9.0200000000000002E-2</v>
      </c>
      <c r="H49" s="15">
        <f t="shared" si="1"/>
        <v>338180.09500000003</v>
      </c>
      <c r="I49" s="111">
        <f t="shared" si="2"/>
        <v>0.1061</v>
      </c>
      <c r="J49" s="17">
        <f t="shared" si="3"/>
        <v>397792.77250000002</v>
      </c>
      <c r="K49" s="16">
        <f t="shared" si="4"/>
        <v>59612.677499999991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7831516-4484687</f>
        <v>3346829</v>
      </c>
      <c r="D50" s="94"/>
      <c r="E50" s="60"/>
      <c r="F50" s="51">
        <f t="shared" si="0"/>
        <v>3346829</v>
      </c>
      <c r="G50" s="111">
        <v>0.121</v>
      </c>
      <c r="H50" s="15">
        <f t="shared" si="1"/>
        <v>404966.30900000001</v>
      </c>
      <c r="I50" s="111">
        <f t="shared" si="2"/>
        <v>0.11132</v>
      </c>
      <c r="J50" s="17">
        <f t="shared" si="3"/>
        <v>372569.00427999999</v>
      </c>
      <c r="K50" s="16">
        <f t="shared" si="4"/>
        <v>-32397.304720000015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7292591-4134398</f>
        <v>3158193</v>
      </c>
      <c r="D51" s="94"/>
      <c r="E51" s="60"/>
      <c r="F51" s="51">
        <f t="shared" si="0"/>
        <v>3158193</v>
      </c>
      <c r="G51" s="111">
        <v>0.104</v>
      </c>
      <c r="H51" s="15">
        <f t="shared" si="1"/>
        <v>328452.07199999999</v>
      </c>
      <c r="I51" s="111">
        <f t="shared" si="2"/>
        <v>0.10749</v>
      </c>
      <c r="J51" s="17">
        <f t="shared" si="3"/>
        <v>339474.16557000001</v>
      </c>
      <c r="K51" s="16">
        <f t="shared" si="4"/>
        <v>11022.093570000026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7287882-4120661</f>
        <v>3167221</v>
      </c>
      <c r="D52" s="94"/>
      <c r="E52" s="60"/>
      <c r="F52" s="51">
        <f t="shared" si="0"/>
        <v>3167221</v>
      </c>
      <c r="G52" s="111">
        <v>0.11700000000000001</v>
      </c>
      <c r="H52" s="15">
        <f t="shared" si="1"/>
        <v>370564.85700000002</v>
      </c>
      <c r="I52" s="111">
        <f t="shared" si="2"/>
        <v>9.5449999999999993E-2</v>
      </c>
      <c r="J52" s="17">
        <f t="shared" si="3"/>
        <v>302311.24445</v>
      </c>
      <c r="K52" s="16">
        <f t="shared" si="4"/>
        <v>-68253.61255000002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f>8260608-4900152</f>
        <v>3360456</v>
      </c>
      <c r="D53" s="94"/>
      <c r="E53" s="60"/>
      <c r="F53" s="51">
        <f t="shared" si="0"/>
        <v>3360456</v>
      </c>
      <c r="G53" s="111">
        <v>7.6700000000000004E-2</v>
      </c>
      <c r="H53" s="15">
        <f t="shared" si="1"/>
        <v>257746.97520000002</v>
      </c>
      <c r="I53" s="111">
        <f t="shared" si="2"/>
        <v>8.3059999999999995E-2</v>
      </c>
      <c r="J53" s="17">
        <f t="shared" si="3"/>
        <v>279119.47535999998</v>
      </c>
      <c r="K53" s="16">
        <f t="shared" si="4"/>
        <v>21372.500159999967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f>8248827-4919674</f>
        <v>3329153</v>
      </c>
      <c r="D54" s="94"/>
      <c r="E54" s="60"/>
      <c r="F54" s="51">
        <f t="shared" si="0"/>
        <v>3329153</v>
      </c>
      <c r="G54" s="111">
        <v>8.5699999999999998E-2</v>
      </c>
      <c r="H54" s="15">
        <f t="shared" si="1"/>
        <v>285308.41210000002</v>
      </c>
      <c r="I54" s="111">
        <f t="shared" si="2"/>
        <v>7.1029999999999996E-2</v>
      </c>
      <c r="J54" s="17">
        <f t="shared" si="3"/>
        <v>236469.73758999998</v>
      </c>
      <c r="K54" s="16">
        <f t="shared" si="4"/>
        <v>-48838.674510000041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f>7087309-4013529</f>
        <v>3073780</v>
      </c>
      <c r="D55" s="94"/>
      <c r="E55" s="60"/>
      <c r="F55" s="51">
        <f t="shared" si="0"/>
        <v>3073780</v>
      </c>
      <c r="G55" s="111">
        <v>7.0599999999999996E-2</v>
      </c>
      <c r="H55" s="15">
        <f t="shared" si="1"/>
        <v>217008.86799999999</v>
      </c>
      <c r="I55" s="111">
        <f t="shared" si="2"/>
        <v>9.5310000000000006E-2</v>
      </c>
      <c r="J55" s="17">
        <f t="shared" si="3"/>
        <v>292961.9718</v>
      </c>
      <c r="K55" s="16">
        <f t="shared" si="4"/>
        <v>75953.103800000012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f>7692211-4486078</f>
        <v>3206133</v>
      </c>
      <c r="D56" s="94"/>
      <c r="E56" s="60"/>
      <c r="F56" s="51">
        <f t="shared" si="0"/>
        <v>3206133</v>
      </c>
      <c r="G56" s="111">
        <v>9.7199999999999995E-2</v>
      </c>
      <c r="H56" s="15">
        <f t="shared" si="1"/>
        <v>311636.12760000001</v>
      </c>
      <c r="I56" s="111">
        <f t="shared" si="2"/>
        <v>0.11226</v>
      </c>
      <c r="J56" s="17">
        <f t="shared" si="3"/>
        <v>359920.49057999998</v>
      </c>
      <c r="K56" s="16">
        <f t="shared" si="4"/>
        <v>48284.362979999976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f>7929257-4679190</f>
        <v>3250067</v>
      </c>
      <c r="D57" s="94"/>
      <c r="E57" s="60"/>
      <c r="F57" s="51">
        <f t="shared" si="0"/>
        <v>3250067</v>
      </c>
      <c r="G57" s="111">
        <v>0.123</v>
      </c>
      <c r="H57" s="15">
        <f t="shared" si="1"/>
        <v>399758.24099999998</v>
      </c>
      <c r="I57" s="111">
        <f t="shared" si="2"/>
        <v>0.11108999999999999</v>
      </c>
      <c r="J57" s="17">
        <f t="shared" si="3"/>
        <v>361049.94302999997</v>
      </c>
      <c r="K57" s="16">
        <f t="shared" si="4"/>
        <v>-38708.297970000014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f>10345360-6576339</f>
        <v>3769021</v>
      </c>
      <c r="D58" s="94"/>
      <c r="E58" s="60"/>
      <c r="F58" s="51">
        <f t="shared" si="0"/>
        <v>3769021</v>
      </c>
      <c r="G58" s="111">
        <v>0.106</v>
      </c>
      <c r="H58" s="15">
        <f t="shared" si="1"/>
        <v>399516.22599999997</v>
      </c>
      <c r="I58" s="111">
        <f t="shared" si="2"/>
        <v>8.7080000000000005E-2</v>
      </c>
      <c r="J58" s="17">
        <f t="shared" si="3"/>
        <v>328206.34868</v>
      </c>
      <c r="K58" s="16">
        <f t="shared" si="4"/>
        <v>-71309.87731999997</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41478622</v>
      </c>
      <c r="D59" s="97">
        <f>SUM(D47:D58)</f>
        <v>0</v>
      </c>
      <c r="E59" s="97">
        <f>SUM(E47:E58)</f>
        <v>0</v>
      </c>
      <c r="F59" s="97">
        <f>SUM(F47:F58)</f>
        <v>41478622</v>
      </c>
      <c r="G59" s="37"/>
      <c r="H59" s="38">
        <f>SUM(H47:H58)</f>
        <v>4067386.6836999995</v>
      </c>
      <c r="I59" s="37"/>
      <c r="J59" s="38">
        <f>SUM(J47:J58)</f>
        <v>4036158.9547999995</v>
      </c>
      <c r="K59" s="39">
        <f>SUM(K47:K58)</f>
        <v>-31227.728900000104</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G61" s="158"/>
      <c r="H61" s="147"/>
      <c r="N61" s="29"/>
      <c r="O61" s="30"/>
      <c r="P61" s="30"/>
      <c r="Q61" s="30"/>
      <c r="R61" s="30"/>
      <c r="S61" s="30"/>
      <c r="T61" s="30"/>
      <c r="U61" s="30"/>
      <c r="V61" s="30"/>
      <c r="W61" s="30"/>
    </row>
    <row r="62" spans="1:24" ht="15" x14ac:dyDescent="0.25">
      <c r="A62" s="1" t="s">
        <v>143</v>
      </c>
      <c r="B62" s="47" t="s">
        <v>136</v>
      </c>
      <c r="C62" s="2"/>
      <c r="G62" s="146"/>
      <c r="H62" s="157"/>
      <c r="J62" s="121"/>
      <c r="K62" s="115"/>
      <c r="N62" s="146"/>
      <c r="O62" s="148"/>
      <c r="P62" s="148"/>
      <c r="Q62" s="30"/>
      <c r="R62" s="30"/>
      <c r="S62" s="30"/>
      <c r="T62" s="30"/>
      <c r="U62" s="30"/>
      <c r="V62" s="30"/>
      <c r="W62" s="30"/>
    </row>
    <row r="63" spans="1:24" ht="15" x14ac:dyDescent="0.25">
      <c r="B63" s="3"/>
      <c r="C63" s="2"/>
      <c r="K63" s="123"/>
      <c r="N63" s="146"/>
      <c r="O63" s="146"/>
      <c r="P63" s="146"/>
      <c r="Q63" s="29"/>
      <c r="R63" s="29"/>
      <c r="S63" s="29"/>
      <c r="T63" s="29"/>
      <c r="U63" s="29"/>
      <c r="V63" s="29"/>
      <c r="W63" s="29"/>
    </row>
    <row r="64" spans="1:24" ht="45" x14ac:dyDescent="0.25">
      <c r="A64" s="11"/>
      <c r="B64" s="138" t="s">
        <v>45</v>
      </c>
      <c r="C64" s="48" t="s">
        <v>67</v>
      </c>
      <c r="D64" s="48" t="s">
        <v>121</v>
      </c>
      <c r="E64" s="175" t="s">
        <v>44</v>
      </c>
      <c r="F64" s="175"/>
      <c r="G64" s="175"/>
      <c r="H64" s="175"/>
      <c r="I64" s="175"/>
      <c r="K64" s="121"/>
      <c r="N64" s="148"/>
      <c r="O64" s="151"/>
      <c r="P64" s="152"/>
      <c r="Q64" s="29"/>
      <c r="R64" s="29"/>
      <c r="S64" s="29"/>
      <c r="T64" s="29"/>
      <c r="U64" s="29"/>
      <c r="V64" s="29"/>
      <c r="W64" s="29"/>
      <c r="X64" s="29"/>
    </row>
    <row r="65" spans="1:24" ht="30.75" customHeight="1" x14ac:dyDescent="0.25">
      <c r="A65" s="166" t="s">
        <v>134</v>
      </c>
      <c r="B65" s="167"/>
      <c r="C65" s="168"/>
      <c r="D65" s="127">
        <v>-224116</v>
      </c>
      <c r="E65" s="177"/>
      <c r="F65" s="178"/>
      <c r="G65" s="178"/>
      <c r="H65" s="178"/>
      <c r="I65" s="179"/>
      <c r="K65" s="121"/>
      <c r="N65" s="148"/>
      <c r="O65" s="148"/>
      <c r="P65" s="152"/>
      <c r="Q65" s="29"/>
      <c r="R65" s="29"/>
      <c r="S65" s="29"/>
      <c r="T65" s="29"/>
      <c r="U65" s="29"/>
      <c r="V65" s="29"/>
      <c r="W65" s="29"/>
      <c r="X65" s="29"/>
    </row>
    <row r="66" spans="1:24" ht="28.5" x14ac:dyDescent="0.2">
      <c r="A66" s="70" t="s">
        <v>51</v>
      </c>
      <c r="B66" s="49" t="s">
        <v>62</v>
      </c>
      <c r="C66" s="112"/>
      <c r="D66" s="98">
        <v>181445</v>
      </c>
      <c r="E66" s="176" t="s">
        <v>163</v>
      </c>
      <c r="F66" s="176"/>
      <c r="G66" s="176"/>
      <c r="H66" s="176"/>
      <c r="I66" s="176"/>
      <c r="K66" s="121"/>
      <c r="N66" s="148"/>
      <c r="O66" s="148"/>
      <c r="P66" s="152"/>
      <c r="Q66" s="29"/>
      <c r="R66" s="29"/>
      <c r="S66" s="29"/>
      <c r="T66" s="29"/>
      <c r="U66" s="29"/>
      <c r="V66" s="29"/>
      <c r="W66" s="29"/>
      <c r="X66" s="29"/>
    </row>
    <row r="67" spans="1:24" ht="28.5" x14ac:dyDescent="0.2">
      <c r="A67" s="70" t="s">
        <v>52</v>
      </c>
      <c r="B67" s="49" t="s">
        <v>79</v>
      </c>
      <c r="C67" s="113"/>
      <c r="D67" s="114"/>
      <c r="E67" s="163"/>
      <c r="F67" s="164"/>
      <c r="G67" s="164"/>
      <c r="H67" s="164"/>
      <c r="I67" s="165"/>
      <c r="J67" s="79"/>
      <c r="K67" s="122"/>
      <c r="L67" s="79"/>
      <c r="M67" s="79"/>
      <c r="N67" s="148"/>
      <c r="O67" s="148"/>
      <c r="P67" s="152"/>
      <c r="Q67" s="79"/>
    </row>
    <row r="68" spans="1:24" ht="28.5" x14ac:dyDescent="0.2">
      <c r="A68" s="70" t="s">
        <v>65</v>
      </c>
      <c r="B68" s="49" t="s">
        <v>64</v>
      </c>
      <c r="C68" s="112"/>
      <c r="D68" s="114"/>
      <c r="E68" s="176"/>
      <c r="F68" s="176"/>
      <c r="G68" s="176"/>
      <c r="H68" s="176"/>
      <c r="I68" s="176"/>
      <c r="J68" s="79"/>
      <c r="K68" s="122"/>
      <c r="L68" s="79"/>
      <c r="M68" s="79"/>
      <c r="N68" s="148"/>
      <c r="O68" s="148"/>
      <c r="P68" s="152"/>
      <c r="Q68" s="79"/>
    </row>
    <row r="69" spans="1:24" ht="28.5" x14ac:dyDescent="0.2">
      <c r="A69" s="70" t="s">
        <v>66</v>
      </c>
      <c r="B69" s="49" t="s">
        <v>63</v>
      </c>
      <c r="C69" s="113"/>
      <c r="D69" s="114">
        <v>-1690</v>
      </c>
      <c r="E69" s="163" t="s">
        <v>167</v>
      </c>
      <c r="F69" s="164"/>
      <c r="G69" s="164"/>
      <c r="H69" s="164"/>
      <c r="I69" s="165"/>
      <c r="J69" s="79"/>
      <c r="K69" s="125"/>
      <c r="L69" s="79"/>
      <c r="M69" s="79"/>
      <c r="N69" s="148"/>
      <c r="O69" s="148"/>
      <c r="P69" s="152"/>
      <c r="Q69" s="79"/>
    </row>
    <row r="70" spans="1:24" ht="28.5" x14ac:dyDescent="0.2">
      <c r="A70" s="70" t="s">
        <v>69</v>
      </c>
      <c r="B70" s="49" t="s">
        <v>71</v>
      </c>
      <c r="C70" s="112"/>
      <c r="D70" s="98"/>
      <c r="E70" s="176"/>
      <c r="F70" s="176"/>
      <c r="G70" s="176"/>
      <c r="H70" s="176"/>
      <c r="I70" s="176"/>
      <c r="J70" s="79"/>
      <c r="K70" s="125"/>
      <c r="L70" s="79"/>
      <c r="M70" s="79"/>
      <c r="N70" s="148"/>
      <c r="O70" s="148"/>
      <c r="P70" s="152"/>
      <c r="Q70" s="79"/>
    </row>
    <row r="71" spans="1:24" ht="28.5" x14ac:dyDescent="0.2">
      <c r="A71" s="70" t="s">
        <v>70</v>
      </c>
      <c r="B71" s="49" t="s">
        <v>72</v>
      </c>
      <c r="C71" s="112"/>
      <c r="D71" s="98"/>
      <c r="E71" s="176"/>
      <c r="F71" s="176"/>
      <c r="G71" s="176"/>
      <c r="H71" s="176"/>
      <c r="I71" s="176"/>
      <c r="J71" s="79"/>
      <c r="K71" s="125"/>
      <c r="L71" s="79"/>
      <c r="M71" s="79"/>
      <c r="N71" s="148"/>
      <c r="O71" s="148"/>
      <c r="P71" s="152"/>
      <c r="Q71" s="79"/>
    </row>
    <row r="72" spans="1:24" ht="33.75" customHeight="1" x14ac:dyDescent="0.2">
      <c r="A72" s="70">
        <v>4</v>
      </c>
      <c r="B72" s="49" t="s">
        <v>68</v>
      </c>
      <c r="C72" s="112"/>
      <c r="D72" s="98"/>
      <c r="E72" s="176"/>
      <c r="F72" s="176"/>
      <c r="G72" s="176"/>
      <c r="H72" s="176"/>
      <c r="I72" s="176"/>
      <c r="J72" s="79"/>
      <c r="K72" s="125"/>
      <c r="L72" s="79"/>
      <c r="M72" s="79"/>
      <c r="N72" s="148"/>
      <c r="O72" s="148"/>
      <c r="P72" s="152"/>
      <c r="Q72" s="79"/>
    </row>
    <row r="73" spans="1:24" ht="42.75" x14ac:dyDescent="0.2">
      <c r="A73" s="70">
        <v>5</v>
      </c>
      <c r="B73" s="49" t="s">
        <v>81</v>
      </c>
      <c r="C73" s="112"/>
      <c r="D73" s="98"/>
      <c r="E73" s="176"/>
      <c r="F73" s="176"/>
      <c r="G73" s="176"/>
      <c r="H73" s="176"/>
      <c r="I73" s="176"/>
      <c r="J73" s="79"/>
      <c r="K73" s="125"/>
      <c r="L73" s="79"/>
      <c r="M73" s="79"/>
      <c r="N73" s="148"/>
      <c r="O73" s="148"/>
      <c r="P73" s="152"/>
      <c r="Q73" s="79"/>
    </row>
    <row r="74" spans="1:24" ht="28.5" x14ac:dyDescent="0.2">
      <c r="A74" s="54">
        <v>6</v>
      </c>
      <c r="B74" s="129" t="s">
        <v>137</v>
      </c>
      <c r="C74" s="112"/>
      <c r="D74" s="98"/>
      <c r="E74" s="176"/>
      <c r="F74" s="176"/>
      <c r="G74" s="176"/>
      <c r="H74" s="176"/>
      <c r="I74" s="176"/>
      <c r="K74" s="29"/>
      <c r="N74" s="148"/>
      <c r="O74" s="148"/>
      <c r="P74" s="152"/>
    </row>
    <row r="75" spans="1:24" x14ac:dyDescent="0.2">
      <c r="A75" s="54">
        <v>7</v>
      </c>
      <c r="B75" s="46"/>
      <c r="C75" s="10"/>
      <c r="D75" s="98"/>
      <c r="E75" s="176"/>
      <c r="F75" s="176"/>
      <c r="G75" s="176"/>
      <c r="H75" s="176"/>
      <c r="I75" s="176"/>
      <c r="N75" s="148"/>
      <c r="O75" s="148"/>
      <c r="P75" s="152"/>
    </row>
    <row r="76" spans="1:24" x14ac:dyDescent="0.2">
      <c r="A76" s="54">
        <v>8</v>
      </c>
      <c r="B76" s="46"/>
      <c r="C76" s="10"/>
      <c r="D76" s="98"/>
      <c r="E76" s="176"/>
      <c r="F76" s="176"/>
      <c r="G76" s="176"/>
      <c r="H76" s="176"/>
      <c r="I76" s="176"/>
      <c r="N76" s="146"/>
      <c r="O76" s="146"/>
      <c r="P76" s="152"/>
    </row>
    <row r="77" spans="1:24" x14ac:dyDescent="0.2">
      <c r="A77" s="54">
        <v>9</v>
      </c>
      <c r="B77" s="46"/>
      <c r="C77" s="10"/>
      <c r="D77" s="98"/>
      <c r="E77" s="163"/>
      <c r="F77" s="164"/>
      <c r="G77" s="164"/>
      <c r="H77" s="164"/>
      <c r="I77" s="165"/>
      <c r="N77" s="146"/>
      <c r="O77" s="146"/>
      <c r="P77" s="152"/>
    </row>
    <row r="78" spans="1:24" x14ac:dyDescent="0.2">
      <c r="A78" s="54">
        <v>10</v>
      </c>
      <c r="B78" s="46"/>
      <c r="C78" s="10"/>
      <c r="D78" s="98"/>
      <c r="E78" s="176"/>
      <c r="F78" s="176"/>
      <c r="G78" s="176"/>
      <c r="H78" s="176"/>
      <c r="I78" s="176"/>
      <c r="N78" s="146"/>
      <c r="O78" s="146"/>
      <c r="P78" s="146"/>
    </row>
    <row r="79" spans="1:24" ht="15" x14ac:dyDescent="0.25">
      <c r="A79" s="1" t="s">
        <v>150</v>
      </c>
      <c r="B79" s="2" t="s">
        <v>131</v>
      </c>
      <c r="C79" s="2"/>
      <c r="D79" s="99">
        <f>SUM(D65:D78)</f>
        <v>-44361</v>
      </c>
      <c r="E79" s="25"/>
      <c r="F79" s="25"/>
      <c r="G79" s="25"/>
      <c r="H79" s="25"/>
      <c r="N79" s="146"/>
      <c r="O79" s="146"/>
      <c r="P79" s="146"/>
    </row>
    <row r="80" spans="1:24" ht="15" x14ac:dyDescent="0.25">
      <c r="B80" s="124" t="s">
        <v>132</v>
      </c>
      <c r="C80" s="71"/>
      <c r="D80" s="99">
        <f>K59</f>
        <v>-31227.728900000104</v>
      </c>
      <c r="E80" s="25"/>
      <c r="F80" s="25"/>
      <c r="G80" s="25"/>
      <c r="H80" s="25"/>
      <c r="N80" s="146"/>
      <c r="O80" s="146"/>
      <c r="P80" s="146"/>
    </row>
    <row r="81" spans="1:19" ht="15" x14ac:dyDescent="0.25">
      <c r="B81" s="71" t="s">
        <v>24</v>
      </c>
      <c r="C81" s="71"/>
      <c r="D81" s="100">
        <f>D79-D80</f>
        <v>-13133.271099999896</v>
      </c>
      <c r="N81" s="146"/>
      <c r="O81" s="146"/>
      <c r="P81" s="146"/>
    </row>
    <row r="82" spans="1:19" ht="15.75" thickBot="1" x14ac:dyDescent="0.3">
      <c r="B82" s="135" t="s">
        <v>73</v>
      </c>
      <c r="C82" s="72"/>
      <c r="D82" s="61">
        <f>IF(ISERROR(D81/J59),0,D81/J59)</f>
        <v>-3.2539033390598161E-3</v>
      </c>
      <c r="E82" s="104" t="str">
        <f>IF(AND(D82&lt;0.01,D82&gt;-0.01),"","Unresolved differences of greater than + or - 1% should be explained")</f>
        <v/>
      </c>
      <c r="G82" s="79"/>
      <c r="H82" s="35"/>
      <c r="I82" s="35"/>
      <c r="J82" s="35"/>
      <c r="K82" s="35"/>
      <c r="L82" s="35"/>
      <c r="N82" s="146"/>
      <c r="O82" s="146"/>
      <c r="P82" s="146"/>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-31227.728900000104</v>
      </c>
      <c r="D88" s="107">
        <f>+D65</f>
        <v>-224116</v>
      </c>
      <c r="E88" s="108">
        <f>+D66</f>
        <v>181445</v>
      </c>
      <c r="F88" s="131">
        <f>SUM(D88:E88)</f>
        <v>-42671</v>
      </c>
      <c r="G88" s="109">
        <f>F88-C88</f>
        <v>-11443.271099999896</v>
      </c>
      <c r="H88" s="108">
        <f>+J59</f>
        <v>4036158.9547999995</v>
      </c>
      <c r="I88" s="105">
        <f>IF(ISERROR(G88/H88),0,G88/H88)</f>
        <v>-2.8351884125849386E-3</v>
      </c>
      <c r="J88" s="79"/>
      <c r="K88" s="79"/>
      <c r="L88" s="35"/>
      <c r="M88" s="35"/>
      <c r="N88" s="35"/>
      <c r="O88" s="35"/>
      <c r="P88" s="35"/>
      <c r="Q88" s="35"/>
      <c r="R88" s="35"/>
      <c r="S88" s="35"/>
    </row>
    <row r="89" spans="1:19" x14ac:dyDescent="0.2">
      <c r="B89" s="116">
        <v>2015</v>
      </c>
      <c r="C89" s="107">
        <f>+'GA Analysis 2015'!K59</f>
        <v>59736.72649000003</v>
      </c>
      <c r="D89" s="107">
        <f>+'GA Analysis 2015'!D65</f>
        <v>29160</v>
      </c>
      <c r="E89" s="108">
        <f>+SUM('GA Analysis 2015'!D66:D78)</f>
        <v>11860</v>
      </c>
      <c r="F89" s="131">
        <f t="shared" ref="F89:F91" si="5">SUM(D89:E89)</f>
        <v>41020</v>
      </c>
      <c r="G89" s="109">
        <f>F89-C89</f>
        <v>-18716.72649000003</v>
      </c>
      <c r="H89" s="108">
        <f>+'GA Analysis 2015'!J59</f>
        <v>3392179.0313899997</v>
      </c>
      <c r="I89" s="105">
        <f>IF(ISERROR(G89/H89),0,G89/H89)</f>
        <v>-5.5176116345281908E-3</v>
      </c>
      <c r="J89" s="79"/>
      <c r="K89" s="79"/>
      <c r="L89" s="35"/>
      <c r="M89" s="35"/>
      <c r="N89" s="35"/>
      <c r="O89" s="35"/>
      <c r="P89" s="35"/>
      <c r="Q89" s="35"/>
      <c r="R89" s="35"/>
      <c r="S89" s="35"/>
    </row>
    <row r="90" spans="1:19" x14ac:dyDescent="0.2">
      <c r="B90" s="116">
        <v>2014</v>
      </c>
      <c r="C90" s="107">
        <f>+'GA Analysis 2014'!K59</f>
        <v>112386.33215999996</v>
      </c>
      <c r="D90" s="107">
        <f>+'GA Analysis 2014'!D65</f>
        <v>157265</v>
      </c>
      <c r="E90" s="108">
        <f>SUM('GA Analysis 2014'!D66:D78)</f>
        <v>-57924</v>
      </c>
      <c r="F90" s="131">
        <f t="shared" si="5"/>
        <v>99341</v>
      </c>
      <c r="G90" s="109">
        <f>F90-C90</f>
        <v>-13045.332159999962</v>
      </c>
      <c r="H90" s="108">
        <f>+'GA Analysis 2014'!J59</f>
        <v>2435196.5764299999</v>
      </c>
      <c r="I90" s="105">
        <f>IF(ISERROR(G90/H90),0,G90/H90)</f>
        <v>-5.3569934707794423E-3</v>
      </c>
      <c r="J90" s="79"/>
      <c r="K90" s="79"/>
      <c r="L90" s="35"/>
      <c r="M90" s="35"/>
      <c r="N90" s="35"/>
      <c r="O90" s="35"/>
      <c r="P90" s="35"/>
      <c r="Q90" s="35"/>
      <c r="R90" s="35"/>
      <c r="S90" s="35"/>
    </row>
    <row r="91" spans="1:19" ht="15" thickBot="1" x14ac:dyDescent="0.25">
      <c r="B91" s="116">
        <v>2013</v>
      </c>
      <c r="C91" s="110">
        <f>+'GA Analysis 2013 '!K59</f>
        <v>25359.930989999935</v>
      </c>
      <c r="D91" s="110">
        <f>+'GA Analysis 2013 '!D65</f>
        <v>160660</v>
      </c>
      <c r="E91" s="110">
        <f>SUM('GA Analysis 2013 '!D66:D78)</f>
        <v>-143437</v>
      </c>
      <c r="F91" s="131">
        <f t="shared" si="5"/>
        <v>17223</v>
      </c>
      <c r="G91" s="109">
        <f>F91-C91</f>
        <v>-8136.9309899999353</v>
      </c>
      <c r="H91" s="110">
        <f>+'GA Analysis 2013 '!J59</f>
        <v>2691206.5677900002</v>
      </c>
      <c r="I91" s="106">
        <f>IF(ISERROR(G91/H91),0,G91/H91)</f>
        <v>-3.0235252423160982E-3</v>
      </c>
      <c r="J91" s="79"/>
      <c r="K91" s="79"/>
      <c r="L91" s="35"/>
      <c r="M91" s="35"/>
      <c r="N91" s="35"/>
      <c r="O91" s="35"/>
      <c r="P91" s="35"/>
      <c r="Q91" s="35"/>
      <c r="R91" s="35"/>
      <c r="S91" s="35"/>
    </row>
    <row r="92" spans="1:19" ht="15.75" thickBot="1" x14ac:dyDescent="0.3">
      <c r="B92" s="75" t="s">
        <v>74</v>
      </c>
      <c r="C92" s="130">
        <f t="shared" ref="C92:H92" si="6">SUM(C88:C91)</f>
        <v>166255.26073999982</v>
      </c>
      <c r="D92" s="130">
        <f t="shared" si="6"/>
        <v>122969</v>
      </c>
      <c r="E92" s="130">
        <f t="shared" si="6"/>
        <v>-8056</v>
      </c>
      <c r="F92" s="132">
        <f t="shared" si="6"/>
        <v>114913</v>
      </c>
      <c r="G92" s="130">
        <f>SUM(G88:G91)</f>
        <v>-51342.260739999823</v>
      </c>
      <c r="H92" s="77">
        <f t="shared" si="6"/>
        <v>12554741.130409999</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17" scale="52"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GA Analysis 2013 </vt:lpstr>
      <vt:lpstr>GA Analysis 2014</vt:lpstr>
      <vt:lpstr>GA Analysis 2015</vt:lpstr>
      <vt:lpstr>GA Analysis 2016</vt:lpstr>
      <vt:lpstr>'GA Analysis 2013 '!Print_Area</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jrobertson</cp:lastModifiedBy>
  <cp:lastPrinted>2017-11-04T18:56:46Z</cp:lastPrinted>
  <dcterms:created xsi:type="dcterms:W3CDTF">2017-05-01T19:29:01Z</dcterms:created>
  <dcterms:modified xsi:type="dcterms:W3CDTF">2017-11-04T19:18:58Z</dcterms:modified>
</cp:coreProperties>
</file>