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updateLinks="never" codeName="ThisWorkbook" defaultThemeVersion="124226"/>
  <mc:AlternateContent xmlns:mc="http://schemas.openxmlformats.org/markup-compatibility/2006">
    <mc:Choice Requires="x15">
      <x15ac:absPath xmlns:x15ac="http://schemas.microsoft.com/office/spreadsheetml/2010/11/ac" url="S:\BILLING-FINANCE\Shared Databases\Shared Billing Documents\OEB\Rate applications\IRM\EB-2017-0034\"/>
    </mc:Choice>
  </mc:AlternateContent>
  <bookViews>
    <workbookView xWindow="0" yWindow="0" windowWidth="28800" windowHeight="11910" tabRatio="855" activeTab="13"/>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Report'!$C$26:$BT$94</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G48" i="45" l="1"/>
  <c r="G41" i="45" l="1"/>
  <c r="G20" i="45"/>
  <c r="G34" i="45"/>
  <c r="K19" i="45" l="1"/>
  <c r="J19" i="45"/>
  <c r="G27" i="45"/>
  <c r="AA101" i="79" l="1"/>
  <c r="D22" i="45" l="1"/>
  <c r="O927" i="79" l="1"/>
  <c r="AM139" i="79" l="1"/>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G51" i="43"/>
  <c r="F51" i="43"/>
  <c r="E51" i="43"/>
  <c r="E29" i="44" s="1"/>
  <c r="E33" i="44" s="1"/>
  <c r="D51" i="43"/>
  <c r="Y21" i="46" s="1"/>
  <c r="O255" i="46"/>
  <c r="D255" i="46"/>
  <c r="J28" i="44"/>
  <c r="I28" i="44"/>
  <c r="H28" i="44"/>
  <c r="G28" i="44"/>
  <c r="F28" i="44"/>
  <c r="E28" i="44"/>
  <c r="D28" i="44"/>
  <c r="H29" i="44" l="1"/>
  <c r="H33" i="44" s="1"/>
  <c r="H14" i="44"/>
  <c r="AL268" i="46"/>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D46" i="44" s="1"/>
  <c r="Y951" i="79"/>
  <c r="Y1110" i="79" s="1"/>
  <c r="Y402" i="79"/>
  <c r="Y561" i="79" s="1"/>
  <c r="Y768" i="79"/>
  <c r="Y927" i="79" s="1"/>
  <c r="Y585" i="79"/>
  <c r="Y744" i="79" s="1"/>
  <c r="Y219" i="79"/>
  <c r="Y378" i="79" s="1"/>
  <c r="Y36" i="79"/>
  <c r="Y195" i="79" s="1"/>
  <c r="AC278" i="46"/>
  <c r="AC395" i="46" s="1"/>
  <c r="H18" i="44"/>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46" i="44"/>
  <c r="J53" i="44"/>
  <c r="J46" i="44"/>
  <c r="H53" i="44"/>
  <c r="H46" i="44"/>
  <c r="G53" i="44"/>
  <c r="G46" i="44"/>
  <c r="F53" i="44"/>
  <c r="F46" i="44"/>
  <c r="E53" i="44"/>
  <c r="E44" i="44"/>
  <c r="E46" i="44"/>
  <c r="D53" i="44"/>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E23" i="45" s="1"/>
  <c r="J30" i="45" l="1"/>
  <c r="J23" i="45"/>
  <c r="C129" i="45" s="1"/>
  <c r="K23" i="45"/>
  <c r="C130" i="45" s="1"/>
  <c r="E30" i="45"/>
  <c r="D124" i="45" s="1"/>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Y20" i="46"/>
  <c r="W14" i="47"/>
  <c r="J14" i="47"/>
  <c r="K14" i="47"/>
  <c r="L14" i="47"/>
  <c r="M14" i="47"/>
  <c r="N14" i="47"/>
  <c r="O14" i="47"/>
  <c r="I14" i="47"/>
  <c r="AE20" i="46"/>
  <c r="AA20" i="46"/>
  <c r="AB20" i="46"/>
  <c r="AC20" i="46"/>
  <c r="AD20" i="46"/>
  <c r="Z20" i="46"/>
  <c r="C60" i="45"/>
  <c r="C53" i="45"/>
  <c r="C46"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8" i="46"/>
  <c r="Y259" i="46" s="1"/>
  <c r="F128" i="45"/>
  <c r="E130" i="45"/>
  <c r="L130" i="45"/>
  <c r="J128" i="45"/>
  <c r="K127" i="45"/>
  <c r="AG516" i="46" s="1"/>
  <c r="AG520" i="46" s="1"/>
  <c r="J124" i="45"/>
  <c r="AF130" i="46" s="1"/>
  <c r="AF131" i="46" s="1"/>
  <c r="K52" i="43" s="1"/>
  <c r="I129" i="45"/>
  <c r="K124" i="45"/>
  <c r="AG130" i="46" s="1"/>
  <c r="AG131" i="46" s="1"/>
  <c r="L52"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A382" i="79" l="1"/>
  <c r="AA387" i="79"/>
  <c r="Y132" i="46"/>
  <c r="AK564" i="79"/>
  <c r="AK570" i="79" s="1"/>
  <c r="AE198" i="79"/>
  <c r="AE202" i="79" s="1"/>
  <c r="AD522" i="46"/>
  <c r="I62" i="43" s="1"/>
  <c r="Y1117" i="79"/>
  <c r="Y1123" i="79"/>
  <c r="Y522" i="46"/>
  <c r="D62" i="43" s="1"/>
  <c r="AI517" i="46"/>
  <c r="AI520" i="46"/>
  <c r="AF518" i="46"/>
  <c r="AF520" i="46"/>
  <c r="Y518" i="46"/>
  <c r="Y517" i="46"/>
  <c r="Y519" i="46"/>
  <c r="Y520" i="46"/>
  <c r="AA522" i="46"/>
  <c r="F62" i="43" s="1"/>
  <c r="AH518" i="46"/>
  <c r="AH520" i="46"/>
  <c r="AJ564" i="79"/>
  <c r="AJ570" i="79" s="1"/>
  <c r="AA198" i="79"/>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H132" i="46"/>
  <c r="M53" i="43" s="1"/>
  <c r="R26" i="47" s="1"/>
  <c r="AG198" i="79"/>
  <c r="AG202" i="79" s="1"/>
  <c r="AE201" i="79"/>
  <c r="AF564" i="79"/>
  <c r="AF568" i="79" s="1"/>
  <c r="Y381" i="79"/>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392" i="46"/>
  <c r="J59" i="43" s="1"/>
  <c r="AE390" i="46"/>
  <c r="AE388"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K566" i="79" l="1"/>
  <c r="AK568" i="79"/>
  <c r="AK571" i="79"/>
  <c r="Y389" i="79"/>
  <c r="Y387" i="79"/>
  <c r="Z384" i="79"/>
  <c r="Z387" i="79"/>
  <c r="Y567" i="79"/>
  <c r="Y570" i="79"/>
  <c r="AK565" i="79"/>
  <c r="AK569" i="79"/>
  <c r="AK567" i="79"/>
  <c r="AA199" i="79"/>
  <c r="AA205" i="79"/>
  <c r="F65" i="43" s="1"/>
  <c r="AE205" i="79"/>
  <c r="J65" i="43" s="1"/>
  <c r="AE200" i="79"/>
  <c r="AE204" i="79" s="1"/>
  <c r="J64" i="43" s="1"/>
  <c r="AM259" i="46"/>
  <c r="Z1125" i="79"/>
  <c r="E80" i="43" s="1"/>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AB199" i="79"/>
  <c r="AB385" i="79"/>
  <c r="AK203" i="79"/>
  <c r="AA200" i="79"/>
  <c r="AE385" i="79"/>
  <c r="AB387" i="79"/>
  <c r="AB386" i="79"/>
  <c r="AA203" i="79"/>
  <c r="AB389" i="79"/>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Z385" i="79"/>
  <c r="AC565" i="79"/>
  <c r="AC199" i="79"/>
  <c r="AC387" i="79"/>
  <c r="AF382" i="79"/>
  <c r="AE570" i="79"/>
  <c r="AD566" i="79"/>
  <c r="AC389" i="79"/>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385"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Z391" i="46"/>
  <c r="E58" i="43" s="1"/>
  <c r="Z261" i="46"/>
  <c r="Y391" i="46"/>
  <c r="J52" i="43"/>
  <c r="D52" i="43"/>
  <c r="D53" i="43"/>
  <c r="E52" i="43"/>
  <c r="AK572" i="79" l="1"/>
  <c r="P70" i="43" s="1"/>
  <c r="R53"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R71" i="43"/>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AA204" i="79"/>
  <c r="F64" i="43" s="1"/>
  <c r="AG572" i="79"/>
  <c r="L70" i="43" s="1"/>
  <c r="AB388" i="79"/>
  <c r="AA572" i="79"/>
  <c r="R27" i="47"/>
  <c r="R29" i="47" s="1"/>
  <c r="P30" i="47"/>
  <c r="P37" i="47"/>
  <c r="P33" i="47"/>
  <c r="P56" i="47"/>
  <c r="P32" i="47"/>
  <c r="AG388" i="79"/>
  <c r="L67" i="43" s="1"/>
  <c r="AH388" i="79"/>
  <c r="M67" i="43" s="1"/>
  <c r="AB572" i="79"/>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AC756" i="79"/>
  <c r="H73" i="43" s="1"/>
  <c r="K98" i="43"/>
  <c r="AK1124" i="79"/>
  <c r="P79" i="43" s="1"/>
  <c r="AJ1124" i="79"/>
  <c r="O79" i="43" s="1"/>
  <c r="AI756" i="79"/>
  <c r="N73" i="43" s="1"/>
  <c r="AA756" i="79"/>
  <c r="F73" i="43" s="1"/>
  <c r="I95" i="43"/>
  <c r="K94" i="43"/>
  <c r="Y388" i="79"/>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E27" i="43" l="1"/>
  <c r="E31" i="43"/>
  <c r="E28" i="43"/>
  <c r="E29" i="43"/>
  <c r="E30" i="43"/>
  <c r="H18"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P104" i="47"/>
  <c r="P117" i="47" s="1"/>
  <c r="P119" i="47" s="1"/>
  <c r="R104" i="47"/>
  <c r="R117" i="47" s="1"/>
  <c r="R119" i="47" s="1"/>
  <c r="Q104" i="47"/>
  <c r="Q117" i="47" s="1"/>
  <c r="Q119" i="47" s="1"/>
  <c r="S104" i="47"/>
  <c r="S117" i="47" s="1"/>
  <c r="S119" i="47" s="1"/>
  <c r="T104" i="47"/>
  <c r="T117" i="47" s="1"/>
  <c r="T119" i="47" s="1"/>
  <c r="U104" i="47"/>
  <c r="U117" i="47" s="1"/>
  <c r="U119" i="47"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P132" i="47" l="1"/>
  <c r="T132" i="47"/>
  <c r="Q132" i="47"/>
  <c r="U132" i="47"/>
  <c r="S132" i="47"/>
  <c r="R132" i="47"/>
  <c r="V132" i="47"/>
  <c r="O104" i="47"/>
  <c r="O117" i="47" s="1"/>
  <c r="O119" i="47" s="1"/>
  <c r="J104" i="47"/>
  <c r="J117" i="47" s="1"/>
  <c r="J119" i="47" s="1"/>
  <c r="M104" i="47"/>
  <c r="M117" i="47" s="1"/>
  <c r="M119" i="47" s="1"/>
  <c r="N104" i="47"/>
  <c r="N117" i="47" s="1"/>
  <c r="N119" i="47" s="1"/>
  <c r="L72" i="47"/>
  <c r="L74" i="47" s="1"/>
  <c r="L87" i="47" s="1"/>
  <c r="L89" i="47" s="1"/>
  <c r="L102" i="47" s="1"/>
  <c r="I102" i="47"/>
  <c r="U134" i="47" l="1"/>
  <c r="U147" i="47" s="1"/>
  <c r="U149" i="47" s="1"/>
  <c r="U162" i="47" s="1"/>
  <c r="P82" i="43"/>
  <c r="V134" i="47"/>
  <c r="V147" i="47" s="1"/>
  <c r="V149" i="47" s="1"/>
  <c r="V162" i="47" s="1"/>
  <c r="Q82" i="43"/>
  <c r="Q134" i="47"/>
  <c r="Q147" i="47" s="1"/>
  <c r="Q149" i="47" s="1"/>
  <c r="Q162" i="47" s="1"/>
  <c r="L82" i="43"/>
  <c r="R134" i="47"/>
  <c r="R147" i="47" s="1"/>
  <c r="R149" i="47" s="1"/>
  <c r="R162" i="47" s="1"/>
  <c r="M82" i="43"/>
  <c r="T134" i="47"/>
  <c r="T147" i="47" s="1"/>
  <c r="T149" i="47" s="1"/>
  <c r="T162" i="47" s="1"/>
  <c r="O82" i="43"/>
  <c r="S134" i="47"/>
  <c r="S147" i="47" s="1"/>
  <c r="S149" i="47" s="1"/>
  <c r="S162" i="47" s="1"/>
  <c r="N82" i="43"/>
  <c r="P134" i="47"/>
  <c r="P147" i="47" s="1"/>
  <c r="P149" i="47" s="1"/>
  <c r="P162" i="47" s="1"/>
  <c r="K82" i="43"/>
  <c r="N132" i="47"/>
  <c r="O132" i="47"/>
  <c r="M132" i="47"/>
  <c r="J132" i="47"/>
  <c r="L104" i="47"/>
  <c r="L117" i="47" s="1"/>
  <c r="L119" i="47" s="1"/>
  <c r="I104" i="47"/>
  <c r="I117" i="47" l="1"/>
  <c r="I119" i="47" s="1"/>
  <c r="I132" i="47" s="1"/>
  <c r="D82" i="43" s="1"/>
  <c r="O134" i="47"/>
  <c r="O147" i="47" s="1"/>
  <c r="O149" i="47" s="1"/>
  <c r="O162" i="47" s="1"/>
  <c r="J82" i="43"/>
  <c r="N83" i="43"/>
  <c r="F37" i="43"/>
  <c r="G37" i="43" s="1"/>
  <c r="M83" i="43"/>
  <c r="F36" i="43"/>
  <c r="G36" i="43" s="1"/>
  <c r="Q83" i="43"/>
  <c r="F40" i="43"/>
  <c r="G40" i="43" s="1"/>
  <c r="M134" i="47"/>
  <c r="M147" i="47" s="1"/>
  <c r="M149" i="47" s="1"/>
  <c r="M162" i="47" s="1"/>
  <c r="H82" i="43"/>
  <c r="F31" i="43" s="1"/>
  <c r="N134" i="47"/>
  <c r="N147" i="47" s="1"/>
  <c r="N149" i="47" s="1"/>
  <c r="N162" i="47" s="1"/>
  <c r="I82" i="43"/>
  <c r="F34" i="43"/>
  <c r="G34" i="43" s="1"/>
  <c r="K83" i="43"/>
  <c r="O83" i="43"/>
  <c r="F38" i="43"/>
  <c r="G38" i="43" s="1"/>
  <c r="L83" i="43"/>
  <c r="F35" i="43"/>
  <c r="G35" i="43" s="1"/>
  <c r="P83" i="43"/>
  <c r="F39" i="43"/>
  <c r="G39" i="43" s="1"/>
  <c r="J134" i="47"/>
  <c r="J147" i="47" s="1"/>
  <c r="J149" i="47" s="1"/>
  <c r="J162" i="47" s="1"/>
  <c r="E82" i="43"/>
  <c r="L132" i="47"/>
  <c r="W42" i="47"/>
  <c r="D103" i="43" s="1"/>
  <c r="K42" i="47"/>
  <c r="D83" i="43" l="1"/>
  <c r="F27" i="43"/>
  <c r="E83" i="43"/>
  <c r="F28" i="43"/>
  <c r="G28" i="43" s="1"/>
  <c r="F32" i="43"/>
  <c r="G32" i="43" s="1"/>
  <c r="I83" i="43"/>
  <c r="G31" i="43"/>
  <c r="H83" i="43"/>
  <c r="J83" i="43"/>
  <c r="F33" i="43"/>
  <c r="G33" i="43" s="1"/>
  <c r="L134" i="47"/>
  <c r="L147" i="47" s="1"/>
  <c r="L149" i="47" s="1"/>
  <c r="L162" i="47" s="1"/>
  <c r="G82" i="43"/>
  <c r="I134" i="47"/>
  <c r="I147" i="47" s="1"/>
  <c r="I149" i="47" s="1"/>
  <c r="I162" i="47" s="1"/>
  <c r="D104" i="43"/>
  <c r="G27" i="43"/>
  <c r="K44" i="47"/>
  <c r="K57" i="47" s="1"/>
  <c r="K59" i="47" s="1"/>
  <c r="W44" i="47"/>
  <c r="W57" i="47" s="1"/>
  <c r="G83" i="43" l="1"/>
  <c r="F30" i="43"/>
  <c r="G30" i="43" s="1"/>
  <c r="W59" i="47"/>
  <c r="W72" i="47" s="1"/>
  <c r="E103" i="43"/>
  <c r="K72" i="47"/>
  <c r="K74" i="47" s="1"/>
  <c r="K87" i="47" s="1"/>
  <c r="K89" i="47" s="1"/>
  <c r="K102" i="47" s="1"/>
  <c r="K104" i="47" l="1"/>
  <c r="K117" i="47" s="1"/>
  <c r="K119" i="47" s="1"/>
  <c r="W74" i="47"/>
  <c r="W87" i="47" s="1"/>
  <c r="F103" i="43"/>
  <c r="F104" i="43" s="1"/>
  <c r="E104" i="43"/>
  <c r="K132" i="47" l="1"/>
  <c r="W89" i="47"/>
  <c r="W102" i="47" s="1"/>
  <c r="G103" i="43"/>
  <c r="K134" i="47" l="1"/>
  <c r="K147" i="47" s="1"/>
  <c r="K149" i="47" s="1"/>
  <c r="K162" i="47" s="1"/>
  <c r="F82" i="43"/>
  <c r="G104" i="43"/>
  <c r="W104" i="47"/>
  <c r="W117" i="47" s="1"/>
  <c r="H103" i="43"/>
  <c r="H104" i="43" s="1"/>
  <c r="F83" i="43" l="1"/>
  <c r="F29" i="43"/>
  <c r="W119" i="47"/>
  <c r="W132" i="47" s="1"/>
  <c r="R82" i="43" s="1"/>
  <c r="I103" i="43"/>
  <c r="I104" i="43" s="1"/>
  <c r="F41" i="43" l="1"/>
  <c r="G29" i="43"/>
  <c r="G41" i="43" s="1"/>
  <c r="R83" i="43"/>
  <c r="H19" i="43"/>
  <c r="H20" i="43" s="1"/>
  <c r="W134" i="47"/>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<sst xmlns="http://schemas.openxmlformats.org/spreadsheetml/2006/main" count="4145" uniqueCount="702">
  <si>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</si>
  <si>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</si>
  <si>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</si>
  <si>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</si>
  <si>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</si>
  <si>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</si>
  <si>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</si>
  <si>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</si>
  <si>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</si>
  <si>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</si>
  <si>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</si>
  <si>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</si>
  <si>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</si>
  <si>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</si>
  <si>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</si>
  <si>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</si>
  <si>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</si>
  <si>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</si>
  <si>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</si>
  <si>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</si>
  <si>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</si>
  <si>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</si>
  <si>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</si>
  <si>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</si>
  <si>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</si>
  <si>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</si>
  <si>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</si>
  <si>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</si>
  <si>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</si>
  <si>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</si>
  <si>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</si>
  <si>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</si>
  <si>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</si>
  <si>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</si>
  <si>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</si>
  <si>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</si>
  <si>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</si>
  <si>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</si>
  <si>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</si>
  <si>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</si>
  <si>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</si>
  <si>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</si>
  <si>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</si>
  <si>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</si>
  <si>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</si>
  <si>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</si>
  <si>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</si>
  <si>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</si>
  <si>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</si>
  <si>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</si>
  <si>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</si>
  <si>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</si>
  <si>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</si>
  <si>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</si>
  <si>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</si>
  <si>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</si>
  <si>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</si>
  <si>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</si>
  <si>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</si>
  <si>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</si>
  <si>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</si>
  <si>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</si>
  <si>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</si>
  <si>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</si>
  <si>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</si>
  <si>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</si>
  <si>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</si>
  <si>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</si>
  <si>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</si>
  <si>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</si>
  <si>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</si>
  <si>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</si>
  <si>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</si>
  <si>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</si>
  <si>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</si>
  <si>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</si>
  <si>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</si>
  <si>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</si>
  <si>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</si>
  <si>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</si>
  <si>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</si>
  <si>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</si>
  <si>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</si>
  <si>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</si>
  <si>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</si>
  <si>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</si>
  <si>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</si>
  <si>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</si>
  <si>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</si>
  <si>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</si>
  <si>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</si>
  <si>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</si>
  <si>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</si>
  <si>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</si>
  <si>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</si>
  <si>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</si>
  <si>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</si>
  <si>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</si>
  <si>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</si>
  <si>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</si>
  <si>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</si>
  <si>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</si>
  <si>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</si>
  <si>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</si>
  <si>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</si>
  <si>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</si>
  <si>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</si>
  <si>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</si>
  <si>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</si>
  <si>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</si>
  <si>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</si>
  <si>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</si>
  <si>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</si>
  <si>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</si>
  <si>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</si>
  <si>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</si>
  <si>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</si>
  <si>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</si>
  <si>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</si>
  <si>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</si>
  <si>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</si>
  <si>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</si>
  <si>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</si>
  <si>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</si>
  <si>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</si>
  <si>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</si>
  <si>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</si>
  <si>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</si>
  <si>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</si>
  <si>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</si>
  <si>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</si>
  <si>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</si>
  <si>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</si>
  <si>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</si>
  <si>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</si>
  <si>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</si>
  <si>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</si>
  <si>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</si>
  <si>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</si>
  <si>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</si>
  <si>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</si>
  <si>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</si>
  <si>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</si>
  <si>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</si>
  <si>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</si>
  <si>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</si>
  <si>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</si>
  <si>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</si>
  <si>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</si>
  <si>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</si>
  <si>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</si>
  <si>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</si>
  <si>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</si>
  <si>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</si>
  <si>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</si>
  <si>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</si>
  <si>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</si>
  <si>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</si>
  <si>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</si>
  <si>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</si>
  <si>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</si>
  <si>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</si>
  <si>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</si>
  <si>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</si>
  <si>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</si>
  <si>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</si>
  <si>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</si>
  <si>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</si>
  <si>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</si>
  <si>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</si>
  <si>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</si>
  <si>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</si>
  <si>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</si>
  <si>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</si>
  <si>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</si>
  <si>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</si>
  <si>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</si>
  <si>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</si>
  <si>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</si>
  <si>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</si>
  <si>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</si>
  <si>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</si>
  <si>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</si>
  <si>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</si>
  <si>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</si>
  <si>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</si>
  <si>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</si>
  <si>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</si>
  <si>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</si>
  <si>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</si>
  <si>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</si>
  <si>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</si>
  <si>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</si>
  <si>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</si>
  <si>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</si>
  <si>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</si>
  <si>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</si>
  <si>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</si>
  <si>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</si>
  <si>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</si>
  <si>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</si>
  <si>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</si>
  <si>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</si>
  <si>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</si>
  <si>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</si>
  <si>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</si>
  <si>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</si>
  <si>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</si>
  <si>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</si>
  <si>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</si>
  <si>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</si>
  <si>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</si>
  <si>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</si>
  <si>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</si>
  <si>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</si>
  <si>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</si>
  <si>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</si>
  <si>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</si>
  <si>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</si>
  <si>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</si>
  <si>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</si>
  <si>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</si>
  <si>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</si>
  <si>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</si>
  <si>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</si>
  <si>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</si>
  <si>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</si>
  <si>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</si>
  <si>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</si>
  <si>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</si>
  <si>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</si>
  <si>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</si>
  <si>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</si>
  <si>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</si>
  <si>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</si>
  <si>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</si>
  <si>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</si>
  <si>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</si>
  <si>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</si>
  <si>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</si>
  <si>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</si>
  <si>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</si>
  <si>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</si>
  <si>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</si>
  <si>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</si>
  <si>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</si>
  <si>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</si>
  <si>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</si>
  <si>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</si>
  <si>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</si>
  <si>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</si>
  <si>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</si>
  <si>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</si>
  <si>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</si>
  <si>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</si>
  <si>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</si>
  <si>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</si>
  <si>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</si>
  <si>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</si>
  <si>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</si>
  <si>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</si>
  <si>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</si>
  <si>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</si>
  <si>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</si>
  <si>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</si>
  <si>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</si>
  <si>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</si>
  <si>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</si>
  <si>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</si>
  <si>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</si>
  <si>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</si>
  <si>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</si>
  <si>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</si>
  <si>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</si>
  <si>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</si>
  <si>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</si>
  <si>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</si>
  <si>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</si>
  <si>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</si>
  <si>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</si>
  <si>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</si>
  <si>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</si>
  <si>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</si>
  <si>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</si>
  <si>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</si>
  <si>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</si>
  <si>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</si>
  <si>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</si>
  <si>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</si>
  <si>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</si>
  <si>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</si>
  <si>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</si>
  <si>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</si>
  <si>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</si>
  <si>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</si>
  <si>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</si>
  <si>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</si>
  <si>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</si>
  <si>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</si>
  <si>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</si>
  <si>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</si>
  <si>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</si>
  <si>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</si>
  <si>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</si>
  <si>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</si>
  <si>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</si>
  <si>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</si>
  <si>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</si>
  <si>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</si>
  <si>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</si>
  <si>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</si>
  <si>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</si>
  <si>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</si>
  <si>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</si>
  <si>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</si>
  <si>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</si>
  <si>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</si>
  <si>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</si>
  <si>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</si>
  <si>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</si>
  <si>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</si>
  <si>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</si>
  <si>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</si>
  <si>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</si>
  <si>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</si>
  <si>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</si>
  <si>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</si>
  <si>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</si>
  <si>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</si>
  <si>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</si>
  <si>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</si>
  <si>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</si>
  <si>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</si>
  <si>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</si>
  <si>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</si>
  <si>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</si>
  <si>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</si>
  <si>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</si>
  <si>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</si>
  <si>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</si>
  <si>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</si>
  <si>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</si>
  <si>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</si>
  <si>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</si>
  <si>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</si>
  <si>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</si>
  <si>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</si>
  <si>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</si>
  <si>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</si>
  <si>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</si>
  <si>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</si>
  <si>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</si>
  <si>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</si>
  <si>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</si>
  <si>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</si>
  <si>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</si>
  <si>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</si>
  <si>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</si>
  <si>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</si>
  <si>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</si>
  <si>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</si>
  <si>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</si>
  <si>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</si>
  <si>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</si>
  <si>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</si>
  <si>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</si>
  <si>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</si>
  <si>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</si>
  <si>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</si>
  <si>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</si>
  <si>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</si>
  <si>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</si>
  <si>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</si>
  <si>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</si>
  <si>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</si>
  <si>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</si>
  <si>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</si>
  <si>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</si>
  <si>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</si>
  <si>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</si>
  <si>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</si>
  <si>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</si>
  <si>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</si>
  <si>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</si>
  <si>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</si>
  <si>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</si>
  <si>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</si>
  <si>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</si>
  <si>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</si>
  <si>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</si>
  <si>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</si>
  <si>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</si>
  <si>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</si>
  <si>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</si>
  <si>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</si>
  <si>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</si>
  <si>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</si>
  <si>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</si>
  <si>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</si>
  <si>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</si>
  <si>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</si>
  <si>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</si>
  <si>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</si>
  <si>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</si>
  <si>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</si>
  <si>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</si>
  <si>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</si>
  <si>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</si>
  <si>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</si>
  <si>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</si>
  <si>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</si>
  <si>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</si>
  <si>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</si>
  <si>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</si>
  <si>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</si>
  <si>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</si>
  <si>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</si>
  <si>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</si>
  <si>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</si>
  <si>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</si>
  <si>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</si>
  <si>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</si>
  <si>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</si>
  <si>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</si>
  <si>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</si>
  <si>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</si>
  <si>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</si>
  <si>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</si>
  <si>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</si>
  <si>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</si>
  <si>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</si>
  <si>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</si>
  <si>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</si>
  <si>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</si>
  <si>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</si>
  <si>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</si>
  <si>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</si>
  <si>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</si>
  <si>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</si>
  <si>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</si>
  <si>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</si>
  <si>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</si>
  <si>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</si>
  <si>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</si>
  <si>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</si>
  <si>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</si>
  <si>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</si>
  <si>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</si>
  <si>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</si>
  <si>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</si>
  <si>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</si>
  <si>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</si>
  <si>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</si>
  <si>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</si>
  <si>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</si>
  <si>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</si>
  <si>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</si>
  <si>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</si>
  <si>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</si>
  <si>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</si>
  <si>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</si>
  <si>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</si>
  <si>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</si>
  <si>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</si>
  <si>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</si>
  <si>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</si>
  <si>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</si>
  <si>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</si>
  <si>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</si>
  <si>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</si>
  <si>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</si>
  <si>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</si>
  <si>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</si>
  <si>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</si>
  <si>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</si>
  <si>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</si>
  <si>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</si>
  <si>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</si>
  <si>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</si>
  <si>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</si>
  <si>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</si>
  <si>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</si>
  <si>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</si>
  <si>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</si>
  <si>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</si>
  <si>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</si>
  <si>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</si>
  <si>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</si>
  <si>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</si>
  <si>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</si>
  <si>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</si>
  <si>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</si>
  <si>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</si>
  <si>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</si>
  <si>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</si>
  <si>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</si>
  <si>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</si>
  <si>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</si>
  <si>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</si>
  <si>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</si>
  <si>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</si>
  <si>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</si>
  <si>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</si>
  <si>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</si>
  <si>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</si>
  <si>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</si>
  <si>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</si>
  <si>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</si>
  <si>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</si>
  <si>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</si>
  <si>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</si>
  <si>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</si>
  <si>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</si>
  <si>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</si>
  <si>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</si>
  <si>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</si>
  <si>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</si>
  <si>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</si>
  <si>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</si>
  <si>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</si>
  <si>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</si>
  <si>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</si>
  <si>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</si>
  <si>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</si>
  <si>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</si>
  <si>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</si>
  <si>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</si>
  <si>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</si>
  <si>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</si>
  <si>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</si>
  <si>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</si>
  <si>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</si>
  <si>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</si>
  <si>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</si>
  <si>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</si>
  <si>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</si>
  <si>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</si>
  <si>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</si>
  <si>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</si>
  <si>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</si>
  <si>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</si>
  <si>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</si>
  <si>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</si>
  <si>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</si>
  <si>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</si>
  <si>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</si>
  <si>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</si>
  <si>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</si>
  <si>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</si>
  <si>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</si>
  <si>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</si>
  <si>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</si>
  <si>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</si>
  <si>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</si>
  <si>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</si>
  <si>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</si>
  <si>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</si>
  <si>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</si>
  <si>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</si>
  <si>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</si>
  <si>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</si>
  <si>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</si>
  <si>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</si>
  <si>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</si>
  <si>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</si>
  <si>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</si>
  <si>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</si>
  <si>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</si>
  <si>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</si>
  <si>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</si>
  <si>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</si>
  <si>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</si>
  <si>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</si>
  <si>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</si>
  <si>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</si>
  <si>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</si>
  <si>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</si>
  <si>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</si>
  <si>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</si>
  <si>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</si>
  <si>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</si>
  <si>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</si>
  <si>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</si>
  <si>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</si>
  <si>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</si>
  <si>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</si>
  <si>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</si>
  <si>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</si>
  <si>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</si>
  <si>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</si>
  <si>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</si>
  <si>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</si>
  <si>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</si>
  <si>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</si>
  <si>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</si>
  <si>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</si>
  <si>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</si>
  <si>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</si>
  <si>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</si>
  <si>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</si>
  <si>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</si>
  <si>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</si>
  <si>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</si>
  <si>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</si>
  <si>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</si>
  <si>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</si>
  <si>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</si>
  <si>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</si>
  <si>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</si>
  <si>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</si>
  <si>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</si>
  <si>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</si>
  <si>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</si>
  <si>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</si>
  <si>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</si>
  <si>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</si>
  <si>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</si>
  <si>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</si>
  <si>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</si>
  <si>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</si>
  <si>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</si>
  <si>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</si>
  <si>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</si>
  <si>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</si>
  <si>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</si>
  <si>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</si>
  <si>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</si>
  <si>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</si>
  <si>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</si>
  <si>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</si>
  <si>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</si>
  <si>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</si>
  <si>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</si>
  <si>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</si>
  <si>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</si>
  <si>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</si>
  <si>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</si>
  <si>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</si>
  <si>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</si>
  <si>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</si>
  <si>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</si>
  <si>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</si>
  <si>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</si>
  <si>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</si>
  <si>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</si>
  <si>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</si>
  <si>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</si>
  <si>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</si>
  <si>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</si>
  <si>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</si>
  <si>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</si>
  <si>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</si>
  <si>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</si>
  <si>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</si>
  <si>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</si>
  <si>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</si>
  <si>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</si>
  <si>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</si>
  <si>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</si>
  <si>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</si>
  <si>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</si>
  <si>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</si>
  <si>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</si>
  <si>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</si>
  <si>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</si>
  <si>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</si>
  <si>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</si>
  <si>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</si>
  <si>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</si>
  <si>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</si>
  <si>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</si>
  <si>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</si>
  <si>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</si>
  <si>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</si>
  <si>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</si>
  <si>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</si>
  <si>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</si>
  <si>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</si>
  <si>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</si>
  <si>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</si>
  <si>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</si>
  <si>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EB-2017-0034</t>
  </si>
  <si>
    <t>2018 COS/IRM Application</t>
  </si>
  <si>
    <t>Streetlights</t>
  </si>
  <si>
    <t>RetrofitIndustrial</t>
  </si>
  <si>
    <t>Industrial</t>
  </si>
  <si>
    <t>Business</t>
  </si>
  <si>
    <t>COLLUS Power Corp.</t>
  </si>
  <si>
    <t>Business &amp; Industrial</t>
  </si>
  <si>
    <t>COLLUS PowerStream Corp.</t>
  </si>
  <si>
    <t>Collus PowerStream Corp.</t>
  </si>
  <si>
    <t>EB-2010-0076</t>
  </si>
  <si>
    <t>EB-2011-0163</t>
  </si>
  <si>
    <t>EB-2013-0121</t>
  </si>
  <si>
    <t>EB-2014-0065</t>
  </si>
  <si>
    <t>EB-2015-0062</t>
  </si>
  <si>
    <t>EB-2016-0064</t>
  </si>
  <si>
    <t>EB-2009-0220</t>
  </si>
  <si>
    <t>EB-2012-0116</t>
  </si>
  <si>
    <t>2013 Settlement Agreement, p. 23/24 of 43</t>
  </si>
  <si>
    <t>KWh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</si>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</sst>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878">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161"/>
    <xf numFmtId="165" fontId="193" fillId="0" borderId="154" applyFill="0" applyAlignment="0" applyProtection="0"/>
    <xf numFmtId="39" fontId="12" fillId="0" borderId="154">
      <protection locked="0"/>
    </xf>
    <xf numFmtId="241" fontId="194" fillId="86" borderId="160" applyNumberFormat="0" applyBorder="0" applyAlignment="0" applyProtection="0">
      <alignment vertical="center"/>
    </xf>
    <xf numFmtId="0" fontId="11" fillId="60" borderId="148" applyNumberFormat="0" applyProtection="0">
      <alignment horizontal="left" vertical="center" wrapText="1"/>
    </xf>
    <xf numFmtId="0" fontId="12" fillId="25" borderId="148" applyNumberFormat="0" applyProtection="0">
      <alignment horizontal="left" vertical="center" wrapText="1"/>
    </xf>
    <xf numFmtId="257" fontId="11" fillId="82" borderId="148" applyNumberFormat="0" applyProtection="0">
      <alignment horizontal="center" vertical="center" wrapText="1"/>
    </xf>
    <xf numFmtId="0" fontId="11" fillId="60" borderId="148" applyNumberFormat="0" applyProtection="0">
      <alignment horizontal="left" vertical="center" wrapText="1"/>
    </xf>
    <xf numFmtId="0" fontId="11" fillId="81" borderId="148" applyNumberFormat="0" applyProtection="0">
      <alignment horizontal="center" vertical="center" wrapText="1"/>
    </xf>
    <xf numFmtId="0" fontId="11" fillId="81" borderId="148" applyNumberFormat="0" applyProtection="0">
      <alignment horizontal="center" vertical="center"/>
    </xf>
    <xf numFmtId="0" fontId="11" fillId="81" borderId="148" applyNumberFormat="0" applyProtection="0">
      <alignment horizontal="center" vertical="center" wrapText="1"/>
    </xf>
    <xf numFmtId="0" fontId="183" fillId="81" borderId="148" applyNumberFormat="0" applyProtection="0">
      <alignment horizontal="center" vertical="center"/>
    </xf>
    <xf numFmtId="0" fontId="177" fillId="67" borderId="148">
      <alignment horizontal="center" vertical="center" wrapText="1"/>
      <protection hidden="1"/>
    </xf>
    <xf numFmtId="264" fontId="172" fillId="65" borderId="148" applyFill="0" applyBorder="0" applyAlignment="0" applyProtection="0">
      <alignment horizontal="right"/>
      <protection locked="0"/>
    </xf>
    <xf numFmtId="0" fontId="12" fillId="60" borderId="125" applyNumberFormat="0">
      <alignment horizontal="centerContinuous" vertical="center" wrapText="1"/>
    </xf>
    <xf numFmtId="0" fontId="12" fillId="61" borderId="125" applyNumberFormat="0">
      <alignment horizontal="left" vertical="center"/>
    </xf>
    <xf numFmtId="208" fontId="90" fillId="63" borderId="14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44">
      <protection locked="0"/>
    </xf>
    <xf numFmtId="171" fontId="85" fillId="0" borderId="161"/>
    <xf numFmtId="241" fontId="194" fillId="86" borderId="160"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208" fontId="90" fillId="63" borderId="155"/>
    <xf numFmtId="166" fontId="113" fillId="0" borderId="156">
      <protection locked="0"/>
    </xf>
    <xf numFmtId="0" fontId="147" fillId="73" borderId="159">
      <alignment horizontal="left" vertical="center" wrapText="1"/>
    </xf>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41" fontId="194" fillId="86" borderId="146" applyNumberFormat="0" applyBorder="0" applyAlignment="0" applyProtection="0">
      <alignment vertical="center"/>
    </xf>
    <xf numFmtId="260" fontId="164" fillId="0" borderId="153" applyBorder="0"/>
    <xf numFmtId="0" fontId="147" fillId="73" borderId="145">
      <alignment horizontal="left" vertical="center" wrapText="1"/>
    </xf>
    <xf numFmtId="166" fontId="113" fillId="0" borderId="144">
      <protection locked="0"/>
    </xf>
    <xf numFmtId="208" fontId="90" fillId="63" borderId="143"/>
    <xf numFmtId="0" fontId="12" fillId="0" borderId="148"/>
    <xf numFmtId="0" fontId="147" fillId="73" borderId="159">
      <alignment horizontal="left" vertical="center" wrapText="1"/>
    </xf>
    <xf numFmtId="241" fontId="12" fillId="65" borderId="158" applyNumberFormat="0" applyFont="0" applyBorder="0" applyAlignment="0">
      <alignment horizontal="right" vertical="center"/>
      <protection locked="0"/>
    </xf>
    <xf numFmtId="10" fontId="108" fillId="65" borderId="148" applyNumberFormat="0" applyBorder="0" applyAlignment="0" applyProtection="0"/>
    <xf numFmtId="0" fontId="47" fillId="0" borderId="153">
      <alignment horizontal="left" vertical="center"/>
    </xf>
    <xf numFmtId="237" fontId="12" fillId="71" borderId="148" applyNumberFormat="0" applyFont="0" applyBorder="0" applyAlignment="0" applyProtection="0"/>
    <xf numFmtId="1" fontId="121" fillId="69" borderId="149" applyNumberFormat="0" applyBorder="0" applyAlignment="0">
      <alignment horizontal="centerContinuous" vertical="center"/>
      <protection locked="0"/>
    </xf>
    <xf numFmtId="0" fontId="25" fillId="8" borderId="150" applyNumberFormat="0" applyAlignment="0" applyProtection="0"/>
    <xf numFmtId="224" fontId="108" fillId="0" borderId="157" applyFont="0" applyFill="0" applyBorder="0" applyAlignment="0" applyProtection="0"/>
    <xf numFmtId="166" fontId="113" fillId="0" borderId="156">
      <protection locked="0"/>
    </xf>
    <xf numFmtId="0" fontId="17" fillId="21" borderId="150" applyNumberFormat="0" applyAlignment="0" applyProtection="0"/>
    <xf numFmtId="0" fontId="83" fillId="0" borderId="147" applyNumberFormat="0" applyFont="0" applyFill="0" applyAlignment="0" applyProtection="0"/>
    <xf numFmtId="208" fontId="90" fillId="63" borderId="155"/>
    <xf numFmtId="167" fontId="87" fillId="0" borderId="154" applyFont="0"/>
    <xf numFmtId="241" fontId="194" fillId="86" borderId="146" applyNumberFormat="0" applyBorder="0" applyAlignment="0" applyProtection="0">
      <alignment vertical="center"/>
    </xf>
    <xf numFmtId="0" fontId="12" fillId="61" borderId="150" applyNumberFormat="0">
      <alignment horizontal="left" vertical="center"/>
    </xf>
    <xf numFmtId="0" fontId="12" fillId="60" borderId="150" applyNumberFormat="0">
      <alignment horizontal="centerContinuous" vertical="center" wrapText="1"/>
    </xf>
    <xf numFmtId="0" fontId="12" fillId="25" borderId="148" applyNumberFormat="0" applyProtection="0">
      <alignment horizontal="left" vertical="center"/>
    </xf>
    <xf numFmtId="0" fontId="12" fillId="25" borderId="148" applyNumberFormat="0" applyProtection="0">
      <alignment horizontal="left" vertical="center"/>
    </xf>
    <xf numFmtId="0" fontId="17" fillId="21" borderId="150" applyNumberFormat="0" applyAlignment="0" applyProtection="0"/>
    <xf numFmtId="0" fontId="25" fillId="8" borderId="150" applyNumberFormat="0" applyAlignment="0" applyProtection="0"/>
    <xf numFmtId="0" fontId="28" fillId="21" borderId="151" applyNumberFormat="0" applyAlignment="0" applyProtection="0"/>
    <xf numFmtId="0" fontId="30" fillId="0" borderId="152" applyNumberFormat="0" applyFill="0" applyAlignment="0" applyProtection="0"/>
    <xf numFmtId="0" fontId="17" fillId="21" borderId="150" applyNumberFormat="0" applyAlignment="0" applyProtection="0"/>
    <xf numFmtId="0" fontId="25" fillId="8" borderId="150" applyNumberFormat="0" applyAlignment="0" applyProtection="0"/>
    <xf numFmtId="0" fontId="28" fillId="21" borderId="151" applyNumberFormat="0" applyAlignment="0" applyProtection="0"/>
    <xf numFmtId="0" fontId="30" fillId="0" borderId="152" applyNumberFormat="0" applyFill="0" applyAlignment="0" applyProtection="0"/>
    <xf numFmtId="0" fontId="12" fillId="25" borderId="148" applyNumberFormat="0" applyProtection="0">
      <alignment horizontal="left" vertical="center"/>
    </xf>
    <xf numFmtId="0" fontId="12" fillId="25" borderId="148" applyNumberFormat="0" applyProtection="0">
      <alignment horizontal="left" vertical="center"/>
    </xf>
    <xf numFmtId="0" fontId="17" fillId="21" borderId="150" applyNumberFormat="0" applyAlignment="0" applyProtection="0"/>
    <xf numFmtId="0" fontId="25" fillId="8" borderId="150" applyNumberFormat="0" applyAlignment="0" applyProtection="0"/>
    <xf numFmtId="0" fontId="28" fillId="21" borderId="151" applyNumberFormat="0" applyAlignment="0" applyProtection="0"/>
    <xf numFmtId="0" fontId="30" fillId="0" borderId="152" applyNumberFormat="0" applyFill="0" applyAlignment="0" applyProtection="0"/>
    <xf numFmtId="0" fontId="17" fillId="21" borderId="150" applyNumberFormat="0" applyAlignment="0" applyProtection="0"/>
    <xf numFmtId="0" fontId="25" fillId="8" borderId="150" applyNumberFormat="0" applyAlignment="0" applyProtection="0"/>
    <xf numFmtId="0" fontId="28" fillId="21" borderId="151" applyNumberFormat="0" applyAlignment="0" applyProtection="0"/>
    <xf numFmtId="0" fontId="30" fillId="0" borderId="152" applyNumberFormat="0" applyFill="0" applyAlignment="0" applyProtection="0"/>
    <xf numFmtId="0" fontId="17" fillId="21" borderId="163" applyNumberFormat="0" applyAlignment="0" applyProtection="0"/>
    <xf numFmtId="0" fontId="25" fillId="8" borderId="163" applyNumberFormat="0" applyAlignment="0" applyProtection="0"/>
    <xf numFmtId="0" fontId="28" fillId="21" borderId="164" applyNumberFormat="0" applyAlignment="0" applyProtection="0"/>
    <xf numFmtId="0" fontId="30" fillId="0" borderId="165" applyNumberFormat="0" applyFill="0" applyAlignment="0" applyProtection="0"/>
    <xf numFmtId="0" fontId="17" fillId="21" borderId="163" applyNumberFormat="0" applyAlignment="0" applyProtection="0"/>
    <xf numFmtId="0" fontId="25" fillId="8" borderId="163" applyNumberFormat="0" applyAlignment="0" applyProtection="0"/>
    <xf numFmtId="0" fontId="28" fillId="21" borderId="164" applyNumberFormat="0" applyAlignment="0" applyProtection="0"/>
    <xf numFmtId="0" fontId="30" fillId="0" borderId="165" applyNumberFormat="0" applyFill="0" applyAlignment="0" applyProtection="0"/>
    <xf numFmtId="0" fontId="12" fillId="25" borderId="162" applyNumberFormat="0" applyProtection="0">
      <alignment horizontal="left" vertical="center"/>
    </xf>
    <xf numFmtId="0" fontId="12" fillId="25" borderId="162" applyNumberFormat="0" applyProtection="0">
      <alignment horizontal="left" vertical="center"/>
    </xf>
    <xf numFmtId="0" fontId="17" fillId="21" borderId="163" applyNumberFormat="0" applyAlignment="0" applyProtection="0"/>
    <xf numFmtId="0" fontId="25" fillId="8" borderId="163" applyNumberFormat="0" applyAlignment="0" applyProtection="0"/>
    <xf numFmtId="0" fontId="28" fillId="21" borderId="164" applyNumberFormat="0" applyAlignment="0" applyProtection="0"/>
    <xf numFmtId="0" fontId="30" fillId="0" borderId="165" applyNumberFormat="0" applyFill="0" applyAlignment="0" applyProtection="0"/>
    <xf numFmtId="0" fontId="17" fillId="21" borderId="163" applyNumberFormat="0" applyAlignment="0" applyProtection="0"/>
    <xf numFmtId="0" fontId="25" fillId="8" borderId="163" applyNumberFormat="0" applyAlignment="0" applyProtection="0"/>
    <xf numFmtId="0" fontId="28" fillId="21" borderId="164" applyNumberFormat="0" applyAlignment="0" applyProtection="0"/>
    <xf numFmtId="0" fontId="30" fillId="0" borderId="165" applyNumberFormat="0" applyFill="0" applyAlignment="0" applyProtection="0"/>
  </cellStyleXfs>
  <cellXfs count="81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3"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3"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4" borderId="3" xfId="0" applyNumberFormat="1" applyFont="1" applyFill="1" applyBorder="1" applyAlignment="1">
      <alignment vertical="top"/>
    </xf>
    <xf numFmtId="3" fontId="0" fillId="95"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95" borderId="45" xfId="0" applyNumberFormat="1" applyFont="1" applyFill="1" applyBorder="1" applyAlignment="1">
      <alignment vertical="top"/>
    </xf>
    <xf numFmtId="3" fontId="0" fillId="93"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3"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4" borderId="136" xfId="0" applyNumberFormat="1" applyFont="1" applyFill="1" applyBorder="1" applyAlignment="1">
      <alignment vertical="top"/>
    </xf>
    <xf numFmtId="3" fontId="0" fillId="95" borderId="116" xfId="0" applyNumberFormat="1" applyFont="1" applyFill="1" applyBorder="1" applyAlignment="1">
      <alignment vertical="top"/>
    </xf>
    <xf numFmtId="3" fontId="0" fillId="94" borderId="116" xfId="0" applyNumberFormat="1" applyFont="1" applyFill="1" applyBorder="1" applyAlignment="1">
      <alignment vertical="top"/>
    </xf>
    <xf numFmtId="3" fontId="0" fillId="95"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5" fontId="91" fillId="2" borderId="13" xfId="0" applyNumberFormat="1" applyFont="1" applyFill="1" applyBorder="1" applyAlignment="1">
      <alignment horizontal="center"/>
    </xf>
    <xf numFmtId="175" fontId="91" fillId="2" borderId="8" xfId="0" applyNumberFormat="1" applyFont="1" applyFill="1" applyBorder="1" applyAlignment="1">
      <alignment horizontal="center"/>
    </xf>
    <xf numFmtId="3" fontId="48" fillId="28" borderId="162" xfId="0" applyNumberFormat="1" applyFont="1" applyFill="1" applyBorder="1" applyAlignment="1" applyProtection="1">
      <alignment horizontal="center"/>
      <protection locked="0"/>
    </xf>
    <xf numFmtId="3" fontId="48" fillId="0" borderId="34"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Border="1" applyAlignment="1" applyProtection="1">
      <alignment horizontal="left" vertical="center"/>
      <protection locked="0"/>
    </xf>
  </cellXfs>
  <cellStyles count="9878">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Heading) 2" xfId="9788"/>
    <cellStyle name="(Heading) 3" xfId="9839"/>
    <cellStyle name="(Lefting)" xfId="705"/>
    <cellStyle name="(Lefting) 2" xfId="9789"/>
    <cellStyle name="(Lefting) 3" xfId="9838"/>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 Total 2" xfId="9836"/>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 2 2" xfId="9822"/>
    <cellStyle name="ar 2 3" xfId="9804"/>
    <cellStyle name="ar 3" xfId="9790"/>
    <cellStyle name="ar 4" xfId="9835"/>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order, Top 2" xfId="9791"/>
    <cellStyle name="Border, Top 3" xfId="9834"/>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792"/>
    <cellStyle name="Calcul 3" xfId="9833"/>
    <cellStyle name="Calculation 2" xfId="36"/>
    <cellStyle name="Calculation 2 10" xfId="9745"/>
    <cellStyle name="Calculation 2 10 2" xfId="9842"/>
    <cellStyle name="Calculation 2 10 3" xfId="9860"/>
    <cellStyle name="Calculation 2 2" xfId="64"/>
    <cellStyle name="Calculation 2 2 2" xfId="84"/>
    <cellStyle name="Calculation 2 2 2 2" xfId="9766"/>
    <cellStyle name="Calculation 2 2 2 2 2" xfId="9856"/>
    <cellStyle name="Calculation 2 2 2 2 3" xfId="9874"/>
    <cellStyle name="Calculation 2 2 3" xfId="9752"/>
    <cellStyle name="Calculation 2 2 3 2" xfId="9846"/>
    <cellStyle name="Calculation 2 2 3 3" xfId="9864"/>
    <cellStyle name="Calculation 2 3" xfId="78"/>
    <cellStyle name="Calculation 2 3 2" xfId="9760"/>
    <cellStyle name="Calculation 2 3 2 2" xfId="9852"/>
    <cellStyle name="Calculation 2 3 2 3" xfId="987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793"/>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2 2" xfId="9821"/>
    <cellStyle name="Currency [2] 2 3" xfId="9805"/>
    <cellStyle name="Currency [2] 3" xfId="9794"/>
    <cellStyle name="Currency [2] 4" xfId="983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xfId="9831"/>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797"/>
    <cellStyle name="Entrée 3" xfId="9830"/>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eldName 2" xfId="9798"/>
    <cellStyle name="FieldName 3" xfId="9829"/>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799"/>
    <cellStyle name="hard no 3" xfId="9828"/>
    <cellStyle name="Hard Percent" xfId="2243"/>
    <cellStyle name="hardno" xfId="2244"/>
    <cellStyle name="Header" xfId="2245"/>
    <cellStyle name="Header1" xfId="2246"/>
    <cellStyle name="Header2" xfId="2247"/>
    <cellStyle name="Header2 2" xfId="9800"/>
    <cellStyle name="Header2 3" xfId="982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2" xfId="9801"/>
    <cellStyle name="Input [yellow] 3" xfId="9826"/>
    <cellStyle name="Input 2" xfId="47"/>
    <cellStyle name="Input 2 10" xfId="9747"/>
    <cellStyle name="Input 2 10 2" xfId="9843"/>
    <cellStyle name="Input 2 10 3" xfId="9861"/>
    <cellStyle name="Input 2 2" xfId="65"/>
    <cellStyle name="Input 2 2 2" xfId="85"/>
    <cellStyle name="Input 2 2 2 2" xfId="9767"/>
    <cellStyle name="Input 2 2 2 2 2" xfId="9857"/>
    <cellStyle name="Input 2 2 2 2 3" xfId="9875"/>
    <cellStyle name="Input 2 2 3" xfId="9753"/>
    <cellStyle name="Input 2 2 3 2" xfId="9847"/>
    <cellStyle name="Input 2 2 3 3" xfId="9865"/>
    <cellStyle name="Input 2 3" xfId="79"/>
    <cellStyle name="Input 2 3 2" xfId="9761"/>
    <cellStyle name="Input 2 3 2 2" xfId="9853"/>
    <cellStyle name="Input 2 3 2 3" xfId="987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9825"/>
    <cellStyle name="InputVariColour" xfId="2322"/>
    <cellStyle name="Integer" xfId="2323"/>
    <cellStyle name="Invisible" xfId="2324"/>
    <cellStyle name="Item" xfId="2325"/>
    <cellStyle name="Items_Obligatory" xfId="2326"/>
    <cellStyle name="ItemTypeClass" xfId="2327"/>
    <cellStyle name="ItemTypeClass 2" xfId="6861"/>
    <cellStyle name="ItemTypeClass 2 2" xfId="9820"/>
    <cellStyle name="ItemTypeClass 2 3" xfId="9806"/>
    <cellStyle name="ItemTypeClass 3" xfId="9802"/>
    <cellStyle name="ItemTypeClass 4" xfId="9824"/>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803"/>
    <cellStyle name="Normal 13 5" xfId="9823"/>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2" xfId="9807"/>
    <cellStyle name="Nr 0 dec - Subtotal 3" xfId="9819"/>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0 2" xfId="9844"/>
    <cellStyle name="Output 2 10 3" xfId="9862"/>
    <cellStyle name="Output 2 2" xfId="68"/>
    <cellStyle name="Output 2 2 2" xfId="88"/>
    <cellStyle name="Output 2 2 2 2" xfId="9770"/>
    <cellStyle name="Output 2 2 2 2 2" xfId="9858"/>
    <cellStyle name="Output 2 2 2 2 3" xfId="9876"/>
    <cellStyle name="Output 2 2 3" xfId="9756"/>
    <cellStyle name="Output 2 2 3 2" xfId="9848"/>
    <cellStyle name="Output 2 2 3 3" xfId="9866"/>
    <cellStyle name="Output 2 3" xfId="82"/>
    <cellStyle name="Output 2 3 2" xfId="9764"/>
    <cellStyle name="Output 2 3 2 2" xfId="9854"/>
    <cellStyle name="Output 2 3 2 3" xfId="9872"/>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808"/>
    <cellStyle name="Percent [1] 3" xfId="9787"/>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809"/>
    <cellStyle name="SectionHeading 3" xfId="9786"/>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810"/>
    <cellStyle name="Style 21 4" xfId="9785"/>
    <cellStyle name="Style 22" xfId="4933"/>
    <cellStyle name="Style 22 2" xfId="4934"/>
    <cellStyle name="Style 22 2 2" xfId="9812"/>
    <cellStyle name="Style 22 2 3" xfId="9783"/>
    <cellStyle name="Style 22 3" xfId="4935"/>
    <cellStyle name="Style 22 3 2" xfId="9813"/>
    <cellStyle name="Style 22 3 3" xfId="9782"/>
    <cellStyle name="Style 22 4" xfId="4936"/>
    <cellStyle name="Style 22 5" xfId="9811"/>
    <cellStyle name="Style 22 6" xfId="9784"/>
    <cellStyle name="Style 23" xfId="59"/>
    <cellStyle name="Style 23 2" xfId="60"/>
    <cellStyle name="Style 23 2 2" xfId="76"/>
    <cellStyle name="Style 23 2 2 2" xfId="121"/>
    <cellStyle name="Style 23 2 2 2 2" xfId="9773"/>
    <cellStyle name="Style 23 2 2 2 3" xfId="9840"/>
    <cellStyle name="Style 23 2 2 3" xfId="9758"/>
    <cellStyle name="Style 23 2 2 3 2" xfId="9850"/>
    <cellStyle name="Style 23 2 2 3 3" xfId="9868"/>
    <cellStyle name="Style 23 3" xfId="77"/>
    <cellStyle name="Style 23 3 2" xfId="120"/>
    <cellStyle name="Style 23 3 2 2" xfId="9772"/>
    <cellStyle name="Style 23 3 2 3" xfId="9841"/>
    <cellStyle name="Style 23 3 3" xfId="9759"/>
    <cellStyle name="Style 23 3 3 2" xfId="9851"/>
    <cellStyle name="Style 23 3 3 3" xfId="9869"/>
    <cellStyle name="Style 24" xfId="4937"/>
    <cellStyle name="Style 24 2" xfId="4938"/>
    <cellStyle name="Style 24 3" xfId="4939"/>
    <cellStyle name="Style 24 4" xfId="4940"/>
    <cellStyle name="Style 24 5" xfId="9814"/>
    <cellStyle name="Style 24 6" xfId="9781"/>
    <cellStyle name="Style 25" xfId="4941"/>
    <cellStyle name="Style 25 2" xfId="4942"/>
    <cellStyle name="Style 25 2 2" xfId="9816"/>
    <cellStyle name="Style 25 2 3" xfId="9779"/>
    <cellStyle name="Style 25 3" xfId="4943"/>
    <cellStyle name="Style 25 4" xfId="9815"/>
    <cellStyle name="Style 25 5" xfId="9780"/>
    <cellStyle name="Style 26" xfId="4944"/>
    <cellStyle name="Style 26 2" xfId="4945"/>
    <cellStyle name="Style 26 3" xfId="4946"/>
    <cellStyle name="Style 26 4" xfId="4947"/>
    <cellStyle name="Style 26 5" xfId="9817"/>
    <cellStyle name="Style 26 6" xfId="9778"/>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ColumnHeader 2 2" xfId="9837"/>
    <cellStyle name="TableColumnHeader 2 3" xfId="9796"/>
    <cellStyle name="TableColumnHeader 3" xfId="9818"/>
    <cellStyle name="TableColumnHeader 4" xfId="9777"/>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2" xfId="9845"/>
    <cellStyle name="Total 2 11 3" xfId="9863"/>
    <cellStyle name="Total 2 2" xfId="69"/>
    <cellStyle name="Total 2 2 2" xfId="89"/>
    <cellStyle name="Total 2 2 2 2" xfId="9771"/>
    <cellStyle name="Total 2 2 2 2 2" xfId="9859"/>
    <cellStyle name="Total 2 2 2 2 3" xfId="9877"/>
    <cellStyle name="Total 2 2 3" xfId="9757"/>
    <cellStyle name="Total 2 2 3 2" xfId="9849"/>
    <cellStyle name="Total 2 2 3 3" xfId="9867"/>
    <cellStyle name="Total 2 3" xfId="83"/>
    <cellStyle name="Total 2 3 2" xfId="9765"/>
    <cellStyle name="Total 2 3 2 2" xfId="9855"/>
    <cellStyle name="Total 2 3 2 3" xfId="9873"/>
    <cellStyle name="Total 2 4" xfId="5071"/>
    <cellStyle name="Total 2 5" xfId="5072"/>
    <cellStyle name="Total 2 6" xfId="5073"/>
    <cellStyle name="Total 2 7" xfId="5074"/>
    <cellStyle name="Total 2 8" xfId="5075"/>
    <cellStyle name="Total 2 9" xfId="5076"/>
    <cellStyle name="Total 3" xfId="5077"/>
    <cellStyle name="Total 3 2" xfId="9776"/>
    <cellStyle name="Total Bold" xfId="5078"/>
    <cellStyle name="Total Bold 2" xfId="9775"/>
    <cellStyle name="Totals" xfId="5079"/>
    <cellStyle name="Totals 2" xfId="8567"/>
    <cellStyle name="Totals 2 2" xfId="9795"/>
    <cellStyle name="Totals 3" xfId="9774"/>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6175374"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081432"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8825"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247022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6122789" cy="2164602"/>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16" zoomScaleNormal="100" workbookViewId="0"/>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48" t="s">
        <v>175</v>
      </c>
      <c r="C3" s="748"/>
    </row>
    <row r="4" spans="1:3" ht="11.25" customHeight="1"/>
    <row r="5" spans="1:3" s="30" customFormat="1" ht="25.5" customHeight="1">
      <c r="B5" s="62" t="s">
        <v>421</v>
      </c>
      <c r="C5" s="62" t="s">
        <v>174</v>
      </c>
    </row>
    <row r="6" spans="1:3" s="178" customFormat="1" ht="48" customHeight="1">
      <c r="A6" s="243"/>
      <c r="B6" s="618" t="s">
        <v>171</v>
      </c>
      <c r="C6" s="671" t="s">
        <v>603</v>
      </c>
    </row>
    <row r="7" spans="1:3" s="178" customFormat="1" ht="21" customHeight="1">
      <c r="A7" s="243"/>
      <c r="B7" s="612" t="s">
        <v>553</v>
      </c>
      <c r="C7" s="672" t="s">
        <v>616</v>
      </c>
    </row>
    <row r="8" spans="1:3" s="178" customFormat="1" ht="32.25" customHeight="1">
      <c r="B8" s="612" t="s">
        <v>369</v>
      </c>
      <c r="C8" s="673" t="s">
        <v>604</v>
      </c>
    </row>
    <row r="9" spans="1:3" s="178" customFormat="1" ht="27.75" customHeight="1">
      <c r="B9" s="612" t="s">
        <v>170</v>
      </c>
      <c r="C9" s="673" t="s">
        <v>605</v>
      </c>
    </row>
    <row r="10" spans="1:3" s="178" customFormat="1" ht="33" customHeight="1">
      <c r="B10" s="612" t="s">
        <v>601</v>
      </c>
      <c r="C10" s="672" t="s">
        <v>609</v>
      </c>
    </row>
    <row r="11" spans="1:3" s="178" customFormat="1" ht="26.25" customHeight="1">
      <c r="B11" s="627" t="s">
        <v>370</v>
      </c>
      <c r="C11" s="675" t="s">
        <v>606</v>
      </c>
    </row>
    <row r="12" spans="1:3" s="178" customFormat="1" ht="39.75" customHeight="1">
      <c r="B12" s="612" t="s">
        <v>371</v>
      </c>
      <c r="C12" s="673" t="s">
        <v>607</v>
      </c>
    </row>
    <row r="13" spans="1:3" s="178" customFormat="1" ht="18" customHeight="1">
      <c r="B13" s="612" t="s">
        <v>372</v>
      </c>
      <c r="C13" s="673" t="s">
        <v>608</v>
      </c>
    </row>
    <row r="14" spans="1:3" s="178" customFormat="1" ht="13.5" customHeight="1">
      <c r="B14" s="612"/>
      <c r="C14" s="674"/>
    </row>
    <row r="15" spans="1:3" s="178" customFormat="1" ht="18" customHeight="1">
      <c r="B15" s="612" t="s">
        <v>680</v>
      </c>
      <c r="C15" s="672" t="s">
        <v>678</v>
      </c>
    </row>
    <row r="16" spans="1:3" s="178" customFormat="1" ht="8.25" customHeight="1">
      <c r="B16" s="612"/>
      <c r="C16" s="674"/>
    </row>
    <row r="17" spans="2:3" s="178" customFormat="1" ht="33" customHeight="1">
      <c r="B17" s="676" t="s">
        <v>602</v>
      </c>
      <c r="C17" s="677" t="s">
        <v>679</v>
      </c>
    </row>
    <row r="18" spans="2:3" s="105" customFormat="1" ht="15.75">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534"/>
  <sheetViews>
    <sheetView zoomScale="90" zoomScaleNormal="90" zoomScaleSheetLayoutView="80" zoomScalePageLayoutView="85" workbookViewId="0">
      <selection activeCell="F51" sqref="F51"/>
    </sheetView>
  </sheetViews>
  <sheetFormatPr defaultRowHeight="14.25" outlineLevelRow="1" outlineLevelCol="1"/>
  <cols>
    <col min="1" max="1" width="4.7109375" style="509" customWidth="1"/>
    <col min="2" max="2" width="43.7109375" style="256" customWidth="1"/>
    <col min="3" max="3" width="14" style="256" customWidth="1"/>
    <col min="4" max="4" width="18.140625" style="255" customWidth="1"/>
    <col min="5" max="8" width="10.42578125" style="255" hidden="1" customWidth="1" outlineLevel="1"/>
    <col min="9" max="13" width="9.140625" style="255" hidden="1" customWidth="1" outlineLevel="1"/>
    <col min="14" max="14" width="12.42578125" style="255" hidden="1" customWidth="1" outlineLevel="1"/>
    <col min="15" max="15" width="17.5703125" style="255" customWidth="1" collapsed="1"/>
    <col min="16" max="24" width="9.42578125" style="255" hidden="1" customWidth="1" outlineLevel="1"/>
    <col min="25" max="25" width="14.140625" style="257" customWidth="1" collapsed="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row r="3" spans="1:39" ht="25.5" hidden="1" customHeight="1" thickBot="1">
      <c r="B3" s="798" t="s">
        <v>172</v>
      </c>
      <c r="C3" s="259" t="s">
        <v>176</v>
      </c>
      <c r="D3" s="507"/>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hidden="1" customHeight="1" thickBot="1">
      <c r="B4" s="798"/>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hidden="1" customHeight="1" thickBot="1">
      <c r="B5" s="565"/>
      <c r="C5" s="795" t="s">
        <v>552</v>
      </c>
      <c r="D5" s="796"/>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hidden="1"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15.75" hidden="1">
      <c r="B7" s="798" t="s">
        <v>506</v>
      </c>
      <c r="C7" s="815" t="s">
        <v>639</v>
      </c>
      <c r="D7" s="815"/>
      <c r="E7" s="815"/>
      <c r="F7" s="815"/>
      <c r="G7" s="815"/>
      <c r="H7" s="815"/>
      <c r="I7" s="815"/>
      <c r="J7" s="815"/>
      <c r="K7" s="815"/>
      <c r="L7" s="815"/>
      <c r="M7" s="815"/>
      <c r="N7" s="815"/>
      <c r="O7" s="815"/>
      <c r="P7" s="815"/>
      <c r="Q7" s="815"/>
      <c r="R7" s="815"/>
      <c r="S7" s="815"/>
      <c r="T7" s="815"/>
      <c r="U7" s="815"/>
      <c r="V7" s="815"/>
      <c r="W7" s="815"/>
      <c r="X7" s="815"/>
      <c r="Y7" s="606"/>
      <c r="Z7" s="606"/>
      <c r="AA7" s="606"/>
      <c r="AB7" s="606"/>
      <c r="AC7" s="606"/>
      <c r="AD7" s="606"/>
      <c r="AE7" s="272"/>
      <c r="AF7" s="272"/>
      <c r="AG7" s="272"/>
      <c r="AH7" s="272"/>
      <c r="AI7" s="272"/>
      <c r="AJ7" s="272"/>
      <c r="AK7" s="272"/>
      <c r="AL7" s="272"/>
    </row>
    <row r="8" spans="1:39" s="273" customFormat="1" ht="15.75" hidden="1">
      <c r="A8" s="509"/>
      <c r="B8" s="798"/>
      <c r="C8" s="815" t="s">
        <v>573</v>
      </c>
      <c r="D8" s="815"/>
      <c r="E8" s="815"/>
      <c r="F8" s="815"/>
      <c r="G8" s="815"/>
      <c r="H8" s="815"/>
      <c r="I8" s="815"/>
      <c r="J8" s="815"/>
      <c r="K8" s="815"/>
      <c r="L8" s="815"/>
      <c r="M8" s="815"/>
      <c r="N8" s="815"/>
      <c r="O8" s="815"/>
      <c r="P8" s="815"/>
      <c r="Q8" s="815"/>
      <c r="R8" s="815"/>
      <c r="S8" s="815"/>
      <c r="T8" s="815"/>
      <c r="U8" s="815"/>
      <c r="V8" s="815"/>
      <c r="W8" s="815"/>
      <c r="X8" s="815"/>
      <c r="Y8" s="606"/>
      <c r="Z8" s="606"/>
      <c r="AA8" s="606"/>
      <c r="AB8" s="606"/>
      <c r="AC8" s="606"/>
      <c r="AD8" s="606"/>
      <c r="AE8" s="274"/>
      <c r="AF8" s="257"/>
      <c r="AG8" s="257"/>
      <c r="AH8" s="257"/>
      <c r="AI8" s="257"/>
      <c r="AJ8" s="257"/>
      <c r="AK8" s="257"/>
      <c r="AL8" s="257"/>
      <c r="AM8" s="258"/>
    </row>
    <row r="9" spans="1:39" s="273" customFormat="1" ht="15.75" hidden="1">
      <c r="A9" s="509"/>
      <c r="B9" s="275"/>
      <c r="C9" s="815" t="s">
        <v>572</v>
      </c>
      <c r="D9" s="815"/>
      <c r="E9" s="815"/>
      <c r="F9" s="815"/>
      <c r="G9" s="815"/>
      <c r="H9" s="815"/>
      <c r="I9" s="815"/>
      <c r="J9" s="815"/>
      <c r="K9" s="815"/>
      <c r="L9" s="815"/>
      <c r="M9" s="815"/>
      <c r="N9" s="815"/>
      <c r="O9" s="815"/>
      <c r="P9" s="815"/>
      <c r="Q9" s="815"/>
      <c r="R9" s="815"/>
      <c r="S9" s="815"/>
      <c r="T9" s="815"/>
      <c r="U9" s="815"/>
      <c r="V9" s="815"/>
      <c r="W9" s="815"/>
      <c r="X9" s="815"/>
      <c r="Y9" s="606"/>
      <c r="Z9" s="606"/>
      <c r="AA9" s="606"/>
      <c r="AB9" s="606"/>
      <c r="AC9" s="606"/>
      <c r="AD9" s="606"/>
      <c r="AE9" s="274"/>
      <c r="AF9" s="257"/>
      <c r="AG9" s="257"/>
      <c r="AH9" s="257"/>
      <c r="AI9" s="257"/>
      <c r="AJ9" s="257"/>
      <c r="AK9" s="257"/>
      <c r="AL9" s="257"/>
      <c r="AM9" s="258"/>
    </row>
    <row r="10" spans="1:39" ht="15.75" hidden="1">
      <c r="B10" s="277"/>
      <c r="C10" s="815" t="s">
        <v>642</v>
      </c>
      <c r="D10" s="815"/>
      <c r="E10" s="815"/>
      <c r="F10" s="815"/>
      <c r="G10" s="815"/>
      <c r="H10" s="815"/>
      <c r="I10" s="815"/>
      <c r="J10" s="815"/>
      <c r="K10" s="815"/>
      <c r="L10" s="815"/>
      <c r="M10" s="815"/>
      <c r="N10" s="815"/>
      <c r="O10" s="815"/>
      <c r="P10" s="815"/>
      <c r="Q10" s="815"/>
      <c r="R10" s="815"/>
      <c r="S10" s="815"/>
      <c r="T10" s="815"/>
      <c r="U10" s="815"/>
      <c r="V10" s="815"/>
      <c r="W10" s="815"/>
      <c r="X10" s="815"/>
      <c r="Y10" s="606"/>
      <c r="Z10" s="606"/>
      <c r="AA10" s="606"/>
      <c r="AB10" s="606"/>
      <c r="AC10" s="606"/>
      <c r="AD10" s="606"/>
      <c r="AE10" s="274"/>
      <c r="AF10" s="278"/>
      <c r="AG10" s="278"/>
      <c r="AH10" s="278"/>
      <c r="AI10" s="278"/>
      <c r="AJ10" s="278"/>
      <c r="AK10" s="278"/>
      <c r="AL10" s="278"/>
    </row>
    <row r="11" spans="1:39" ht="15.75" hidden="1">
      <c r="C11" s="815" t="s">
        <v>625</v>
      </c>
      <c r="D11" s="815"/>
      <c r="E11" s="815"/>
      <c r="F11" s="815"/>
      <c r="G11" s="815"/>
      <c r="H11" s="815"/>
      <c r="I11" s="815"/>
      <c r="J11" s="815"/>
      <c r="K11" s="815"/>
      <c r="L11" s="815"/>
      <c r="M11" s="815"/>
      <c r="N11" s="815"/>
      <c r="O11" s="815"/>
      <c r="P11" s="815"/>
      <c r="Q11" s="815"/>
      <c r="R11" s="815"/>
      <c r="S11" s="815"/>
      <c r="T11" s="815"/>
      <c r="U11" s="815"/>
      <c r="V11" s="815"/>
      <c r="W11" s="815"/>
      <c r="X11" s="815"/>
      <c r="Y11" s="606"/>
      <c r="Z11" s="606"/>
      <c r="AA11" s="606"/>
      <c r="AB11" s="606"/>
      <c r="AC11" s="606"/>
      <c r="AD11" s="606"/>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798" t="s">
        <v>528</v>
      </c>
      <c r="C13" s="591" t="s">
        <v>523</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4"/>
      <c r="AF13" s="278"/>
      <c r="AG13" s="278"/>
      <c r="AH13" s="278"/>
      <c r="AI13" s="278"/>
      <c r="AJ13" s="278"/>
      <c r="AK13" s="278"/>
      <c r="AL13" s="278"/>
      <c r="AM13" s="255"/>
    </row>
    <row r="14" spans="1:39" ht="20.25" customHeight="1">
      <c r="B14" s="798"/>
      <c r="C14" s="591" t="s">
        <v>524</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4"/>
      <c r="AF14" s="278"/>
      <c r="AG14" s="278"/>
      <c r="AH14" s="278"/>
      <c r="AI14" s="278"/>
      <c r="AJ14" s="278"/>
      <c r="AK14" s="278"/>
      <c r="AL14" s="278"/>
      <c r="AM14" s="255"/>
    </row>
    <row r="15" spans="1:39" ht="20.25" customHeight="1">
      <c r="C15" s="591" t="s">
        <v>525</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4"/>
      <c r="AF15" s="278"/>
      <c r="AG15" s="278"/>
      <c r="AH15" s="278"/>
      <c r="AI15" s="278"/>
      <c r="AJ15" s="278"/>
      <c r="AK15" s="278"/>
      <c r="AL15" s="278"/>
      <c r="AM15" s="255"/>
    </row>
    <row r="16" spans="1:39" ht="20.25" customHeight="1">
      <c r="C16" s="591" t="s">
        <v>526</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242</v>
      </c>
      <c r="C18" s="283"/>
      <c r="E18" s="590"/>
      <c r="O18" s="283"/>
      <c r="Y18" s="272"/>
      <c r="Z18" s="269"/>
      <c r="AA18" s="269"/>
      <c r="AB18" s="269"/>
      <c r="AC18" s="269"/>
      <c r="AD18" s="269"/>
      <c r="AE18" s="269"/>
      <c r="AF18" s="269"/>
      <c r="AG18" s="269"/>
      <c r="AH18" s="269"/>
      <c r="AI18" s="269"/>
      <c r="AJ18" s="269"/>
      <c r="AK18" s="269"/>
      <c r="AL18" s="269"/>
      <c r="AM18" s="284"/>
    </row>
    <row r="19" spans="1:39" s="285" customFormat="1" ht="36" customHeight="1">
      <c r="A19" s="509"/>
      <c r="B19" s="800" t="s">
        <v>212</v>
      </c>
      <c r="C19" s="802" t="s">
        <v>33</v>
      </c>
      <c r="D19" s="286" t="s">
        <v>423</v>
      </c>
      <c r="E19" s="804" t="s">
        <v>210</v>
      </c>
      <c r="F19" s="805"/>
      <c r="G19" s="805"/>
      <c r="H19" s="805"/>
      <c r="I19" s="805"/>
      <c r="J19" s="805"/>
      <c r="K19" s="805"/>
      <c r="L19" s="805"/>
      <c r="M19" s="806"/>
      <c r="N19" s="810" t="s">
        <v>214</v>
      </c>
      <c r="O19" s="286" t="s">
        <v>424</v>
      </c>
      <c r="P19" s="804" t="s">
        <v>213</v>
      </c>
      <c r="Q19" s="805"/>
      <c r="R19" s="805"/>
      <c r="S19" s="805"/>
      <c r="T19" s="805"/>
      <c r="U19" s="805"/>
      <c r="V19" s="805"/>
      <c r="W19" s="805"/>
      <c r="X19" s="806"/>
      <c r="Y19" s="807" t="s">
        <v>244</v>
      </c>
      <c r="Z19" s="808"/>
      <c r="AA19" s="808"/>
      <c r="AB19" s="808"/>
      <c r="AC19" s="808"/>
      <c r="AD19" s="808"/>
      <c r="AE19" s="808"/>
      <c r="AF19" s="808"/>
      <c r="AG19" s="808"/>
      <c r="AH19" s="808"/>
      <c r="AI19" s="808"/>
      <c r="AJ19" s="808"/>
      <c r="AK19" s="808"/>
      <c r="AL19" s="808"/>
      <c r="AM19" s="809"/>
    </row>
    <row r="20" spans="1:39" s="285" customFormat="1" ht="59.25" customHeight="1">
      <c r="A20" s="509"/>
      <c r="B20" s="801"/>
      <c r="C20" s="803"/>
      <c r="D20" s="287">
        <v>2011</v>
      </c>
      <c r="E20" s="287">
        <v>2012</v>
      </c>
      <c r="F20" s="287">
        <v>2013</v>
      </c>
      <c r="G20" s="287">
        <v>2014</v>
      </c>
      <c r="H20" s="287">
        <v>2015</v>
      </c>
      <c r="I20" s="287">
        <v>2016</v>
      </c>
      <c r="J20" s="287">
        <v>2017</v>
      </c>
      <c r="K20" s="287">
        <v>2018</v>
      </c>
      <c r="L20" s="287">
        <v>2019</v>
      </c>
      <c r="M20" s="287">
        <v>2020</v>
      </c>
      <c r="N20" s="811"/>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 kW</v>
      </c>
      <c r="AB20" s="288" t="str">
        <f>'1.  LRAMVA Summary'!G50</f>
        <v>Streetlights</v>
      </c>
      <c r="AC20" s="288" t="str">
        <f>'1.  LRAMVA Summary'!H50</f>
        <v>Unmetered Scattered Load</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0"/>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KWh</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hidden="1" customHeight="1" outlineLevel="1">
      <c r="A22" s="509">
        <v>1</v>
      </c>
      <c r="B22" s="296" t="s">
        <v>1</v>
      </c>
      <c r="C22" s="293" t="s">
        <v>25</v>
      </c>
      <c r="D22" s="297">
        <v>52746.940326103329</v>
      </c>
      <c r="E22" s="297">
        <v>52746.940326103329</v>
      </c>
      <c r="F22" s="297">
        <v>52746.940326103329</v>
      </c>
      <c r="G22" s="297">
        <v>52443.725112754277</v>
      </c>
      <c r="H22" s="297">
        <v>39500.16606746184</v>
      </c>
      <c r="I22" s="297">
        <v>0</v>
      </c>
      <c r="J22" s="297">
        <v>0</v>
      </c>
      <c r="K22" s="297">
        <v>0</v>
      </c>
      <c r="L22" s="297">
        <v>0</v>
      </c>
      <c r="M22" s="297">
        <v>0</v>
      </c>
      <c r="N22" s="293"/>
      <c r="O22" s="297">
        <v>7.626611228809197</v>
      </c>
      <c r="P22" s="297">
        <v>7.626611228809197</v>
      </c>
      <c r="Q22" s="297">
        <v>7.626611228809197</v>
      </c>
      <c r="R22" s="297">
        <v>7.2875408183543122</v>
      </c>
      <c r="S22" s="297">
        <v>5.193470906745727</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 hidden="1" outlineLevel="1">
      <c r="A23" s="509"/>
      <c r="B23" s="296" t="s">
        <v>215</v>
      </c>
      <c r="C23" s="293" t="s">
        <v>164</v>
      </c>
      <c r="D23" s="297"/>
      <c r="E23" s="297"/>
      <c r="F23" s="297"/>
      <c r="G23" s="297"/>
      <c r="H23" s="297"/>
      <c r="I23" s="297"/>
      <c r="J23" s="297"/>
      <c r="K23" s="297"/>
      <c r="L23" s="297"/>
      <c r="M23" s="297"/>
      <c r="N23" s="469"/>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hidden="1" outlineLevel="1">
      <c r="A24" s="511"/>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hidden="1" outlineLevel="1">
      <c r="A25" s="509">
        <v>2</v>
      </c>
      <c r="B25" s="296" t="s">
        <v>2</v>
      </c>
      <c r="C25" s="293" t="s">
        <v>25</v>
      </c>
      <c r="D25" s="297">
        <v>1671.4918706195494</v>
      </c>
      <c r="E25" s="297">
        <v>1671.4918706195494</v>
      </c>
      <c r="F25" s="297">
        <v>1671.4918706195494</v>
      </c>
      <c r="G25" s="297">
        <v>1222.1344022192445</v>
      </c>
      <c r="H25" s="297">
        <v>0</v>
      </c>
      <c r="I25" s="297">
        <v>0</v>
      </c>
      <c r="J25" s="297">
        <v>0</v>
      </c>
      <c r="K25" s="297">
        <v>0</v>
      </c>
      <c r="L25" s="297">
        <v>0</v>
      </c>
      <c r="M25" s="297">
        <v>0</v>
      </c>
      <c r="N25" s="293"/>
      <c r="O25" s="297">
        <v>1.1879073687414818</v>
      </c>
      <c r="P25" s="297">
        <v>1.1879073687414818</v>
      </c>
      <c r="Q25" s="297">
        <v>1.1879073687414818</v>
      </c>
      <c r="R25" s="297">
        <v>0.68541338247813122</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 hidden="1" outlineLevel="1">
      <c r="A26" s="509"/>
      <c r="B26" s="296" t="s">
        <v>215</v>
      </c>
      <c r="C26" s="293" t="s">
        <v>164</v>
      </c>
      <c r="D26" s="297"/>
      <c r="E26" s="297"/>
      <c r="F26" s="297"/>
      <c r="G26" s="297"/>
      <c r="H26" s="297"/>
      <c r="I26" s="297"/>
      <c r="J26" s="297"/>
      <c r="K26" s="297"/>
      <c r="L26" s="297"/>
      <c r="M26" s="297"/>
      <c r="N26" s="469"/>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hidden="1" outlineLevel="1">
      <c r="A27" s="511"/>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hidden="1" outlineLevel="1">
      <c r="A28" s="509">
        <v>3</v>
      </c>
      <c r="B28" s="296" t="s">
        <v>3</v>
      </c>
      <c r="C28" s="293" t="s">
        <v>25</v>
      </c>
      <c r="D28" s="297">
        <v>60902.619333977389</v>
      </c>
      <c r="E28" s="297">
        <v>60902.619333977389</v>
      </c>
      <c r="F28" s="297">
        <v>60902.619333977389</v>
      </c>
      <c r="G28" s="297">
        <v>60902.619333977389</v>
      </c>
      <c r="H28" s="297">
        <v>60902.619333977389</v>
      </c>
      <c r="I28" s="297">
        <v>60902.619333977389</v>
      </c>
      <c r="J28" s="297">
        <v>60902.619333977389</v>
      </c>
      <c r="K28" s="297">
        <v>60902.619333977389</v>
      </c>
      <c r="L28" s="297">
        <v>60902.619333977389</v>
      </c>
      <c r="M28" s="297">
        <v>60902.619333977389</v>
      </c>
      <c r="N28" s="293"/>
      <c r="O28" s="297">
        <v>31.598265159682093</v>
      </c>
      <c r="P28" s="297">
        <v>31.598265159682093</v>
      </c>
      <c r="Q28" s="297">
        <v>31.598265159682093</v>
      </c>
      <c r="R28" s="297">
        <v>31.598265159682093</v>
      </c>
      <c r="S28" s="297">
        <v>31.598265159682093</v>
      </c>
      <c r="T28" s="297">
        <v>31.598265159682093</v>
      </c>
      <c r="U28" s="297">
        <v>31.598265159682093</v>
      </c>
      <c r="V28" s="297">
        <v>31.598265159682093</v>
      </c>
      <c r="W28" s="297">
        <v>31.598265159682093</v>
      </c>
      <c r="X28" s="297">
        <v>31.598265159682093</v>
      </c>
      <c r="Y28" s="412">
        <v>1</v>
      </c>
      <c r="Z28" s="412"/>
      <c r="AA28" s="412"/>
      <c r="AB28" s="412"/>
      <c r="AC28" s="412"/>
      <c r="AD28" s="412"/>
      <c r="AE28" s="412"/>
      <c r="AF28" s="412"/>
      <c r="AG28" s="412"/>
      <c r="AH28" s="412"/>
      <c r="AI28" s="412"/>
      <c r="AJ28" s="412"/>
      <c r="AK28" s="412"/>
      <c r="AL28" s="412"/>
      <c r="AM28" s="298">
        <f>SUM(Y28:AL28)</f>
        <v>1</v>
      </c>
    </row>
    <row r="29" spans="1:39" s="285" customFormat="1" ht="15" hidden="1" outlineLevel="1">
      <c r="A29" s="509"/>
      <c r="B29" s="296" t="s">
        <v>215</v>
      </c>
      <c r="C29" s="293" t="s">
        <v>164</v>
      </c>
      <c r="D29" s="297"/>
      <c r="E29" s="297"/>
      <c r="F29" s="297"/>
      <c r="G29" s="297"/>
      <c r="H29" s="297"/>
      <c r="I29" s="297"/>
      <c r="J29" s="297"/>
      <c r="K29" s="297"/>
      <c r="L29" s="297"/>
      <c r="M29" s="297"/>
      <c r="N29" s="469"/>
      <c r="O29" s="297"/>
      <c r="P29" s="297"/>
      <c r="Q29" s="297"/>
      <c r="R29" s="297"/>
      <c r="S29" s="297"/>
      <c r="T29" s="297"/>
      <c r="U29" s="297"/>
      <c r="V29" s="297"/>
      <c r="W29" s="297"/>
      <c r="X29" s="297"/>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hidden="1" outlineLevel="1">
      <c r="A30" s="509"/>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hidden="1" outlineLevel="1">
      <c r="A31" s="509">
        <v>4</v>
      </c>
      <c r="B31" s="296" t="s">
        <v>4</v>
      </c>
      <c r="C31" s="293" t="s">
        <v>25</v>
      </c>
      <c r="D31" s="297">
        <v>54256.762724071887</v>
      </c>
      <c r="E31" s="297">
        <v>54256.762724071887</v>
      </c>
      <c r="F31" s="297">
        <v>54256.762724071887</v>
      </c>
      <c r="G31" s="297">
        <v>54256.762724071887</v>
      </c>
      <c r="H31" s="297">
        <v>49963.072324449298</v>
      </c>
      <c r="I31" s="297">
        <v>45204.398005769297</v>
      </c>
      <c r="J31" s="297">
        <v>35170.073191306939</v>
      </c>
      <c r="K31" s="297">
        <v>34945.224112276381</v>
      </c>
      <c r="L31" s="297">
        <v>43929.590410594581</v>
      </c>
      <c r="M31" s="297">
        <v>16679.091885422826</v>
      </c>
      <c r="N31" s="293"/>
      <c r="O31" s="297">
        <v>3.3392644783408905</v>
      </c>
      <c r="P31" s="297">
        <v>3.3392644783408905</v>
      </c>
      <c r="Q31" s="297">
        <v>3.3392644783408905</v>
      </c>
      <c r="R31" s="297">
        <v>3.3392644783408905</v>
      </c>
      <c r="S31" s="297">
        <v>3.1404539460095009</v>
      </c>
      <c r="T31" s="297">
        <v>2.9201132864753054</v>
      </c>
      <c r="U31" s="297">
        <v>2.4554944452741139</v>
      </c>
      <c r="V31" s="297">
        <v>2.4298267421884345</v>
      </c>
      <c r="W31" s="297">
        <v>2.8458294066063994</v>
      </c>
      <c r="X31" s="297">
        <v>1.5840509331139143</v>
      </c>
      <c r="Y31" s="412">
        <v>1</v>
      </c>
      <c r="Z31" s="412"/>
      <c r="AA31" s="412"/>
      <c r="AB31" s="412"/>
      <c r="AC31" s="412"/>
      <c r="AD31" s="412"/>
      <c r="AE31" s="412"/>
      <c r="AF31" s="412"/>
      <c r="AG31" s="412"/>
      <c r="AH31" s="412"/>
      <c r="AI31" s="412"/>
      <c r="AJ31" s="412"/>
      <c r="AK31" s="412"/>
      <c r="AL31" s="412"/>
      <c r="AM31" s="298">
        <f>SUM(Y31:AL31)</f>
        <v>1</v>
      </c>
    </row>
    <row r="32" spans="1:39" s="285" customFormat="1" ht="15" hidden="1" outlineLevel="1">
      <c r="A32" s="509"/>
      <c r="B32" s="296" t="s">
        <v>215</v>
      </c>
      <c r="C32" s="293" t="s">
        <v>164</v>
      </c>
      <c r="D32" s="297"/>
      <c r="E32" s="297"/>
      <c r="F32" s="297"/>
      <c r="G32" s="297"/>
      <c r="H32" s="297"/>
      <c r="I32" s="297"/>
      <c r="J32" s="297"/>
      <c r="K32" s="297"/>
      <c r="L32" s="297"/>
      <c r="M32" s="297"/>
      <c r="N32" s="469"/>
      <c r="O32" s="297"/>
      <c r="P32" s="297"/>
      <c r="Q32" s="297"/>
      <c r="R32" s="297"/>
      <c r="S32" s="297"/>
      <c r="T32" s="297"/>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hidden="1" outlineLevel="1">
      <c r="A33" s="509"/>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hidden="1" outlineLevel="1">
      <c r="A34" s="509">
        <v>5</v>
      </c>
      <c r="B34" s="296" t="s">
        <v>5</v>
      </c>
      <c r="C34" s="293" t="s">
        <v>25</v>
      </c>
      <c r="D34" s="297">
        <v>90221.827974615051</v>
      </c>
      <c r="E34" s="297">
        <v>90221.827974615051</v>
      </c>
      <c r="F34" s="297">
        <v>90221.827974615051</v>
      </c>
      <c r="G34" s="297">
        <v>90221.827974615051</v>
      </c>
      <c r="H34" s="297">
        <v>82993.171440725331</v>
      </c>
      <c r="I34" s="297">
        <v>74526.576652665623</v>
      </c>
      <c r="J34" s="297">
        <v>54974.639281761061</v>
      </c>
      <c r="K34" s="297">
        <v>54784.637409639443</v>
      </c>
      <c r="L34" s="297">
        <v>69910.296714489392</v>
      </c>
      <c r="M34" s="297">
        <v>22126.681956716464</v>
      </c>
      <c r="N34" s="293"/>
      <c r="O34" s="297">
        <v>5.113504196502344</v>
      </c>
      <c r="P34" s="297">
        <v>5.113504196502344</v>
      </c>
      <c r="Q34" s="297">
        <v>5.113504196502344</v>
      </c>
      <c r="R34" s="297">
        <v>5.113504196502344</v>
      </c>
      <c r="S34" s="297">
        <v>4.7787960737020345</v>
      </c>
      <c r="T34" s="297">
        <v>4.3867677576883164</v>
      </c>
      <c r="U34" s="297">
        <v>3.4814553771866423</v>
      </c>
      <c r="V34" s="297">
        <v>3.4597656657572338</v>
      </c>
      <c r="W34" s="297">
        <v>4.1601283138244458</v>
      </c>
      <c r="X34" s="297">
        <v>1.9476059839550437</v>
      </c>
      <c r="Y34" s="412">
        <v>1</v>
      </c>
      <c r="Z34" s="412"/>
      <c r="AA34" s="412"/>
      <c r="AB34" s="412"/>
      <c r="AC34" s="412"/>
      <c r="AD34" s="412"/>
      <c r="AE34" s="412"/>
      <c r="AF34" s="412"/>
      <c r="AG34" s="412"/>
      <c r="AH34" s="412"/>
      <c r="AI34" s="412"/>
      <c r="AJ34" s="412"/>
      <c r="AK34" s="412"/>
      <c r="AL34" s="412"/>
      <c r="AM34" s="298">
        <f>SUM(Y34:AL34)</f>
        <v>1</v>
      </c>
    </row>
    <row r="35" spans="1:39" s="285" customFormat="1" ht="15" hidden="1" outlineLevel="1">
      <c r="A35" s="509"/>
      <c r="B35" s="296" t="s">
        <v>215</v>
      </c>
      <c r="C35" s="293" t="s">
        <v>164</v>
      </c>
      <c r="D35" s="297"/>
      <c r="E35" s="297"/>
      <c r="F35" s="297"/>
      <c r="G35" s="297"/>
      <c r="H35" s="297"/>
      <c r="I35" s="297"/>
      <c r="J35" s="297"/>
      <c r="K35" s="297"/>
      <c r="L35" s="297"/>
      <c r="M35" s="297"/>
      <c r="N35" s="469"/>
      <c r="O35" s="297"/>
      <c r="P35" s="297"/>
      <c r="Q35" s="297"/>
      <c r="R35" s="297"/>
      <c r="S35" s="297"/>
      <c r="T35" s="297"/>
      <c r="U35" s="297"/>
      <c r="V35" s="297"/>
      <c r="W35" s="297"/>
      <c r="X35" s="297"/>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hidden="1" outlineLevel="1">
      <c r="A36" s="509"/>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hidden="1" outlineLevel="1">
      <c r="A37" s="509">
        <v>6</v>
      </c>
      <c r="B37" s="296" t="s">
        <v>6</v>
      </c>
      <c r="C37" s="293" t="s">
        <v>25</v>
      </c>
      <c r="D37" s="297">
        <v>0</v>
      </c>
      <c r="E37" s="297">
        <v>0</v>
      </c>
      <c r="F37" s="297">
        <v>0</v>
      </c>
      <c r="G37" s="297">
        <v>0</v>
      </c>
      <c r="H37" s="297">
        <v>0</v>
      </c>
      <c r="I37" s="297">
        <v>0</v>
      </c>
      <c r="J37" s="297">
        <v>0</v>
      </c>
      <c r="K37" s="297">
        <v>0</v>
      </c>
      <c r="L37" s="297">
        <v>0</v>
      </c>
      <c r="M37" s="297">
        <v>0</v>
      </c>
      <c r="N37" s="293"/>
      <c r="O37" s="297">
        <v>0</v>
      </c>
      <c r="P37" s="297">
        <v>0</v>
      </c>
      <c r="Q37" s="297">
        <v>0</v>
      </c>
      <c r="R37" s="297">
        <v>0</v>
      </c>
      <c r="S37" s="297">
        <v>0</v>
      </c>
      <c r="T37" s="297">
        <v>0</v>
      </c>
      <c r="U37" s="297">
        <v>0</v>
      </c>
      <c r="V37" s="297">
        <v>0</v>
      </c>
      <c r="W37" s="297">
        <v>0</v>
      </c>
      <c r="X37" s="297">
        <v>0</v>
      </c>
      <c r="Y37" s="412">
        <v>1</v>
      </c>
      <c r="Z37" s="412"/>
      <c r="AA37" s="412"/>
      <c r="AB37" s="412"/>
      <c r="AC37" s="412"/>
      <c r="AD37" s="412"/>
      <c r="AE37" s="412"/>
      <c r="AF37" s="412"/>
      <c r="AG37" s="412"/>
      <c r="AH37" s="412"/>
      <c r="AI37" s="412"/>
      <c r="AJ37" s="412"/>
      <c r="AK37" s="412"/>
      <c r="AL37" s="412"/>
      <c r="AM37" s="298">
        <f>SUM(Y37:AL37)</f>
        <v>1</v>
      </c>
    </row>
    <row r="38" spans="1:39" s="285" customFormat="1" ht="15" hidden="1" outlineLevel="1">
      <c r="A38" s="509"/>
      <c r="B38" s="296" t="s">
        <v>215</v>
      </c>
      <c r="C38" s="293" t="s">
        <v>164</v>
      </c>
      <c r="D38" s="297"/>
      <c r="E38" s="297"/>
      <c r="F38" s="297"/>
      <c r="G38" s="297"/>
      <c r="H38" s="297"/>
      <c r="I38" s="297"/>
      <c r="J38" s="297"/>
      <c r="K38" s="297"/>
      <c r="L38" s="297"/>
      <c r="M38" s="297"/>
      <c r="N38" s="469"/>
      <c r="O38" s="297"/>
      <c r="P38" s="297"/>
      <c r="Q38" s="297"/>
      <c r="R38" s="297"/>
      <c r="S38" s="297"/>
      <c r="T38" s="297"/>
      <c r="U38" s="297"/>
      <c r="V38" s="297"/>
      <c r="W38" s="297"/>
      <c r="X38" s="297"/>
      <c r="Y38" s="413">
        <f>Y37</f>
        <v>1</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hidden="1" outlineLevel="1">
      <c r="A39" s="509"/>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hidden="1" outlineLevel="1">
      <c r="A40" s="509">
        <v>7</v>
      </c>
      <c r="B40" s="296" t="s">
        <v>42</v>
      </c>
      <c r="C40" s="293" t="s">
        <v>25</v>
      </c>
      <c r="D40" s="297" t="s">
        <v>701</v>
      </c>
      <c r="E40" s="297" t="s">
        <v>701</v>
      </c>
      <c r="F40" s="297" t="s">
        <v>701</v>
      </c>
      <c r="G40" s="297" t="s">
        <v>701</v>
      </c>
      <c r="H40" s="297" t="s">
        <v>701</v>
      </c>
      <c r="I40" s="297" t="s">
        <v>701</v>
      </c>
      <c r="J40" s="297" t="s">
        <v>701</v>
      </c>
      <c r="K40" s="297" t="s">
        <v>701</v>
      </c>
      <c r="L40" s="297" t="s">
        <v>701</v>
      </c>
      <c r="M40" s="297" t="s">
        <v>701</v>
      </c>
      <c r="N40" s="293"/>
      <c r="O40" s="297" t="s">
        <v>701</v>
      </c>
      <c r="P40" s="297" t="s">
        <v>701</v>
      </c>
      <c r="Q40" s="297" t="s">
        <v>701</v>
      </c>
      <c r="R40" s="297" t="s">
        <v>701</v>
      </c>
      <c r="S40" s="297" t="s">
        <v>701</v>
      </c>
      <c r="T40" s="297" t="s">
        <v>701</v>
      </c>
      <c r="U40" s="297" t="s">
        <v>701</v>
      </c>
      <c r="V40" s="297" t="s">
        <v>701</v>
      </c>
      <c r="W40" s="297" t="s">
        <v>701</v>
      </c>
      <c r="X40" s="297" t="s">
        <v>701</v>
      </c>
      <c r="Y40" s="412"/>
      <c r="Z40" s="412"/>
      <c r="AA40" s="412"/>
      <c r="AB40" s="412"/>
      <c r="AC40" s="412"/>
      <c r="AD40" s="412"/>
      <c r="AE40" s="412"/>
      <c r="AF40" s="412"/>
      <c r="AG40" s="412"/>
      <c r="AH40" s="412"/>
      <c r="AI40" s="412"/>
      <c r="AJ40" s="412"/>
      <c r="AK40" s="412"/>
      <c r="AL40" s="412"/>
      <c r="AM40" s="298">
        <f>SUM(Y40:AL40)</f>
        <v>0</v>
      </c>
    </row>
    <row r="41" spans="1:39" s="285" customFormat="1" ht="15" hidden="1" outlineLevel="1">
      <c r="A41" s="509"/>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hidden="1" outlineLevel="1">
      <c r="A42" s="509"/>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hidden="1" outlineLevel="1">
      <c r="A43" s="509">
        <v>8</v>
      </c>
      <c r="B43" s="296" t="s">
        <v>486</v>
      </c>
      <c r="C43" s="293" t="s">
        <v>25</v>
      </c>
      <c r="D43" s="297" t="s">
        <v>701</v>
      </c>
      <c r="E43" s="297" t="s">
        <v>701</v>
      </c>
      <c r="F43" s="297" t="s">
        <v>701</v>
      </c>
      <c r="G43" s="297" t="s">
        <v>701</v>
      </c>
      <c r="H43" s="297" t="s">
        <v>701</v>
      </c>
      <c r="I43" s="297" t="s">
        <v>701</v>
      </c>
      <c r="J43" s="297" t="s">
        <v>701</v>
      </c>
      <c r="K43" s="297" t="s">
        <v>701</v>
      </c>
      <c r="L43" s="297" t="s">
        <v>701</v>
      </c>
      <c r="M43" s="297" t="s">
        <v>701</v>
      </c>
      <c r="N43" s="293"/>
      <c r="O43" s="297" t="s">
        <v>701</v>
      </c>
      <c r="P43" s="297" t="s">
        <v>701</v>
      </c>
      <c r="Q43" s="297" t="s">
        <v>701</v>
      </c>
      <c r="R43" s="297" t="s">
        <v>701</v>
      </c>
      <c r="S43" s="297" t="s">
        <v>701</v>
      </c>
      <c r="T43" s="297" t="s">
        <v>701</v>
      </c>
      <c r="U43" s="297" t="s">
        <v>701</v>
      </c>
      <c r="V43" s="297" t="s">
        <v>701</v>
      </c>
      <c r="W43" s="297" t="s">
        <v>701</v>
      </c>
      <c r="X43" s="297" t="s">
        <v>701</v>
      </c>
      <c r="Y43" s="412"/>
      <c r="Z43" s="412"/>
      <c r="AA43" s="412"/>
      <c r="AB43" s="412"/>
      <c r="AC43" s="412"/>
      <c r="AD43" s="412"/>
      <c r="AE43" s="412"/>
      <c r="AF43" s="412"/>
      <c r="AG43" s="412"/>
      <c r="AH43" s="412"/>
      <c r="AI43" s="412"/>
      <c r="AJ43" s="412"/>
      <c r="AK43" s="412"/>
      <c r="AL43" s="412"/>
      <c r="AM43" s="298">
        <f>SUM(Y43:AL43)</f>
        <v>0</v>
      </c>
    </row>
    <row r="44" spans="1:39" s="285" customFormat="1" ht="15" hidden="1" outlineLevel="1">
      <c r="A44" s="509"/>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hidden="1" outlineLevel="1">
      <c r="A45" s="509"/>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hidden="1" outlineLevel="1">
      <c r="A46" s="509">
        <v>9</v>
      </c>
      <c r="B46" s="296" t="s">
        <v>7</v>
      </c>
      <c r="C46" s="293" t="s">
        <v>25</v>
      </c>
      <c r="D46" s="297" t="s">
        <v>701</v>
      </c>
      <c r="E46" s="297" t="s">
        <v>701</v>
      </c>
      <c r="F46" s="297" t="s">
        <v>701</v>
      </c>
      <c r="G46" s="297" t="s">
        <v>701</v>
      </c>
      <c r="H46" s="297" t="s">
        <v>701</v>
      </c>
      <c r="I46" s="297" t="s">
        <v>701</v>
      </c>
      <c r="J46" s="297" t="s">
        <v>701</v>
      </c>
      <c r="K46" s="297" t="s">
        <v>701</v>
      </c>
      <c r="L46" s="297" t="s">
        <v>701</v>
      </c>
      <c r="M46" s="297" t="s">
        <v>701</v>
      </c>
      <c r="N46" s="293"/>
      <c r="O46" s="297" t="s">
        <v>701</v>
      </c>
      <c r="P46" s="297" t="s">
        <v>701</v>
      </c>
      <c r="Q46" s="297" t="s">
        <v>701</v>
      </c>
      <c r="R46" s="297" t="s">
        <v>701</v>
      </c>
      <c r="S46" s="297" t="s">
        <v>701</v>
      </c>
      <c r="T46" s="297" t="s">
        <v>701</v>
      </c>
      <c r="U46" s="297" t="s">
        <v>701</v>
      </c>
      <c r="V46" s="297" t="s">
        <v>701</v>
      </c>
      <c r="W46" s="297" t="s">
        <v>701</v>
      </c>
      <c r="X46" s="297" t="s">
        <v>701</v>
      </c>
      <c r="Y46" s="412"/>
      <c r="Z46" s="412"/>
      <c r="AA46" s="412"/>
      <c r="AB46" s="412"/>
      <c r="AC46" s="412"/>
      <c r="AD46" s="412"/>
      <c r="AE46" s="412"/>
      <c r="AF46" s="412"/>
      <c r="AG46" s="412"/>
      <c r="AH46" s="412"/>
      <c r="AI46" s="412"/>
      <c r="AJ46" s="412"/>
      <c r="AK46" s="412"/>
      <c r="AL46" s="412"/>
      <c r="AM46" s="298">
        <f>SUM(Y46:AL46)</f>
        <v>0</v>
      </c>
    </row>
    <row r="47" spans="1:39" s="285" customFormat="1" ht="15" hidden="1" outlineLevel="1">
      <c r="A47" s="509"/>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hidden="1" outlineLevel="1">
      <c r="A48" s="509"/>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hidden="1" outlineLevel="1">
      <c r="A49" s="510"/>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hidden="1" outlineLevel="1">
      <c r="A50" s="509">
        <v>10</v>
      </c>
      <c r="B50" s="312" t="s">
        <v>22</v>
      </c>
      <c r="C50" s="293" t="s">
        <v>25</v>
      </c>
      <c r="D50" s="297">
        <v>116644.15013152071</v>
      </c>
      <c r="E50" s="297">
        <v>116644.15013152071</v>
      </c>
      <c r="F50" s="297">
        <v>116644.15013152071</v>
      </c>
      <c r="G50" s="297">
        <v>116644.15013152071</v>
      </c>
      <c r="H50" s="297">
        <v>116644.15013152071</v>
      </c>
      <c r="I50" s="297">
        <v>116644.15013152071</v>
      </c>
      <c r="J50" s="297">
        <v>116644.15013152071</v>
      </c>
      <c r="K50" s="297">
        <v>116644.15013152071</v>
      </c>
      <c r="L50" s="297">
        <v>116644.15013152071</v>
      </c>
      <c r="M50" s="297">
        <v>116644.15013152071</v>
      </c>
      <c r="N50" s="297">
        <v>12</v>
      </c>
      <c r="O50" s="297">
        <v>15.542213275204141</v>
      </c>
      <c r="P50" s="297">
        <v>15.542213275204141</v>
      </c>
      <c r="Q50" s="297">
        <v>15.542213275204141</v>
      </c>
      <c r="R50" s="297">
        <v>15.542213275204141</v>
      </c>
      <c r="S50" s="297">
        <v>15.542213275204141</v>
      </c>
      <c r="T50" s="297">
        <v>15.542213275204141</v>
      </c>
      <c r="U50" s="297">
        <v>15.542213275204141</v>
      </c>
      <c r="V50" s="297">
        <v>15.542213275204141</v>
      </c>
      <c r="W50" s="297">
        <v>15.542213275204141</v>
      </c>
      <c r="X50" s="297">
        <v>15.542213275204141</v>
      </c>
      <c r="Y50" s="417">
        <v>0</v>
      </c>
      <c r="Z50" s="417">
        <v>0.64223453521641183</v>
      </c>
      <c r="AA50" s="417">
        <v>0.35776546478358823</v>
      </c>
      <c r="AB50" s="417"/>
      <c r="AC50" s="417"/>
      <c r="AD50" s="417"/>
      <c r="AE50" s="417"/>
      <c r="AF50" s="417"/>
      <c r="AG50" s="417"/>
      <c r="AH50" s="417"/>
      <c r="AI50" s="417"/>
      <c r="AJ50" s="417"/>
      <c r="AK50" s="417"/>
      <c r="AL50" s="417"/>
      <c r="AM50" s="298">
        <f>SUM(Y50:AL50)</f>
        <v>1</v>
      </c>
    </row>
    <row r="51" spans="1:42" s="285" customFormat="1" ht="15" hidden="1" outlineLevel="1">
      <c r="A51" s="509"/>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0.64223453521641183</v>
      </c>
      <c r="AA51" s="413">
        <f>AA50</f>
        <v>0.35776546478358823</v>
      </c>
      <c r="AB51" s="413">
        <f t="shared" ref="AB51:AL51" si="9">AB50</f>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hidden="1" outlineLevel="1">
      <c r="A52" s="509"/>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hidden="1" outlineLevel="1">
      <c r="A53" s="509">
        <v>11</v>
      </c>
      <c r="B53" s="316" t="s">
        <v>21</v>
      </c>
      <c r="C53" s="293" t="s">
        <v>25</v>
      </c>
      <c r="D53" s="297">
        <v>161529.24697593649</v>
      </c>
      <c r="E53" s="297">
        <v>161529.24697593649</v>
      </c>
      <c r="F53" s="297">
        <v>161529.24697593649</v>
      </c>
      <c r="G53" s="297">
        <v>79595.894640730126</v>
      </c>
      <c r="H53" s="297">
        <v>79595.894640730126</v>
      </c>
      <c r="I53" s="297">
        <v>79595.894640730126</v>
      </c>
      <c r="J53" s="297">
        <v>17296.754687108401</v>
      </c>
      <c r="K53" s="297">
        <v>17296.754687108401</v>
      </c>
      <c r="L53" s="297">
        <v>17296.754687108401</v>
      </c>
      <c r="M53" s="297">
        <v>17296.754687108401</v>
      </c>
      <c r="N53" s="297">
        <v>12</v>
      </c>
      <c r="O53" s="297">
        <v>60.788904907489417</v>
      </c>
      <c r="P53" s="297">
        <v>60.788904907489417</v>
      </c>
      <c r="Q53" s="297">
        <v>60.788904907489417</v>
      </c>
      <c r="R53" s="297">
        <v>31.725768759739751</v>
      </c>
      <c r="S53" s="297">
        <v>31.725768759739751</v>
      </c>
      <c r="T53" s="297">
        <v>31.725768759739751</v>
      </c>
      <c r="U53" s="297">
        <v>6.0568843103556</v>
      </c>
      <c r="V53" s="297">
        <v>6.0568843103556</v>
      </c>
      <c r="W53" s="297">
        <v>6.0568843103556</v>
      </c>
      <c r="X53" s="297">
        <v>6.0568843103556</v>
      </c>
      <c r="Y53" s="417">
        <v>0</v>
      </c>
      <c r="Z53" s="417">
        <v>1</v>
      </c>
      <c r="AA53" s="417">
        <v>0</v>
      </c>
      <c r="AB53" s="417"/>
      <c r="AC53" s="417"/>
      <c r="AD53" s="417"/>
      <c r="AE53" s="417"/>
      <c r="AF53" s="417"/>
      <c r="AG53" s="417"/>
      <c r="AH53" s="417"/>
      <c r="AI53" s="417"/>
      <c r="AJ53" s="417"/>
      <c r="AK53" s="417"/>
      <c r="AL53" s="417"/>
      <c r="AM53" s="298">
        <f>SUM(Y53:AL53)</f>
        <v>1</v>
      </c>
    </row>
    <row r="54" spans="1:42" s="285" customFormat="1" ht="15" hidden="1" outlineLevel="1">
      <c r="A54" s="509"/>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hidden="1" outlineLevel="1">
      <c r="A55" s="509"/>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hidden="1" outlineLevel="1">
      <c r="A56" s="509">
        <v>12</v>
      </c>
      <c r="B56" s="316" t="s">
        <v>23</v>
      </c>
      <c r="C56" s="293" t="s">
        <v>25</v>
      </c>
      <c r="D56" s="297" t="s">
        <v>701</v>
      </c>
      <c r="E56" s="297" t="s">
        <v>701</v>
      </c>
      <c r="F56" s="297" t="s">
        <v>701</v>
      </c>
      <c r="G56" s="297" t="s">
        <v>701</v>
      </c>
      <c r="H56" s="297" t="s">
        <v>701</v>
      </c>
      <c r="I56" s="297" t="s">
        <v>701</v>
      </c>
      <c r="J56" s="297" t="s">
        <v>701</v>
      </c>
      <c r="K56" s="297" t="s">
        <v>701</v>
      </c>
      <c r="L56" s="297" t="s">
        <v>701</v>
      </c>
      <c r="M56" s="297" t="s">
        <v>701</v>
      </c>
      <c r="N56" s="297">
        <v>3</v>
      </c>
      <c r="O56" s="297" t="s">
        <v>701</v>
      </c>
      <c r="P56" s="297" t="s">
        <v>701</v>
      </c>
      <c r="Q56" s="297" t="s">
        <v>701</v>
      </c>
      <c r="R56" s="297" t="s">
        <v>701</v>
      </c>
      <c r="S56" s="297" t="s">
        <v>701</v>
      </c>
      <c r="T56" s="297" t="s">
        <v>701</v>
      </c>
      <c r="U56" s="297" t="s">
        <v>701</v>
      </c>
      <c r="V56" s="297" t="s">
        <v>701</v>
      </c>
      <c r="W56" s="297" t="s">
        <v>701</v>
      </c>
      <c r="X56" s="297" t="s">
        <v>701</v>
      </c>
      <c r="Y56" s="417"/>
      <c r="Z56" s="417"/>
      <c r="AA56" s="417"/>
      <c r="AB56" s="417"/>
      <c r="AC56" s="417"/>
      <c r="AD56" s="417"/>
      <c r="AE56" s="417"/>
      <c r="AF56" s="417"/>
      <c r="AG56" s="417"/>
      <c r="AH56" s="417"/>
      <c r="AI56" s="417"/>
      <c r="AJ56" s="417"/>
      <c r="AK56" s="417"/>
      <c r="AL56" s="417"/>
      <c r="AM56" s="298">
        <f>SUM(Y56:AL56)</f>
        <v>0</v>
      </c>
    </row>
    <row r="57" spans="1:42" s="285" customFormat="1" ht="15" hidden="1" outlineLevel="1">
      <c r="A57" s="509"/>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hidden="1" outlineLevel="1">
      <c r="A58" s="509"/>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hidden="1" outlineLevel="1">
      <c r="A59" s="509">
        <v>13</v>
      </c>
      <c r="B59" s="316" t="s">
        <v>24</v>
      </c>
      <c r="C59" s="293" t="s">
        <v>25</v>
      </c>
      <c r="D59" s="297" t="s">
        <v>701</v>
      </c>
      <c r="E59" s="297" t="s">
        <v>701</v>
      </c>
      <c r="F59" s="297" t="s">
        <v>701</v>
      </c>
      <c r="G59" s="297" t="s">
        <v>701</v>
      </c>
      <c r="H59" s="297" t="s">
        <v>701</v>
      </c>
      <c r="I59" s="297" t="s">
        <v>701</v>
      </c>
      <c r="J59" s="297" t="s">
        <v>701</v>
      </c>
      <c r="K59" s="297" t="s">
        <v>701</v>
      </c>
      <c r="L59" s="297" t="s">
        <v>701</v>
      </c>
      <c r="M59" s="297" t="s">
        <v>701</v>
      </c>
      <c r="N59" s="297">
        <v>12</v>
      </c>
      <c r="O59" s="297" t="s">
        <v>701</v>
      </c>
      <c r="P59" s="297" t="s">
        <v>701</v>
      </c>
      <c r="Q59" s="297" t="s">
        <v>701</v>
      </c>
      <c r="R59" s="297" t="s">
        <v>701</v>
      </c>
      <c r="S59" s="297" t="s">
        <v>701</v>
      </c>
      <c r="T59" s="297" t="s">
        <v>701</v>
      </c>
      <c r="U59" s="297" t="s">
        <v>701</v>
      </c>
      <c r="V59" s="297" t="s">
        <v>701</v>
      </c>
      <c r="W59" s="297" t="s">
        <v>701</v>
      </c>
      <c r="X59" s="297" t="s">
        <v>701</v>
      </c>
      <c r="Y59" s="417"/>
      <c r="Z59" s="417"/>
      <c r="AA59" s="417"/>
      <c r="AB59" s="417"/>
      <c r="AC59" s="417"/>
      <c r="AD59" s="417"/>
      <c r="AE59" s="417"/>
      <c r="AF59" s="417"/>
      <c r="AG59" s="417"/>
      <c r="AH59" s="417"/>
      <c r="AI59" s="417"/>
      <c r="AJ59" s="417"/>
      <c r="AK59" s="417"/>
      <c r="AL59" s="417"/>
      <c r="AM59" s="298">
        <f>SUM(Y59:AL59)</f>
        <v>0</v>
      </c>
    </row>
    <row r="60" spans="1:42" s="285" customFormat="1" ht="15" hidden="1" outlineLevel="1">
      <c r="A60" s="509"/>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hidden="1" outlineLevel="1">
      <c r="A61" s="509"/>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hidden="1" outlineLevel="1">
      <c r="A62" s="509">
        <v>14</v>
      </c>
      <c r="B62" s="316" t="s">
        <v>20</v>
      </c>
      <c r="C62" s="293" t="s">
        <v>25</v>
      </c>
      <c r="D62" s="297" t="s">
        <v>701</v>
      </c>
      <c r="E62" s="297" t="s">
        <v>701</v>
      </c>
      <c r="F62" s="297" t="s">
        <v>701</v>
      </c>
      <c r="G62" s="297" t="s">
        <v>701</v>
      </c>
      <c r="H62" s="297" t="s">
        <v>701</v>
      </c>
      <c r="I62" s="297" t="s">
        <v>701</v>
      </c>
      <c r="J62" s="297" t="s">
        <v>701</v>
      </c>
      <c r="K62" s="297" t="s">
        <v>701</v>
      </c>
      <c r="L62" s="297" t="s">
        <v>701</v>
      </c>
      <c r="M62" s="297" t="s">
        <v>701</v>
      </c>
      <c r="N62" s="297">
        <v>12</v>
      </c>
      <c r="O62" s="297" t="s">
        <v>701</v>
      </c>
      <c r="P62" s="297" t="s">
        <v>701</v>
      </c>
      <c r="Q62" s="297" t="s">
        <v>701</v>
      </c>
      <c r="R62" s="297" t="s">
        <v>701</v>
      </c>
      <c r="S62" s="297" t="s">
        <v>701</v>
      </c>
      <c r="T62" s="297" t="s">
        <v>701</v>
      </c>
      <c r="U62" s="297" t="s">
        <v>701</v>
      </c>
      <c r="V62" s="297" t="s">
        <v>701</v>
      </c>
      <c r="W62" s="297" t="s">
        <v>701</v>
      </c>
      <c r="X62" s="297" t="s">
        <v>701</v>
      </c>
      <c r="Y62" s="417"/>
      <c r="Z62" s="417"/>
      <c r="AA62" s="417"/>
      <c r="AB62" s="417"/>
      <c r="AC62" s="417"/>
      <c r="AD62" s="417"/>
      <c r="AE62" s="417"/>
      <c r="AF62" s="417"/>
      <c r="AG62" s="417"/>
      <c r="AH62" s="417"/>
      <c r="AI62" s="417"/>
      <c r="AJ62" s="417"/>
      <c r="AK62" s="417"/>
      <c r="AL62" s="417"/>
      <c r="AM62" s="298">
        <f>SUM(Y62:AL62)</f>
        <v>0</v>
      </c>
    </row>
    <row r="63" spans="1:42" s="285" customFormat="1" ht="15" hidden="1" outlineLevel="1">
      <c r="A63" s="509"/>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hidden="1" outlineLevel="1">
      <c r="A64" s="509"/>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hidden="1" outlineLevel="1">
      <c r="A65" s="509">
        <v>15</v>
      </c>
      <c r="B65" s="316" t="s">
        <v>487</v>
      </c>
      <c r="C65" s="293" t="s">
        <v>25</v>
      </c>
      <c r="D65" s="297" t="s">
        <v>701</v>
      </c>
      <c r="E65" s="297" t="s">
        <v>701</v>
      </c>
      <c r="F65" s="297" t="s">
        <v>701</v>
      </c>
      <c r="G65" s="297" t="s">
        <v>701</v>
      </c>
      <c r="H65" s="297" t="s">
        <v>701</v>
      </c>
      <c r="I65" s="297" t="s">
        <v>701</v>
      </c>
      <c r="J65" s="297" t="s">
        <v>701</v>
      </c>
      <c r="K65" s="297" t="s">
        <v>701</v>
      </c>
      <c r="L65" s="297" t="s">
        <v>701</v>
      </c>
      <c r="M65" s="297" t="s">
        <v>701</v>
      </c>
      <c r="N65" s="293"/>
      <c r="O65" s="297" t="s">
        <v>701</v>
      </c>
      <c r="P65" s="297" t="s">
        <v>701</v>
      </c>
      <c r="Q65" s="297" t="s">
        <v>701</v>
      </c>
      <c r="R65" s="297" t="s">
        <v>701</v>
      </c>
      <c r="S65" s="297" t="s">
        <v>701</v>
      </c>
      <c r="T65" s="297" t="s">
        <v>701</v>
      </c>
      <c r="U65" s="297" t="s">
        <v>701</v>
      </c>
      <c r="V65" s="297" t="s">
        <v>701</v>
      </c>
      <c r="W65" s="297" t="s">
        <v>701</v>
      </c>
      <c r="X65" s="297" t="s">
        <v>701</v>
      </c>
      <c r="Y65" s="417"/>
      <c r="Z65" s="417"/>
      <c r="AA65" s="417"/>
      <c r="AB65" s="417"/>
      <c r="AC65" s="417"/>
      <c r="AD65" s="417"/>
      <c r="AE65" s="417"/>
      <c r="AF65" s="417"/>
      <c r="AG65" s="417"/>
      <c r="AH65" s="417"/>
      <c r="AI65" s="417"/>
      <c r="AJ65" s="417"/>
      <c r="AK65" s="417"/>
      <c r="AL65" s="417"/>
      <c r="AM65" s="298">
        <f>SUM(Y65:AL65)</f>
        <v>0</v>
      </c>
    </row>
    <row r="66" spans="1:39" s="285" customFormat="1" ht="15" hidden="1" outlineLevel="1">
      <c r="A66" s="509"/>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hidden="1" outlineLevel="1">
      <c r="A67" s="509"/>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hidden="1" outlineLevel="1">
      <c r="A68" s="509">
        <v>16</v>
      </c>
      <c r="B68" s="316" t="s">
        <v>488</v>
      </c>
      <c r="C68" s="293" t="s">
        <v>25</v>
      </c>
      <c r="D68" s="297" t="s">
        <v>701</v>
      </c>
      <c r="E68" s="297" t="s">
        <v>701</v>
      </c>
      <c r="F68" s="297" t="s">
        <v>701</v>
      </c>
      <c r="G68" s="297" t="s">
        <v>701</v>
      </c>
      <c r="H68" s="297" t="s">
        <v>701</v>
      </c>
      <c r="I68" s="297" t="s">
        <v>701</v>
      </c>
      <c r="J68" s="297" t="s">
        <v>701</v>
      </c>
      <c r="K68" s="297" t="s">
        <v>701</v>
      </c>
      <c r="L68" s="297" t="s">
        <v>701</v>
      </c>
      <c r="M68" s="297" t="s">
        <v>701</v>
      </c>
      <c r="N68" s="293"/>
      <c r="O68" s="297" t="s">
        <v>701</v>
      </c>
      <c r="P68" s="297" t="s">
        <v>701</v>
      </c>
      <c r="Q68" s="297" t="s">
        <v>701</v>
      </c>
      <c r="R68" s="297" t="s">
        <v>701</v>
      </c>
      <c r="S68" s="297" t="s">
        <v>701</v>
      </c>
      <c r="T68" s="297" t="s">
        <v>701</v>
      </c>
      <c r="U68" s="297" t="s">
        <v>701</v>
      </c>
      <c r="V68" s="297" t="s">
        <v>701</v>
      </c>
      <c r="W68" s="297" t="s">
        <v>701</v>
      </c>
      <c r="X68" s="297" t="s">
        <v>701</v>
      </c>
      <c r="Y68" s="417"/>
      <c r="Z68" s="417"/>
      <c r="AA68" s="417"/>
      <c r="AB68" s="417"/>
      <c r="AC68" s="417"/>
      <c r="AD68" s="417"/>
      <c r="AE68" s="417"/>
      <c r="AF68" s="417"/>
      <c r="AG68" s="417"/>
      <c r="AH68" s="417"/>
      <c r="AI68" s="417"/>
      <c r="AJ68" s="417"/>
      <c r="AK68" s="417"/>
      <c r="AL68" s="417"/>
      <c r="AM68" s="298">
        <f>SUM(Y68:AL68)</f>
        <v>0</v>
      </c>
    </row>
    <row r="69" spans="1:39" s="285" customFormat="1" ht="15" hidden="1" outlineLevel="1">
      <c r="A69" s="509"/>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hidden="1" outlineLevel="1">
      <c r="A70" s="509"/>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hidden="1" outlineLevel="1">
      <c r="A71" s="509">
        <v>17</v>
      </c>
      <c r="B71" s="316" t="s">
        <v>9</v>
      </c>
      <c r="C71" s="293" t="s">
        <v>25</v>
      </c>
      <c r="D71" s="297">
        <v>1451.0339999999999</v>
      </c>
      <c r="E71" s="297">
        <v>0</v>
      </c>
      <c r="F71" s="297">
        <v>0</v>
      </c>
      <c r="G71" s="297">
        <v>0</v>
      </c>
      <c r="H71" s="297">
        <v>0</v>
      </c>
      <c r="I71" s="297">
        <v>0</v>
      </c>
      <c r="J71" s="297">
        <v>0</v>
      </c>
      <c r="K71" s="297">
        <v>0</v>
      </c>
      <c r="L71" s="297">
        <v>0</v>
      </c>
      <c r="M71" s="297">
        <v>0</v>
      </c>
      <c r="N71" s="293"/>
      <c r="O71" s="297">
        <v>37.164999999999999</v>
      </c>
      <c r="P71" s="297">
        <v>0</v>
      </c>
      <c r="Q71" s="297">
        <v>0</v>
      </c>
      <c r="R71" s="297">
        <v>0</v>
      </c>
      <c r="S71" s="297">
        <v>0</v>
      </c>
      <c r="T71" s="297">
        <v>0</v>
      </c>
      <c r="U71" s="297">
        <v>0</v>
      </c>
      <c r="V71" s="297">
        <v>0</v>
      </c>
      <c r="W71" s="297">
        <v>0</v>
      </c>
      <c r="X71" s="297">
        <v>0</v>
      </c>
      <c r="Y71" s="417">
        <v>0</v>
      </c>
      <c r="Z71" s="417">
        <v>0</v>
      </c>
      <c r="AA71" s="417">
        <v>1</v>
      </c>
      <c r="AB71" s="417"/>
      <c r="AC71" s="417"/>
      <c r="AD71" s="417"/>
      <c r="AE71" s="417"/>
      <c r="AF71" s="417"/>
      <c r="AG71" s="417"/>
      <c r="AH71" s="417"/>
      <c r="AI71" s="417"/>
      <c r="AJ71" s="417"/>
      <c r="AK71" s="417"/>
      <c r="AL71" s="417"/>
      <c r="AM71" s="298">
        <f>SUM(Y71:AL71)</f>
        <v>1</v>
      </c>
    </row>
    <row r="72" spans="1:39" s="285" customFormat="1" ht="15" hidden="1" outlineLevel="1">
      <c r="A72" s="509"/>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1</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hidden="1" outlineLevel="1">
      <c r="A73" s="509"/>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hidden="1" outlineLevel="1">
      <c r="A74" s="510"/>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hidden="1" outlineLevel="1">
      <c r="A75" s="509">
        <v>18</v>
      </c>
      <c r="B75" s="317" t="s">
        <v>11</v>
      </c>
      <c r="C75" s="293" t="s">
        <v>25</v>
      </c>
      <c r="D75" s="297" t="s">
        <v>701</v>
      </c>
      <c r="E75" s="297" t="s">
        <v>701</v>
      </c>
      <c r="F75" s="297" t="s">
        <v>701</v>
      </c>
      <c r="G75" s="297" t="s">
        <v>701</v>
      </c>
      <c r="H75" s="297" t="s">
        <v>701</v>
      </c>
      <c r="I75" s="297" t="s">
        <v>701</v>
      </c>
      <c r="J75" s="297" t="s">
        <v>701</v>
      </c>
      <c r="K75" s="297" t="s">
        <v>701</v>
      </c>
      <c r="L75" s="297" t="s">
        <v>701</v>
      </c>
      <c r="M75" s="297" t="s">
        <v>701</v>
      </c>
      <c r="N75" s="297">
        <v>12</v>
      </c>
      <c r="O75" s="297" t="s">
        <v>701</v>
      </c>
      <c r="P75" s="297" t="s">
        <v>701</v>
      </c>
      <c r="Q75" s="297" t="s">
        <v>701</v>
      </c>
      <c r="R75" s="297" t="s">
        <v>701</v>
      </c>
      <c r="S75" s="297" t="s">
        <v>701</v>
      </c>
      <c r="T75" s="297" t="s">
        <v>701</v>
      </c>
      <c r="U75" s="297" t="s">
        <v>701</v>
      </c>
      <c r="V75" s="297" t="s">
        <v>701</v>
      </c>
      <c r="W75" s="297" t="s">
        <v>701</v>
      </c>
      <c r="X75" s="297" t="s">
        <v>701</v>
      </c>
      <c r="Y75" s="417"/>
      <c r="Z75" s="417"/>
      <c r="AA75" s="417"/>
      <c r="AB75" s="417"/>
      <c r="AC75" s="417"/>
      <c r="AD75" s="417"/>
      <c r="AE75" s="417"/>
      <c r="AF75" s="417"/>
      <c r="AG75" s="417"/>
      <c r="AH75" s="417"/>
      <c r="AI75" s="417"/>
      <c r="AJ75" s="417"/>
      <c r="AK75" s="417"/>
      <c r="AL75" s="417"/>
      <c r="AM75" s="298">
        <f>SUM(Y75:AL75)</f>
        <v>0</v>
      </c>
    </row>
    <row r="76" spans="1:39" s="285" customFormat="1" ht="15" hidden="1" outlineLevel="1">
      <c r="A76" s="509"/>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hidden="1" outlineLevel="1">
      <c r="A77" s="512"/>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hidden="1" outlineLevel="1">
      <c r="A78" s="509">
        <v>19</v>
      </c>
      <c r="B78" s="317" t="s">
        <v>12</v>
      </c>
      <c r="C78" s="293" t="s">
        <v>25</v>
      </c>
      <c r="D78" s="297" t="s">
        <v>701</v>
      </c>
      <c r="E78" s="297" t="s">
        <v>701</v>
      </c>
      <c r="F78" s="297" t="s">
        <v>701</v>
      </c>
      <c r="G78" s="297" t="s">
        <v>701</v>
      </c>
      <c r="H78" s="297" t="s">
        <v>701</v>
      </c>
      <c r="I78" s="297" t="s">
        <v>701</v>
      </c>
      <c r="J78" s="297" t="s">
        <v>701</v>
      </c>
      <c r="K78" s="297" t="s">
        <v>701</v>
      </c>
      <c r="L78" s="297" t="s">
        <v>701</v>
      </c>
      <c r="M78" s="297" t="s">
        <v>701</v>
      </c>
      <c r="N78" s="297">
        <v>12</v>
      </c>
      <c r="O78" s="297" t="s">
        <v>701</v>
      </c>
      <c r="P78" s="297" t="s">
        <v>701</v>
      </c>
      <c r="Q78" s="297" t="s">
        <v>701</v>
      </c>
      <c r="R78" s="297" t="s">
        <v>701</v>
      </c>
      <c r="S78" s="297" t="s">
        <v>701</v>
      </c>
      <c r="T78" s="297" t="s">
        <v>701</v>
      </c>
      <c r="U78" s="297" t="s">
        <v>701</v>
      </c>
      <c r="V78" s="297" t="s">
        <v>701</v>
      </c>
      <c r="W78" s="297" t="s">
        <v>701</v>
      </c>
      <c r="X78" s="297" t="s">
        <v>701</v>
      </c>
      <c r="Y78" s="412"/>
      <c r="Z78" s="417"/>
      <c r="AA78" s="417"/>
      <c r="AB78" s="417"/>
      <c r="AC78" s="417"/>
      <c r="AD78" s="417"/>
      <c r="AE78" s="417"/>
      <c r="AF78" s="417"/>
      <c r="AG78" s="417"/>
      <c r="AH78" s="417"/>
      <c r="AI78" s="417"/>
      <c r="AJ78" s="417"/>
      <c r="AK78" s="417"/>
      <c r="AL78" s="417"/>
      <c r="AM78" s="298">
        <f>SUM(Y78:AL78)</f>
        <v>0</v>
      </c>
    </row>
    <row r="79" spans="1:39" s="285" customFormat="1" ht="15" hidden="1" outlineLevel="1">
      <c r="A79" s="509"/>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hidden="1" outlineLevel="1">
      <c r="A80" s="509"/>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hidden="1" outlineLevel="1">
      <c r="A81" s="509">
        <v>20</v>
      </c>
      <c r="B81" s="317" t="s">
        <v>13</v>
      </c>
      <c r="C81" s="293" t="s">
        <v>25</v>
      </c>
      <c r="D81" s="297" t="s">
        <v>701</v>
      </c>
      <c r="E81" s="297" t="s">
        <v>701</v>
      </c>
      <c r="F81" s="297" t="s">
        <v>701</v>
      </c>
      <c r="G81" s="297" t="s">
        <v>701</v>
      </c>
      <c r="H81" s="297" t="s">
        <v>701</v>
      </c>
      <c r="I81" s="297" t="s">
        <v>701</v>
      </c>
      <c r="J81" s="297" t="s">
        <v>701</v>
      </c>
      <c r="K81" s="297" t="s">
        <v>701</v>
      </c>
      <c r="L81" s="297" t="s">
        <v>701</v>
      </c>
      <c r="M81" s="297" t="s">
        <v>701</v>
      </c>
      <c r="N81" s="297">
        <v>12</v>
      </c>
      <c r="O81" s="297" t="s">
        <v>701</v>
      </c>
      <c r="P81" s="297" t="s">
        <v>701</v>
      </c>
      <c r="Q81" s="297" t="s">
        <v>701</v>
      </c>
      <c r="R81" s="297" t="s">
        <v>701</v>
      </c>
      <c r="S81" s="297" t="s">
        <v>701</v>
      </c>
      <c r="T81" s="297" t="s">
        <v>701</v>
      </c>
      <c r="U81" s="297" t="s">
        <v>701</v>
      </c>
      <c r="V81" s="297" t="s">
        <v>701</v>
      </c>
      <c r="W81" s="297" t="s">
        <v>701</v>
      </c>
      <c r="X81" s="297" t="s">
        <v>701</v>
      </c>
      <c r="Y81" s="412"/>
      <c r="Z81" s="417"/>
      <c r="AA81" s="417"/>
      <c r="AB81" s="417"/>
      <c r="AC81" s="417"/>
      <c r="AD81" s="417"/>
      <c r="AE81" s="417"/>
      <c r="AF81" s="417"/>
      <c r="AG81" s="417"/>
      <c r="AH81" s="417"/>
      <c r="AI81" s="417"/>
      <c r="AJ81" s="417"/>
      <c r="AK81" s="417"/>
      <c r="AL81" s="417"/>
      <c r="AM81" s="298">
        <f>SUM(Y81:AL81)</f>
        <v>0</v>
      </c>
    </row>
    <row r="82" spans="1:39" s="285" customFormat="1" ht="15" hidden="1" outlineLevel="1">
      <c r="A82" s="509"/>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hidden="1" outlineLevel="1">
      <c r="A83" s="509"/>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hidden="1" outlineLevel="1">
      <c r="A84" s="509">
        <v>21</v>
      </c>
      <c r="B84" s="317" t="s">
        <v>22</v>
      </c>
      <c r="C84" s="293" t="s">
        <v>25</v>
      </c>
      <c r="D84" s="297">
        <v>20486.999999999949</v>
      </c>
      <c r="E84" s="297">
        <v>20486.999999999949</v>
      </c>
      <c r="F84" s="297">
        <v>20486.999999999949</v>
      </c>
      <c r="G84" s="297">
        <v>20486.999999999949</v>
      </c>
      <c r="H84" s="297">
        <v>20486.999999999949</v>
      </c>
      <c r="I84" s="297">
        <v>20486.999999999949</v>
      </c>
      <c r="J84" s="297">
        <v>20486.999999999949</v>
      </c>
      <c r="K84" s="297">
        <v>20486.999999999949</v>
      </c>
      <c r="L84" s="297">
        <v>20486.999999999949</v>
      </c>
      <c r="M84" s="297">
        <v>20486.999999999949</v>
      </c>
      <c r="N84" s="297">
        <v>12</v>
      </c>
      <c r="O84" s="297">
        <v>3</v>
      </c>
      <c r="P84" s="297">
        <v>3</v>
      </c>
      <c r="Q84" s="297">
        <v>3</v>
      </c>
      <c r="R84" s="297">
        <v>3</v>
      </c>
      <c r="S84" s="297">
        <v>3</v>
      </c>
      <c r="T84" s="297">
        <v>3</v>
      </c>
      <c r="U84" s="297">
        <v>3</v>
      </c>
      <c r="V84" s="297">
        <v>3</v>
      </c>
      <c r="W84" s="297">
        <v>3</v>
      </c>
      <c r="X84" s="297">
        <v>3</v>
      </c>
      <c r="Y84" s="417">
        <v>0</v>
      </c>
      <c r="Z84" s="417">
        <v>0.64223453521641183</v>
      </c>
      <c r="AA84" s="417">
        <v>0.35776546478358823</v>
      </c>
      <c r="AB84" s="417"/>
      <c r="AC84" s="417"/>
      <c r="AD84" s="417"/>
      <c r="AE84" s="417"/>
      <c r="AF84" s="417"/>
      <c r="AG84" s="417"/>
      <c r="AH84" s="417"/>
      <c r="AI84" s="417"/>
      <c r="AJ84" s="417"/>
      <c r="AK84" s="417"/>
      <c r="AL84" s="417"/>
      <c r="AM84" s="298">
        <f>SUM(Y84:AL84)</f>
        <v>1</v>
      </c>
    </row>
    <row r="85" spans="1:39" s="285" customFormat="1" ht="15" hidden="1" outlineLevel="1">
      <c r="A85" s="509"/>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0.64223453521641183</v>
      </c>
      <c r="AA85" s="413">
        <f t="shared" ref="AA85:AL85" si="20">AA84</f>
        <v>0.35776546478358823</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hidden="1" outlineLevel="1">
      <c r="A86" s="509"/>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hidden="1" outlineLevel="1">
      <c r="A87" s="509">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hidden="1" outlineLevel="1">
      <c r="A88" s="509"/>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hidden="1" outlineLevel="1">
      <c r="A89" s="509"/>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hidden="1" outlineLevel="1">
      <c r="A90" s="510"/>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hidden="1" outlineLevel="1">
      <c r="A91" s="509">
        <v>23</v>
      </c>
      <c r="B91" s="317" t="s">
        <v>14</v>
      </c>
      <c r="C91" s="293" t="s">
        <v>25</v>
      </c>
      <c r="D91" s="297" t="s">
        <v>701</v>
      </c>
      <c r="E91" s="297" t="s">
        <v>701</v>
      </c>
      <c r="F91" s="297" t="s">
        <v>701</v>
      </c>
      <c r="G91" s="297" t="s">
        <v>701</v>
      </c>
      <c r="H91" s="297" t="s">
        <v>701</v>
      </c>
      <c r="I91" s="297" t="s">
        <v>701</v>
      </c>
      <c r="J91" s="297" t="s">
        <v>701</v>
      </c>
      <c r="K91" s="297" t="s">
        <v>701</v>
      </c>
      <c r="L91" s="297" t="s">
        <v>701</v>
      </c>
      <c r="M91" s="297" t="s">
        <v>701</v>
      </c>
      <c r="N91" s="293"/>
      <c r="O91" s="297" t="s">
        <v>701</v>
      </c>
      <c r="P91" s="297" t="s">
        <v>701</v>
      </c>
      <c r="Q91" s="297" t="s">
        <v>701</v>
      </c>
      <c r="R91" s="297" t="s">
        <v>701</v>
      </c>
      <c r="S91" s="297" t="s">
        <v>701</v>
      </c>
      <c r="T91" s="297" t="s">
        <v>701</v>
      </c>
      <c r="U91" s="297" t="s">
        <v>701</v>
      </c>
      <c r="V91" s="297" t="s">
        <v>701</v>
      </c>
      <c r="W91" s="297" t="s">
        <v>701</v>
      </c>
      <c r="X91" s="297" t="s">
        <v>701</v>
      </c>
      <c r="Y91" s="412"/>
      <c r="Z91" s="412"/>
      <c r="AA91" s="412"/>
      <c r="AB91" s="412"/>
      <c r="AC91" s="412"/>
      <c r="AD91" s="412"/>
      <c r="AE91" s="412"/>
      <c r="AF91" s="412"/>
      <c r="AG91" s="412"/>
      <c r="AH91" s="412"/>
      <c r="AI91" s="412"/>
      <c r="AJ91" s="412"/>
      <c r="AK91" s="412"/>
      <c r="AL91" s="412"/>
      <c r="AM91" s="298">
        <f>SUM(Y91:AL91)</f>
        <v>0</v>
      </c>
    </row>
    <row r="92" spans="1:39" s="285" customFormat="1" ht="15" hidden="1" outlineLevel="1">
      <c r="A92" s="509"/>
      <c r="B92" s="317" t="s">
        <v>215</v>
      </c>
      <c r="C92" s="293" t="s">
        <v>164</v>
      </c>
      <c r="D92" s="297"/>
      <c r="E92" s="297"/>
      <c r="F92" s="297"/>
      <c r="G92" s="297"/>
      <c r="H92" s="297"/>
      <c r="I92" s="297"/>
      <c r="J92" s="297"/>
      <c r="K92" s="297"/>
      <c r="L92" s="297"/>
      <c r="M92" s="297"/>
      <c r="N92" s="469"/>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hidden="1" outlineLevel="1">
      <c r="A93" s="509"/>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hidden="1" outlineLevel="1">
      <c r="A94" s="510"/>
      <c r="B94" s="290" t="s">
        <v>489</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hidden="1" outlineLevel="1">
      <c r="A95" s="509">
        <v>24</v>
      </c>
      <c r="B95" s="317" t="s">
        <v>14</v>
      </c>
      <c r="C95" s="293" t="s">
        <v>25</v>
      </c>
      <c r="D95" s="297"/>
      <c r="E95" s="297"/>
      <c r="F95" s="297"/>
      <c r="G95" s="297"/>
      <c r="H95" s="297"/>
      <c r="I95" s="297"/>
      <c r="J95" s="297"/>
      <c r="K95" s="297"/>
      <c r="L95" s="297"/>
      <c r="M95" s="297"/>
      <c r="N95" s="293"/>
      <c r="O95" s="297" t="s">
        <v>701</v>
      </c>
      <c r="P95" s="297" t="s">
        <v>701</v>
      </c>
      <c r="Q95" s="297" t="s">
        <v>701</v>
      </c>
      <c r="R95" s="297" t="s">
        <v>701</v>
      </c>
      <c r="S95" s="297" t="s">
        <v>701</v>
      </c>
      <c r="T95" s="297" t="s">
        <v>701</v>
      </c>
      <c r="U95" s="297" t="s">
        <v>701</v>
      </c>
      <c r="V95" s="297" t="s">
        <v>701</v>
      </c>
      <c r="W95" s="297" t="s">
        <v>701</v>
      </c>
      <c r="X95" s="297" t="s">
        <v>701</v>
      </c>
      <c r="Y95" s="412"/>
      <c r="Z95" s="412"/>
      <c r="AA95" s="412"/>
      <c r="AB95" s="412"/>
      <c r="AC95" s="412"/>
      <c r="AD95" s="412"/>
      <c r="AE95" s="412"/>
      <c r="AF95" s="412"/>
      <c r="AG95" s="412"/>
      <c r="AH95" s="412"/>
      <c r="AI95" s="412"/>
      <c r="AJ95" s="412"/>
      <c r="AK95" s="412"/>
      <c r="AL95" s="412"/>
      <c r="AM95" s="298">
        <f>SUM(Y95:AL95)</f>
        <v>0</v>
      </c>
    </row>
    <row r="96" spans="1:39" s="285" customFormat="1" ht="15" hidden="1" outlineLevel="1">
      <c r="A96" s="509"/>
      <c r="B96" s="317" t="s">
        <v>215</v>
      </c>
      <c r="C96" s="293" t="s">
        <v>164</v>
      </c>
      <c r="D96" s="297"/>
      <c r="E96" s="297"/>
      <c r="F96" s="297"/>
      <c r="G96" s="297"/>
      <c r="H96" s="297"/>
      <c r="I96" s="297"/>
      <c r="J96" s="297"/>
      <c r="K96" s="297"/>
      <c r="L96" s="297"/>
      <c r="M96" s="297"/>
      <c r="N96" s="469"/>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hidden="1" outlineLevel="1">
      <c r="A97" s="509"/>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hidden="1" outlineLevel="1">
      <c r="A98" s="509">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hidden="1" outlineLevel="1">
      <c r="A99" s="509"/>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hidden="1" outlineLevel="1">
      <c r="A100" s="509"/>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hidden="1" outlineLevel="1">
      <c r="A101" s="510"/>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hidden="1" outlineLevel="1">
      <c r="A102" s="509">
        <v>26</v>
      </c>
      <c r="B102" s="323" t="s">
        <v>16</v>
      </c>
      <c r="C102" s="293" t="s">
        <v>25</v>
      </c>
      <c r="D102" s="297">
        <v>15806.949478319999</v>
      </c>
      <c r="E102" s="297">
        <v>15806.949478319999</v>
      </c>
      <c r="F102" s="297">
        <v>15806.949478319999</v>
      </c>
      <c r="G102" s="297">
        <v>15806.949478319999</v>
      </c>
      <c r="H102" s="297">
        <v>15806.949478319999</v>
      </c>
      <c r="I102" s="297">
        <v>15806.949478319999</v>
      </c>
      <c r="J102" s="297">
        <v>15806.949478319999</v>
      </c>
      <c r="K102" s="297">
        <v>15806.949478319999</v>
      </c>
      <c r="L102" s="297">
        <v>15806.949478319999</v>
      </c>
      <c r="M102" s="297">
        <v>15806.949478319999</v>
      </c>
      <c r="N102" s="297">
        <v>12</v>
      </c>
      <c r="O102" s="297">
        <v>2.7203176000000004</v>
      </c>
      <c r="P102" s="297">
        <v>2.7203176000000004</v>
      </c>
      <c r="Q102" s="297">
        <v>2.7203176000000004</v>
      </c>
      <c r="R102" s="297">
        <v>2.7203176000000004</v>
      </c>
      <c r="S102" s="297">
        <v>2.7203176000000004</v>
      </c>
      <c r="T102" s="297">
        <v>2.7203176000000004</v>
      </c>
      <c r="U102" s="297">
        <v>2.7203176000000004</v>
      </c>
      <c r="V102" s="297">
        <v>2.7203176000000004</v>
      </c>
      <c r="W102" s="297">
        <v>2.7203176000000004</v>
      </c>
      <c r="X102" s="297">
        <v>2.7203176000000004</v>
      </c>
      <c r="Y102" s="417">
        <v>0</v>
      </c>
      <c r="Z102" s="417">
        <v>1</v>
      </c>
      <c r="AA102" s="417">
        <v>0</v>
      </c>
      <c r="AB102" s="412"/>
      <c r="AC102" s="412"/>
      <c r="AD102" s="412"/>
      <c r="AE102" s="417"/>
      <c r="AF102" s="417"/>
      <c r="AG102" s="417"/>
      <c r="AH102" s="417"/>
      <c r="AI102" s="417"/>
      <c r="AJ102" s="417"/>
      <c r="AK102" s="417"/>
      <c r="AL102" s="417"/>
      <c r="AM102" s="298">
        <f>SUM(Y102:AL102)</f>
        <v>1</v>
      </c>
    </row>
    <row r="103" spans="1:39" s="285" customFormat="1" ht="15" hidden="1" outlineLevel="1">
      <c r="A103" s="509"/>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1</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hidden="1" outlineLevel="1">
      <c r="A104" s="512"/>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hidden="1" outlineLevel="1">
      <c r="A105" s="509">
        <v>27</v>
      </c>
      <c r="B105" s="323" t="s">
        <v>17</v>
      </c>
      <c r="C105" s="293" t="s">
        <v>25</v>
      </c>
      <c r="D105" s="297">
        <v>157827.75200000001</v>
      </c>
      <c r="E105" s="297">
        <v>157827.75200000001</v>
      </c>
      <c r="F105" s="297">
        <v>157827.75200000001</v>
      </c>
      <c r="G105" s="297">
        <v>157827.75200000001</v>
      </c>
      <c r="H105" s="297">
        <v>157827.75200000001</v>
      </c>
      <c r="I105" s="297">
        <v>157827.75200000001</v>
      </c>
      <c r="J105" s="297">
        <v>157827.75200000001</v>
      </c>
      <c r="K105" s="297">
        <v>157827.75200000001</v>
      </c>
      <c r="L105" s="297">
        <v>157827.75200000001</v>
      </c>
      <c r="M105" s="297">
        <v>157827.75200000001</v>
      </c>
      <c r="N105" s="297">
        <v>12</v>
      </c>
      <c r="O105" s="297">
        <v>43.656999999999996</v>
      </c>
      <c r="P105" s="297">
        <v>43.656999999999996</v>
      </c>
      <c r="Q105" s="297">
        <v>43.656999999999996</v>
      </c>
      <c r="R105" s="297">
        <v>43.656999999999996</v>
      </c>
      <c r="S105" s="297">
        <v>43.657000000000004</v>
      </c>
      <c r="T105" s="297">
        <v>43.657000000000004</v>
      </c>
      <c r="U105" s="297">
        <v>43.657000000000004</v>
      </c>
      <c r="V105" s="297">
        <v>43.657000000000004</v>
      </c>
      <c r="W105" s="297">
        <v>43.657000000000004</v>
      </c>
      <c r="X105" s="297">
        <v>43.657000000000004</v>
      </c>
      <c r="Y105" s="417">
        <v>0</v>
      </c>
      <c r="Z105" s="417">
        <v>0</v>
      </c>
      <c r="AA105" s="417">
        <v>1</v>
      </c>
      <c r="AB105" s="412"/>
      <c r="AC105" s="412"/>
      <c r="AD105" s="412"/>
      <c r="AE105" s="417"/>
      <c r="AF105" s="417"/>
      <c r="AG105" s="417"/>
      <c r="AH105" s="417"/>
      <c r="AI105" s="417"/>
      <c r="AJ105" s="417"/>
      <c r="AK105" s="417"/>
      <c r="AL105" s="417"/>
      <c r="AM105" s="298">
        <f>SUM(Y105:AL105)</f>
        <v>1</v>
      </c>
    </row>
    <row r="106" spans="1:39" s="285" customFormat="1" ht="15" hidden="1" outlineLevel="1">
      <c r="A106" s="509"/>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hidden="1" outlineLevel="1">
      <c r="A107" s="512"/>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hidden="1" outlineLevel="1">
      <c r="A108" s="509">
        <v>28</v>
      </c>
      <c r="B108" s="323" t="s">
        <v>18</v>
      </c>
      <c r="C108" s="293" t="s">
        <v>25</v>
      </c>
      <c r="D108" s="297"/>
      <c r="E108" s="297"/>
      <c r="F108" s="297"/>
      <c r="G108" s="297"/>
      <c r="H108" s="297"/>
      <c r="I108" s="297"/>
      <c r="J108" s="297"/>
      <c r="K108" s="297"/>
      <c r="L108" s="297"/>
      <c r="M108" s="297"/>
      <c r="N108" s="297">
        <v>0</v>
      </c>
      <c r="O108" s="297" t="s">
        <v>701</v>
      </c>
      <c r="P108" s="297" t="s">
        <v>701</v>
      </c>
      <c r="Q108" s="297" t="s">
        <v>701</v>
      </c>
      <c r="R108" s="297" t="s">
        <v>701</v>
      </c>
      <c r="S108" s="297" t="s">
        <v>701</v>
      </c>
      <c r="T108" s="297" t="s">
        <v>701</v>
      </c>
      <c r="U108" s="297" t="s">
        <v>701</v>
      </c>
      <c r="V108" s="297" t="s">
        <v>701</v>
      </c>
      <c r="W108" s="297" t="s">
        <v>701</v>
      </c>
      <c r="X108" s="297" t="s">
        <v>701</v>
      </c>
      <c r="Y108" s="412"/>
      <c r="Z108" s="412"/>
      <c r="AA108" s="412"/>
      <c r="AB108" s="412"/>
      <c r="AC108" s="412"/>
      <c r="AD108" s="412"/>
      <c r="AE108" s="417"/>
      <c r="AF108" s="417"/>
      <c r="AG108" s="417"/>
      <c r="AH108" s="417"/>
      <c r="AI108" s="417"/>
      <c r="AJ108" s="417"/>
      <c r="AK108" s="417"/>
      <c r="AL108" s="417"/>
      <c r="AM108" s="298">
        <f>SUM(Y108:AL108)</f>
        <v>0</v>
      </c>
    </row>
    <row r="109" spans="1:39" s="285" customFormat="1" ht="15" hidden="1" outlineLevel="1">
      <c r="A109" s="509"/>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hidden="1" outlineLevel="1">
      <c r="A110" s="512"/>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hidden="1" outlineLevel="1">
      <c r="A111" s="509">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hidden="1" outlineLevel="1">
      <c r="A112" s="509"/>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5"/>
    </row>
    <row r="113" spans="1:39" s="285" customFormat="1" ht="15" hidden="1" outlineLevel="1">
      <c r="A113" s="509"/>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hidden="1" outlineLevel="1">
      <c r="A114" s="509">
        <v>30</v>
      </c>
      <c r="B114" s="326" t="s">
        <v>490</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hidden="1" outlineLevel="1">
      <c r="A115" s="509"/>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5"/>
    </row>
    <row r="116" spans="1:39" s="285" customFormat="1" ht="15" hidden="1" outlineLevel="1">
      <c r="A116" s="509"/>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hidden="1" outlineLevel="1">
      <c r="A117" s="509"/>
      <c r="B117" s="290" t="s">
        <v>491</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hidden="1" outlineLevel="1">
      <c r="A118" s="509">
        <v>31</v>
      </c>
      <c r="B118" s="326" t="s">
        <v>492</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hidden="1" outlineLevel="1">
      <c r="A119" s="509"/>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5"/>
    </row>
    <row r="120" spans="1:39" s="285" customFormat="1" ht="15" hidden="1" outlineLevel="1">
      <c r="A120" s="509"/>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hidden="1" outlineLevel="1">
      <c r="A121" s="509">
        <v>32</v>
      </c>
      <c r="B121" s="326" t="s">
        <v>493</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hidden="1" outlineLevel="1">
      <c r="A122" s="509"/>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5"/>
    </row>
    <row r="123" spans="1:39" s="285" customFormat="1" ht="15" hidden="1" outlineLevel="1">
      <c r="A123" s="509"/>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hidden="1" outlineLevel="1">
      <c r="A124" s="509">
        <v>33</v>
      </c>
      <c r="B124" s="326" t="s">
        <v>494</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hidden="1" outlineLevel="1">
      <c r="A125" s="509"/>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5"/>
    </row>
    <row r="126" spans="1:39" s="285" customFormat="1" ht="15" hidden="1" outlineLevel="1">
      <c r="A126" s="509"/>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ollapsed="1">
      <c r="A127" s="509"/>
      <c r="B127" s="329" t="s">
        <v>238</v>
      </c>
      <c r="C127" s="330"/>
      <c r="D127" s="330">
        <f>SUM(D22:D125)</f>
        <v>733545.77481516427</v>
      </c>
      <c r="E127" s="330"/>
      <c r="F127" s="330"/>
      <c r="G127" s="330"/>
      <c r="H127" s="330"/>
      <c r="I127" s="330"/>
      <c r="J127" s="330"/>
      <c r="K127" s="330"/>
      <c r="L127" s="330"/>
      <c r="M127" s="330"/>
      <c r="N127" s="330"/>
      <c r="O127" s="330">
        <f>SUM(O22:O125)</f>
        <v>211.73898821476956</v>
      </c>
      <c r="P127" s="330"/>
      <c r="Q127" s="330"/>
      <c r="R127" s="330"/>
      <c r="S127" s="330"/>
      <c r="T127" s="330"/>
      <c r="U127" s="330"/>
      <c r="V127" s="330"/>
      <c r="W127" s="330"/>
      <c r="X127" s="330"/>
      <c r="Y127" s="331">
        <f>IF(Y21="kWh",SUMPRODUCT(D22:D125,Y22:Y125))</f>
        <v>259799.64222938719</v>
      </c>
      <c r="Z127" s="331">
        <f>IF(Z21="kWh",SUMPRODUCT(D22:D125,Z22:Z125))</f>
        <v>265406.55692266568</v>
      </c>
      <c r="AA127" s="331">
        <f>IF(AA21="kW",SUMPRODUCT(N22:N125,O22:O125,AA22:AA125),SUMPRODUCT(D22:D125,AA22:AA125))</f>
        <v>603.48916260623798</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09"/>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1"/>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08"/>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1.7100000000000001E-2</v>
      </c>
      <c r="Z130" s="343">
        <f>HLOOKUP(Z$20,'3.  Distribution Rates'!$C$122:$P$133,3,FALSE)</f>
        <v>1.11E-2</v>
      </c>
      <c r="AA130" s="343">
        <f>HLOOKUP(AA$20,'3.  Distribution Rates'!$C$122:$P$133,3,FALSE)</f>
        <v>2.504</v>
      </c>
      <c r="AB130" s="343">
        <f>HLOOKUP(AB$20,'3.  Distribution Rates'!$C$122:$P$133,3,FALSE)</f>
        <v>12.955299999999999</v>
      </c>
      <c r="AC130" s="343">
        <f>HLOOKUP(AC$20,'3.  Distribution Rates'!$C$122:$P$133,3,FALSE)</f>
        <v>1.5699999999999999E-2</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1"/>
      <c r="B131" s="300" t="s">
        <v>254</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4442.5738821225214</v>
      </c>
      <c r="Z131" s="348">
        <f t="shared" si="33"/>
        <v>2946.012781841589</v>
      </c>
      <c r="AA131" s="349">
        <f t="shared" si="33"/>
        <v>1511.13686316602</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8899.7235271301306</v>
      </c>
    </row>
    <row r="132" spans="1:40" s="305" customFormat="1" ht="15.75">
      <c r="A132" s="511"/>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Y128*Y130</f>
        <v>0</v>
      </c>
      <c r="Z132" s="349">
        <f t="shared" ref="Z132:AD132" si="35">Z128*Z130</f>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3"/>
      <c r="B133" s="351" t="s">
        <v>257</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8899.7235271301306</v>
      </c>
    </row>
    <row r="134" spans="1:40" s="356" customFormat="1" ht="19.5" customHeight="1">
      <c r="A134" s="508"/>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09"/>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259799.64222938719</v>
      </c>
      <c r="Z135" s="293">
        <f>SUMPRODUCT(E22:E125,Z22:Z125)</f>
        <v>265406.55692266568</v>
      </c>
      <c r="AA135" s="293">
        <f>IF(AA21="kW",SUMPRODUCT(N22:N125,P22:P125,AA22:AA125),SUMPRODUCT(E22:E125,AA22:AA125))</f>
        <v>603.48916260623798</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09"/>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259799.64222938719</v>
      </c>
      <c r="Z136" s="293">
        <f>SUMPRODUCT(F22:F125,Z22:Z125)</f>
        <v>265406.55692266568</v>
      </c>
      <c r="AA136" s="293">
        <f>IF(AA21="kW",SUMPRODUCT(N22:N125,Q22:Q125,AA22:AA125),SUMPRODUCT(F22:F125,AA22:AA125))</f>
        <v>603.48916260623798</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09"/>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259047.06954763783</v>
      </c>
      <c r="Z137" s="293">
        <f>SUMPRODUCT(G22:G125,Z22:Z125)</f>
        <v>183473.2045874593</v>
      </c>
      <c r="AA137" s="293">
        <f>IF(AA21="kW",SUMPRODUCT(N22:N125,R22:R125,AA22:AA125),SUMPRODUCT(G22:G125,AA22:AA125))</f>
        <v>603.48916260623798</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09"/>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233359.02916661388</v>
      </c>
      <c r="Z138" s="293">
        <f>SUMPRODUCT(H22:H125,Z22:Z125)</f>
        <v>183473.2045874593</v>
      </c>
      <c r="AA138" s="293">
        <f>IF(AA21="kW",SUMPRODUCT(N22:N125,S22:S125,AA22:AA125),SUMPRODUCT(H22:H125,AA22:AA125))</f>
        <v>603.48916260623798</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09"/>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180633.59399241232</v>
      </c>
      <c r="Z139" s="293">
        <f>SUMPRODUCT(I22:I125,Z22:Z125)</f>
        <v>183473.2045874593</v>
      </c>
      <c r="AA139" s="293">
        <f>IF(AA21="kW",SUMPRODUCT(N22:N125,T22:T125,AA22:AA125),SUMPRODUCT(I22:I125,AA22:AA125))</f>
        <v>603.48916260623798</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09"/>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151047.33180704538</v>
      </c>
      <c r="Z140" s="293">
        <f>SUMPRODUCT(J22:J125,Z22:Z125)</f>
        <v>121174.06463383755</v>
      </c>
      <c r="AA140" s="293">
        <f>IF(AA21="kW",SUMPRODUCT(N22:N125,U22:U125,AA22:AA125),SUMPRODUCT(J22:J125,AA22:AA125))</f>
        <v>603.48916260623798</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09"/>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150632.48085589323</v>
      </c>
      <c r="Z141" s="293">
        <f>SUMPRODUCT(K22:K125,Z22:Z125)</f>
        <v>121174.06463383755</v>
      </c>
      <c r="AA141" s="293">
        <f>IF(AA21="kW",SUMPRODUCT(N22:N125,V22:V125,AA22:AA125),SUMPRODUCT(K22:K125,AA22:AA125))</f>
        <v>603.48916260623798</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09"/>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174742.50645906135</v>
      </c>
      <c r="Z142" s="293">
        <f>SUMPRODUCT(L22:L125,Z22:Z125)</f>
        <v>121174.06463383755</v>
      </c>
      <c r="AA142" s="293">
        <f>IF(AA21="kW",SUMPRODUCT(N22:N125,W22:W125,AA22:AA125),SUMPRODUCT(L22:L125,AA22:AA125))</f>
        <v>603.48916260623798</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99708.393176116675</v>
      </c>
      <c r="Z143" s="328">
        <f>SUMPRODUCT(M22:M125,Z22:Z125)</f>
        <v>121174.06463383755</v>
      </c>
      <c r="AA143" s="328">
        <f>IF(AA21="kW",SUMPRODUCT(N22:N125,X22:X125,AA22:AA125),SUMPRODUCT(M22:M125,AA22:AA125))</f>
        <v>603.48916260623798</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591</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243</v>
      </c>
      <c r="C146" s="283"/>
      <c r="D146" s="590" t="s">
        <v>527</v>
      </c>
      <c r="F146" s="590"/>
      <c r="O146" s="283"/>
      <c r="Y146" s="272"/>
      <c r="Z146" s="269"/>
      <c r="AA146" s="269"/>
      <c r="AB146" s="269"/>
      <c r="AC146" s="269"/>
      <c r="AD146" s="269"/>
      <c r="AE146" s="269"/>
      <c r="AF146" s="269"/>
      <c r="AG146" s="269"/>
      <c r="AH146" s="269"/>
      <c r="AI146" s="269"/>
      <c r="AJ146" s="269"/>
      <c r="AK146" s="269"/>
      <c r="AL146" s="269"/>
      <c r="AM146" s="284"/>
    </row>
    <row r="147" spans="1:39" ht="34.5" customHeight="1">
      <c r="B147" s="800" t="s">
        <v>212</v>
      </c>
      <c r="C147" s="802" t="s">
        <v>33</v>
      </c>
      <c r="D147" s="286" t="s">
        <v>423</v>
      </c>
      <c r="E147" s="804" t="s">
        <v>210</v>
      </c>
      <c r="F147" s="805"/>
      <c r="G147" s="805"/>
      <c r="H147" s="805"/>
      <c r="I147" s="805"/>
      <c r="J147" s="805"/>
      <c r="K147" s="805"/>
      <c r="L147" s="805"/>
      <c r="M147" s="806"/>
      <c r="N147" s="810" t="s">
        <v>214</v>
      </c>
      <c r="O147" s="286" t="s">
        <v>424</v>
      </c>
      <c r="P147" s="804" t="s">
        <v>213</v>
      </c>
      <c r="Q147" s="805"/>
      <c r="R147" s="805"/>
      <c r="S147" s="805"/>
      <c r="T147" s="805"/>
      <c r="U147" s="805"/>
      <c r="V147" s="805"/>
      <c r="W147" s="805"/>
      <c r="X147" s="806"/>
      <c r="Y147" s="807" t="s">
        <v>244</v>
      </c>
      <c r="Z147" s="808"/>
      <c r="AA147" s="808"/>
      <c r="AB147" s="808"/>
      <c r="AC147" s="808"/>
      <c r="AD147" s="808"/>
      <c r="AE147" s="808"/>
      <c r="AF147" s="808"/>
      <c r="AG147" s="808"/>
      <c r="AH147" s="808"/>
      <c r="AI147" s="808"/>
      <c r="AJ147" s="808"/>
      <c r="AK147" s="808"/>
      <c r="AL147" s="808"/>
      <c r="AM147" s="809"/>
    </row>
    <row r="148" spans="1:39" ht="60.75" customHeight="1">
      <c r="B148" s="801"/>
      <c r="C148" s="803"/>
      <c r="D148" s="287">
        <v>2012</v>
      </c>
      <c r="E148" s="287">
        <v>2013</v>
      </c>
      <c r="F148" s="287">
        <v>2014</v>
      </c>
      <c r="G148" s="287">
        <v>2015</v>
      </c>
      <c r="H148" s="287">
        <v>2016</v>
      </c>
      <c r="I148" s="287">
        <v>2017</v>
      </c>
      <c r="J148" s="287">
        <v>2018</v>
      </c>
      <c r="K148" s="287">
        <v>2019</v>
      </c>
      <c r="L148" s="287">
        <v>2020</v>
      </c>
      <c r="M148" s="287">
        <v>2021</v>
      </c>
      <c r="N148" s="811"/>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 kW</v>
      </c>
      <c r="AB148" s="287" t="str">
        <f>'1.  LRAMVA Summary'!G50</f>
        <v>Streetlights</v>
      </c>
      <c r="AC148" s="287" t="str">
        <f>'1.  LRAMVA Summary'!H50</f>
        <v>Unmetered Scattered Load</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0"/>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KWh</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hidden="1" outlineLevel="1">
      <c r="A150" s="509">
        <v>1</v>
      </c>
      <c r="B150" s="296" t="s">
        <v>1</v>
      </c>
      <c r="C150" s="293" t="s">
        <v>25</v>
      </c>
      <c r="D150" s="297">
        <v>38949.134989276099</v>
      </c>
      <c r="E150" s="297">
        <v>38949.134989276099</v>
      </c>
      <c r="F150" s="297">
        <v>38949.134989276099</v>
      </c>
      <c r="G150" s="297">
        <v>38949.134989276099</v>
      </c>
      <c r="H150" s="297">
        <v>27241.702004079536</v>
      </c>
      <c r="I150" s="297">
        <v>0</v>
      </c>
      <c r="J150" s="297">
        <v>0</v>
      </c>
      <c r="K150" s="297">
        <v>0</v>
      </c>
      <c r="L150" s="297">
        <v>0</v>
      </c>
      <c r="M150" s="297">
        <v>0</v>
      </c>
      <c r="N150" s="293"/>
      <c r="O150" s="297">
        <v>5.1713546641434291</v>
      </c>
      <c r="P150" s="297">
        <v>5.1713546641434291</v>
      </c>
      <c r="Q150" s="297">
        <v>5.1713546641434291</v>
      </c>
      <c r="R150" s="297">
        <v>5.1713546641434291</v>
      </c>
      <c r="S150" s="297">
        <v>3.5817314430221332</v>
      </c>
      <c r="T150" s="297">
        <v>0</v>
      </c>
      <c r="U150" s="297">
        <v>0</v>
      </c>
      <c r="V150" s="297">
        <v>0</v>
      </c>
      <c r="W150" s="297">
        <v>0</v>
      </c>
      <c r="X150" s="297">
        <v>0</v>
      </c>
      <c r="Y150" s="417">
        <v>1</v>
      </c>
      <c r="Z150" s="417">
        <v>0</v>
      </c>
      <c r="AA150" s="417">
        <v>0</v>
      </c>
      <c r="AB150" s="412"/>
      <c r="AC150" s="412"/>
      <c r="AD150" s="412"/>
      <c r="AE150" s="412"/>
      <c r="AF150" s="412"/>
      <c r="AG150" s="412"/>
      <c r="AH150" s="412"/>
      <c r="AI150" s="412"/>
      <c r="AJ150" s="412"/>
      <c r="AK150" s="412"/>
      <c r="AL150" s="412"/>
      <c r="AM150" s="298">
        <f>SUM(Y150:AL150)</f>
        <v>1</v>
      </c>
    </row>
    <row r="151" spans="1:39" ht="15" hidden="1" outlineLevel="1">
      <c r="B151" s="296" t="s">
        <v>245</v>
      </c>
      <c r="C151" s="293" t="s">
        <v>164</v>
      </c>
      <c r="D151" s="297"/>
      <c r="E151" s="297"/>
      <c r="F151" s="297"/>
      <c r="G151" s="297"/>
      <c r="H151" s="297"/>
      <c r="I151" s="297"/>
      <c r="J151" s="297"/>
      <c r="K151" s="297"/>
      <c r="L151" s="297"/>
      <c r="M151" s="297"/>
      <c r="N151" s="469"/>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5"/>
    </row>
    <row r="152" spans="1:39" ht="15.75" hidden="1" outlineLevel="1">
      <c r="A152" s="511"/>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hidden="1" outlineLevel="1">
      <c r="A153" s="509">
        <v>2</v>
      </c>
      <c r="B153" s="296" t="s">
        <v>2</v>
      </c>
      <c r="C153" s="293" t="s">
        <v>25</v>
      </c>
      <c r="D153" s="297">
        <v>542.0042224714316</v>
      </c>
      <c r="E153" s="297">
        <v>542.0042224714316</v>
      </c>
      <c r="F153" s="297">
        <v>542.0042224714316</v>
      </c>
      <c r="G153" s="297">
        <v>536.57135902159587</v>
      </c>
      <c r="H153" s="297">
        <v>0</v>
      </c>
      <c r="I153" s="297">
        <v>0</v>
      </c>
      <c r="J153" s="297">
        <v>0</v>
      </c>
      <c r="K153" s="297">
        <v>0</v>
      </c>
      <c r="L153" s="297">
        <v>0</v>
      </c>
      <c r="M153" s="297">
        <v>0</v>
      </c>
      <c r="N153" s="293"/>
      <c r="O153" s="297">
        <v>0.30700225932008651</v>
      </c>
      <c r="P153" s="297">
        <v>0.30700225932008651</v>
      </c>
      <c r="Q153" s="297">
        <v>0.30700225932008651</v>
      </c>
      <c r="R153" s="297">
        <v>0.30092695980086182</v>
      </c>
      <c r="S153" s="297">
        <v>0</v>
      </c>
      <c r="T153" s="297">
        <v>0</v>
      </c>
      <c r="U153" s="297">
        <v>0</v>
      </c>
      <c r="V153" s="297">
        <v>0</v>
      </c>
      <c r="W153" s="297">
        <v>0</v>
      </c>
      <c r="X153" s="297">
        <v>0</v>
      </c>
      <c r="Y153" s="417">
        <v>1</v>
      </c>
      <c r="Z153" s="417">
        <v>0</v>
      </c>
      <c r="AA153" s="417">
        <v>0</v>
      </c>
      <c r="AB153" s="412"/>
      <c r="AC153" s="412"/>
      <c r="AD153" s="412"/>
      <c r="AE153" s="412"/>
      <c r="AF153" s="412"/>
      <c r="AG153" s="412"/>
      <c r="AH153" s="412"/>
      <c r="AI153" s="412"/>
      <c r="AJ153" s="412"/>
      <c r="AK153" s="412"/>
      <c r="AL153" s="412"/>
      <c r="AM153" s="298">
        <f>SUM(Y153:AL153)</f>
        <v>1</v>
      </c>
    </row>
    <row r="154" spans="1:39" ht="15" hidden="1" outlineLevel="1">
      <c r="B154" s="296" t="s">
        <v>245</v>
      </c>
      <c r="C154" s="293" t="s">
        <v>164</v>
      </c>
      <c r="D154" s="297"/>
      <c r="E154" s="297"/>
      <c r="F154" s="297"/>
      <c r="G154" s="297"/>
      <c r="H154" s="297"/>
      <c r="I154" s="297"/>
      <c r="J154" s="297"/>
      <c r="K154" s="297"/>
      <c r="L154" s="297"/>
      <c r="M154" s="297"/>
      <c r="N154" s="469"/>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5"/>
    </row>
    <row r="155" spans="1:39" ht="15.75" hidden="1" outlineLevel="1">
      <c r="A155" s="511"/>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hidden="1" outlineLevel="1">
      <c r="A156" s="509">
        <v>3</v>
      </c>
      <c r="B156" s="296" t="s">
        <v>3</v>
      </c>
      <c r="C156" s="293" t="s">
        <v>25</v>
      </c>
      <c r="D156" s="297">
        <v>48252.680964467334</v>
      </c>
      <c r="E156" s="297">
        <v>48252.680964467334</v>
      </c>
      <c r="F156" s="297">
        <v>48252.680964467334</v>
      </c>
      <c r="G156" s="297">
        <v>48252.680964467334</v>
      </c>
      <c r="H156" s="297">
        <v>48252.680964467334</v>
      </c>
      <c r="I156" s="297">
        <v>48252.680964467334</v>
      </c>
      <c r="J156" s="297">
        <v>48252.680964467334</v>
      </c>
      <c r="K156" s="297">
        <v>48252.680964467334</v>
      </c>
      <c r="L156" s="297">
        <v>48252.680964467334</v>
      </c>
      <c r="M156" s="297">
        <v>48252.680964467334</v>
      </c>
      <c r="N156" s="293"/>
      <c r="O156" s="297">
        <v>26.946122801105282</v>
      </c>
      <c r="P156" s="297">
        <v>26.946122801105282</v>
      </c>
      <c r="Q156" s="297">
        <v>26.946122801105282</v>
      </c>
      <c r="R156" s="297">
        <v>26.946122801105282</v>
      </c>
      <c r="S156" s="297">
        <v>26.946122801105282</v>
      </c>
      <c r="T156" s="297">
        <v>26.946122801105282</v>
      </c>
      <c r="U156" s="297">
        <v>26.946122801105282</v>
      </c>
      <c r="V156" s="297">
        <v>26.946122801105282</v>
      </c>
      <c r="W156" s="297">
        <v>26.946122801105282</v>
      </c>
      <c r="X156" s="297">
        <v>26.946122801105282</v>
      </c>
      <c r="Y156" s="417">
        <v>1</v>
      </c>
      <c r="Z156" s="417">
        <v>0</v>
      </c>
      <c r="AA156" s="417">
        <v>0</v>
      </c>
      <c r="AB156" s="412"/>
      <c r="AC156" s="412"/>
      <c r="AD156" s="412"/>
      <c r="AE156" s="412"/>
      <c r="AF156" s="412"/>
      <c r="AG156" s="412"/>
      <c r="AH156" s="412"/>
      <c r="AI156" s="412"/>
      <c r="AJ156" s="412"/>
      <c r="AK156" s="412"/>
      <c r="AL156" s="412"/>
      <c r="AM156" s="298">
        <f>SUM(Y156:AL156)</f>
        <v>1</v>
      </c>
    </row>
    <row r="157" spans="1:39" ht="15" hidden="1" outlineLevel="1">
      <c r="B157" s="296" t="s">
        <v>245</v>
      </c>
      <c r="C157" s="293" t="s">
        <v>164</v>
      </c>
      <c r="D157" s="297"/>
      <c r="E157" s="297"/>
      <c r="F157" s="297"/>
      <c r="G157" s="297"/>
      <c r="H157" s="297"/>
      <c r="I157" s="297"/>
      <c r="J157" s="297"/>
      <c r="K157" s="297"/>
      <c r="L157" s="297"/>
      <c r="M157" s="297"/>
      <c r="N157" s="469"/>
      <c r="O157" s="297"/>
      <c r="P157" s="297"/>
      <c r="Q157" s="297"/>
      <c r="R157" s="297"/>
      <c r="S157" s="297"/>
      <c r="T157" s="297"/>
      <c r="U157" s="297"/>
      <c r="V157" s="297"/>
      <c r="W157" s="297"/>
      <c r="X157" s="297"/>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5"/>
    </row>
    <row r="158" spans="1:39" ht="15" hidden="1"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hidden="1" outlineLevel="1">
      <c r="A159" s="509">
        <v>4</v>
      </c>
      <c r="B159" s="296" t="s">
        <v>4</v>
      </c>
      <c r="C159" s="293" t="s">
        <v>25</v>
      </c>
      <c r="D159" s="297">
        <v>3995.7204263027816</v>
      </c>
      <c r="E159" s="297">
        <v>3995.7204263027816</v>
      </c>
      <c r="F159" s="297">
        <v>3995.7204263027816</v>
      </c>
      <c r="G159" s="297">
        <v>3995.7204263027816</v>
      </c>
      <c r="H159" s="297">
        <v>3935.6907627111013</v>
      </c>
      <c r="I159" s="297">
        <v>3935.6907627111013</v>
      </c>
      <c r="J159" s="297">
        <v>1853.3034011010466</v>
      </c>
      <c r="K159" s="297">
        <v>1843.0749634492736</v>
      </c>
      <c r="L159" s="297">
        <v>1843.0749634492736</v>
      </c>
      <c r="M159" s="297">
        <v>1843.0749634492736</v>
      </c>
      <c r="N159" s="293"/>
      <c r="O159" s="297">
        <v>0.65847157903660603</v>
      </c>
      <c r="P159" s="297">
        <v>0.65847157903660603</v>
      </c>
      <c r="Q159" s="297">
        <v>0.65847157903660603</v>
      </c>
      <c r="R159" s="297">
        <v>0.65847157903660603</v>
      </c>
      <c r="S159" s="297">
        <v>0.65569202851862141</v>
      </c>
      <c r="T159" s="297">
        <v>0.65569202851862141</v>
      </c>
      <c r="U159" s="297">
        <v>0.55927135041890519</v>
      </c>
      <c r="V159" s="297">
        <v>0.55810372054998147</v>
      </c>
      <c r="W159" s="297">
        <v>0.55810372054998147</v>
      </c>
      <c r="X159" s="297">
        <v>0.55810372054998147</v>
      </c>
      <c r="Y159" s="417">
        <v>1</v>
      </c>
      <c r="Z159" s="417">
        <v>0</v>
      </c>
      <c r="AA159" s="417">
        <v>0</v>
      </c>
      <c r="AB159" s="412"/>
      <c r="AC159" s="412"/>
      <c r="AD159" s="412"/>
      <c r="AE159" s="412"/>
      <c r="AF159" s="412"/>
      <c r="AG159" s="412"/>
      <c r="AH159" s="412"/>
      <c r="AI159" s="412"/>
      <c r="AJ159" s="412"/>
      <c r="AK159" s="412"/>
      <c r="AL159" s="412"/>
      <c r="AM159" s="298">
        <f>SUM(Y159:AL159)</f>
        <v>1</v>
      </c>
    </row>
    <row r="160" spans="1:39" ht="15" hidden="1" outlineLevel="1">
      <c r="B160" s="296" t="s">
        <v>245</v>
      </c>
      <c r="C160" s="293" t="s">
        <v>164</v>
      </c>
      <c r="D160" s="297"/>
      <c r="E160" s="297"/>
      <c r="F160" s="297"/>
      <c r="G160" s="297"/>
      <c r="H160" s="297"/>
      <c r="I160" s="297"/>
      <c r="J160" s="297"/>
      <c r="K160" s="297"/>
      <c r="L160" s="297"/>
      <c r="M160" s="297"/>
      <c r="N160" s="469"/>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5"/>
    </row>
    <row r="161" spans="1:39" ht="15" hidden="1"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hidden="1" outlineLevel="1">
      <c r="A162" s="509">
        <v>5</v>
      </c>
      <c r="B162" s="296" t="s">
        <v>5</v>
      </c>
      <c r="C162" s="293" t="s">
        <v>25</v>
      </c>
      <c r="D162" s="297">
        <v>76535.503542561826</v>
      </c>
      <c r="E162" s="297">
        <v>76535.503542561826</v>
      </c>
      <c r="F162" s="297">
        <v>76535.503542561826</v>
      </c>
      <c r="G162" s="297">
        <v>76535.503542561826</v>
      </c>
      <c r="H162" s="297">
        <v>68800.548836341186</v>
      </c>
      <c r="I162" s="297">
        <v>55944.67327254705</v>
      </c>
      <c r="J162" s="297">
        <v>38160.005052757042</v>
      </c>
      <c r="K162" s="297">
        <v>38080.68247504942</v>
      </c>
      <c r="L162" s="297">
        <v>38080.68247504942</v>
      </c>
      <c r="M162" s="297">
        <v>19342.088874374971</v>
      </c>
      <c r="N162" s="293"/>
      <c r="O162" s="297">
        <v>4.2294320984335121</v>
      </c>
      <c r="P162" s="297">
        <v>4.2294320984335121</v>
      </c>
      <c r="Q162" s="297">
        <v>4.2294320984335121</v>
      </c>
      <c r="R162" s="297">
        <v>4.2294320984335121</v>
      </c>
      <c r="S162" s="297">
        <v>3.871280876622532</v>
      </c>
      <c r="T162" s="297">
        <v>3.2760159118619909</v>
      </c>
      <c r="U162" s="297">
        <v>2.4525333066829149</v>
      </c>
      <c r="V162" s="297">
        <v>2.4434782179035053</v>
      </c>
      <c r="W162" s="297">
        <v>2.4434782179035053</v>
      </c>
      <c r="X162" s="297">
        <v>1.5758260534113691</v>
      </c>
      <c r="Y162" s="417">
        <v>1</v>
      </c>
      <c r="Z162" s="417">
        <v>0</v>
      </c>
      <c r="AA162" s="417">
        <v>0</v>
      </c>
      <c r="AB162" s="412"/>
      <c r="AC162" s="412"/>
      <c r="AD162" s="412"/>
      <c r="AE162" s="412"/>
      <c r="AF162" s="412"/>
      <c r="AG162" s="412"/>
      <c r="AH162" s="412"/>
      <c r="AI162" s="412"/>
      <c r="AJ162" s="412"/>
      <c r="AK162" s="412"/>
      <c r="AL162" s="412"/>
      <c r="AM162" s="298">
        <f>SUM(Y162:AL162)</f>
        <v>1</v>
      </c>
    </row>
    <row r="163" spans="1:39" ht="15" hidden="1" outlineLevel="1">
      <c r="B163" s="296" t="s">
        <v>245</v>
      </c>
      <c r="C163" s="293" t="s">
        <v>164</v>
      </c>
      <c r="D163" s="297"/>
      <c r="E163" s="297"/>
      <c r="F163" s="297"/>
      <c r="G163" s="297"/>
      <c r="H163" s="297"/>
      <c r="I163" s="297"/>
      <c r="J163" s="297"/>
      <c r="K163" s="297"/>
      <c r="L163" s="297"/>
      <c r="M163" s="297"/>
      <c r="N163" s="469"/>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5"/>
    </row>
    <row r="164" spans="1:39" ht="15" hidden="1"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hidden="1" outlineLevel="1">
      <c r="A165" s="509">
        <v>6</v>
      </c>
      <c r="B165" s="296" t="s">
        <v>6</v>
      </c>
      <c r="C165" s="293" t="s">
        <v>25</v>
      </c>
      <c r="D165" s="297" t="s">
        <v>701</v>
      </c>
      <c r="E165" s="297" t="s">
        <v>701</v>
      </c>
      <c r="F165" s="297" t="s">
        <v>701</v>
      </c>
      <c r="G165" s="297" t="s">
        <v>701</v>
      </c>
      <c r="H165" s="297" t="s">
        <v>701</v>
      </c>
      <c r="I165" s="297" t="s">
        <v>701</v>
      </c>
      <c r="J165" s="297" t="s">
        <v>701</v>
      </c>
      <c r="K165" s="297" t="s">
        <v>701</v>
      </c>
      <c r="L165" s="297" t="s">
        <v>701</v>
      </c>
      <c r="M165" s="297" t="s">
        <v>701</v>
      </c>
      <c r="N165" s="293"/>
      <c r="O165" s="297" t="s">
        <v>701</v>
      </c>
      <c r="P165" s="297" t="s">
        <v>701</v>
      </c>
      <c r="Q165" s="297" t="s">
        <v>701</v>
      </c>
      <c r="R165" s="297" t="s">
        <v>701</v>
      </c>
      <c r="S165" s="297" t="s">
        <v>701</v>
      </c>
      <c r="T165" s="297" t="s">
        <v>701</v>
      </c>
      <c r="U165" s="297" t="s">
        <v>701</v>
      </c>
      <c r="V165" s="297" t="s">
        <v>701</v>
      </c>
      <c r="W165" s="297" t="s">
        <v>701</v>
      </c>
      <c r="X165" s="297" t="s">
        <v>701</v>
      </c>
      <c r="Y165" s="412"/>
      <c r="Z165" s="412"/>
      <c r="AA165" s="412"/>
      <c r="AB165" s="412"/>
      <c r="AC165" s="412"/>
      <c r="AD165" s="412"/>
      <c r="AE165" s="412"/>
      <c r="AF165" s="412"/>
      <c r="AG165" s="412"/>
      <c r="AH165" s="412"/>
      <c r="AI165" s="412"/>
      <c r="AJ165" s="412"/>
      <c r="AK165" s="412"/>
      <c r="AL165" s="412"/>
      <c r="AM165" s="298">
        <f>SUM(Y165:AL165)</f>
        <v>0</v>
      </c>
    </row>
    <row r="166" spans="1:39" ht="15" hidden="1" outlineLevel="1">
      <c r="B166" s="296" t="s">
        <v>245</v>
      </c>
      <c r="C166" s="293" t="s">
        <v>164</v>
      </c>
      <c r="D166" s="297"/>
      <c r="E166" s="297"/>
      <c r="F166" s="297"/>
      <c r="G166" s="297"/>
      <c r="H166" s="297"/>
      <c r="I166" s="297"/>
      <c r="J166" s="297"/>
      <c r="K166" s="297"/>
      <c r="L166" s="297"/>
      <c r="M166" s="297"/>
      <c r="N166" s="469"/>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5"/>
    </row>
    <row r="167" spans="1:39" ht="15" hidden="1"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hidden="1" outlineLevel="1">
      <c r="A168" s="509">
        <v>7</v>
      </c>
      <c r="B168" s="296" t="s">
        <v>42</v>
      </c>
      <c r="C168" s="293" t="s">
        <v>25</v>
      </c>
      <c r="D168" s="297" t="s">
        <v>701</v>
      </c>
      <c r="E168" s="297" t="s">
        <v>701</v>
      </c>
      <c r="F168" s="297" t="s">
        <v>701</v>
      </c>
      <c r="G168" s="297" t="s">
        <v>701</v>
      </c>
      <c r="H168" s="297" t="s">
        <v>701</v>
      </c>
      <c r="I168" s="297" t="s">
        <v>701</v>
      </c>
      <c r="J168" s="297" t="s">
        <v>701</v>
      </c>
      <c r="K168" s="297" t="s">
        <v>701</v>
      </c>
      <c r="L168" s="297" t="s">
        <v>701</v>
      </c>
      <c r="M168" s="297" t="s">
        <v>701</v>
      </c>
      <c r="N168" s="293"/>
      <c r="O168" s="297" t="s">
        <v>701</v>
      </c>
      <c r="P168" s="297" t="s">
        <v>701</v>
      </c>
      <c r="Q168" s="297" t="s">
        <v>701</v>
      </c>
      <c r="R168" s="297" t="s">
        <v>701</v>
      </c>
      <c r="S168" s="297" t="s">
        <v>701</v>
      </c>
      <c r="T168" s="297" t="s">
        <v>701</v>
      </c>
      <c r="U168" s="297" t="s">
        <v>701</v>
      </c>
      <c r="V168" s="297" t="s">
        <v>701</v>
      </c>
      <c r="W168" s="297" t="s">
        <v>701</v>
      </c>
      <c r="X168" s="297" t="s">
        <v>701</v>
      </c>
      <c r="Y168" s="412"/>
      <c r="Z168" s="412"/>
      <c r="AA168" s="412"/>
      <c r="AB168" s="412"/>
      <c r="AC168" s="412"/>
      <c r="AD168" s="412"/>
      <c r="AE168" s="412"/>
      <c r="AF168" s="412"/>
      <c r="AG168" s="412"/>
      <c r="AH168" s="412"/>
      <c r="AI168" s="412"/>
      <c r="AJ168" s="412"/>
      <c r="AK168" s="412"/>
      <c r="AL168" s="412"/>
      <c r="AM168" s="298">
        <f>SUM(Y168:AL168)</f>
        <v>0</v>
      </c>
    </row>
    <row r="169" spans="1:39" ht="15" hidden="1" outlineLevel="1">
      <c r="B169" s="296" t="s">
        <v>245</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5"/>
    </row>
    <row r="170" spans="1:39" ht="15" hidden="1"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hidden="1" outlineLevel="1">
      <c r="A171" s="509">
        <v>8</v>
      </c>
      <c r="B171" s="296" t="s">
        <v>486</v>
      </c>
      <c r="C171" s="293" t="s">
        <v>25</v>
      </c>
      <c r="D171" s="297" t="s">
        <v>701</v>
      </c>
      <c r="E171" s="297" t="s">
        <v>701</v>
      </c>
      <c r="F171" s="297" t="s">
        <v>701</v>
      </c>
      <c r="G171" s="297" t="s">
        <v>701</v>
      </c>
      <c r="H171" s="297" t="s">
        <v>701</v>
      </c>
      <c r="I171" s="297" t="s">
        <v>701</v>
      </c>
      <c r="J171" s="297" t="s">
        <v>701</v>
      </c>
      <c r="K171" s="297" t="s">
        <v>701</v>
      </c>
      <c r="L171" s="297" t="s">
        <v>701</v>
      </c>
      <c r="M171" s="297" t="s">
        <v>701</v>
      </c>
      <c r="N171" s="293"/>
      <c r="O171" s="297" t="s">
        <v>701</v>
      </c>
      <c r="P171" s="297" t="s">
        <v>701</v>
      </c>
      <c r="Q171" s="297" t="s">
        <v>701</v>
      </c>
      <c r="R171" s="297" t="s">
        <v>701</v>
      </c>
      <c r="S171" s="297" t="s">
        <v>701</v>
      </c>
      <c r="T171" s="297" t="s">
        <v>701</v>
      </c>
      <c r="U171" s="297" t="s">
        <v>701</v>
      </c>
      <c r="V171" s="297" t="s">
        <v>701</v>
      </c>
      <c r="W171" s="297" t="s">
        <v>701</v>
      </c>
      <c r="X171" s="297" t="s">
        <v>701</v>
      </c>
      <c r="Y171" s="412"/>
      <c r="Z171" s="412"/>
      <c r="AA171" s="412"/>
      <c r="AB171" s="412"/>
      <c r="AC171" s="412"/>
      <c r="AD171" s="412"/>
      <c r="AE171" s="412"/>
      <c r="AF171" s="412"/>
      <c r="AG171" s="412"/>
      <c r="AH171" s="412"/>
      <c r="AI171" s="412"/>
      <c r="AJ171" s="412"/>
      <c r="AK171" s="412"/>
      <c r="AL171" s="412"/>
      <c r="AM171" s="298">
        <f>SUM(Y171:AL171)</f>
        <v>0</v>
      </c>
    </row>
    <row r="172" spans="1:39" s="285" customFormat="1" ht="15" hidden="1" outlineLevel="1">
      <c r="A172" s="509"/>
      <c r="B172" s="296" t="s">
        <v>245</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5"/>
    </row>
    <row r="173" spans="1:39" s="285" customFormat="1" ht="15" hidden="1" outlineLevel="1">
      <c r="A173" s="509"/>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hidden="1" outlineLevel="1">
      <c r="A174" s="509">
        <v>9</v>
      </c>
      <c r="B174" s="296" t="s">
        <v>7</v>
      </c>
      <c r="C174" s="293" t="s">
        <v>25</v>
      </c>
      <c r="D174" s="297" t="s">
        <v>701</v>
      </c>
      <c r="E174" s="297" t="s">
        <v>701</v>
      </c>
      <c r="F174" s="297" t="s">
        <v>701</v>
      </c>
      <c r="G174" s="297" t="s">
        <v>701</v>
      </c>
      <c r="H174" s="297" t="s">
        <v>701</v>
      </c>
      <c r="I174" s="297" t="s">
        <v>701</v>
      </c>
      <c r="J174" s="297" t="s">
        <v>701</v>
      </c>
      <c r="K174" s="297" t="s">
        <v>701</v>
      </c>
      <c r="L174" s="297" t="s">
        <v>701</v>
      </c>
      <c r="M174" s="297" t="s">
        <v>701</v>
      </c>
      <c r="N174" s="293"/>
      <c r="O174" s="297" t="s">
        <v>701</v>
      </c>
      <c r="P174" s="297" t="s">
        <v>701</v>
      </c>
      <c r="Q174" s="297" t="s">
        <v>701</v>
      </c>
      <c r="R174" s="297" t="s">
        <v>701</v>
      </c>
      <c r="S174" s="297" t="s">
        <v>701</v>
      </c>
      <c r="T174" s="297" t="s">
        <v>701</v>
      </c>
      <c r="U174" s="297" t="s">
        <v>701</v>
      </c>
      <c r="V174" s="297" t="s">
        <v>701</v>
      </c>
      <c r="W174" s="297" t="s">
        <v>701</v>
      </c>
      <c r="X174" s="297" t="s">
        <v>701</v>
      </c>
      <c r="Y174" s="412"/>
      <c r="Z174" s="412"/>
      <c r="AA174" s="412"/>
      <c r="AB174" s="412"/>
      <c r="AC174" s="412"/>
      <c r="AD174" s="412"/>
      <c r="AE174" s="412"/>
      <c r="AF174" s="412"/>
      <c r="AG174" s="412"/>
      <c r="AH174" s="412"/>
      <c r="AI174" s="412"/>
      <c r="AJ174" s="412"/>
      <c r="AK174" s="412"/>
      <c r="AL174" s="412"/>
      <c r="AM174" s="298">
        <f>SUM(Y174:AL174)</f>
        <v>0</v>
      </c>
    </row>
    <row r="175" spans="1:39" ht="15" hidden="1" outlineLevel="1">
      <c r="B175" s="296" t="s">
        <v>245</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5"/>
    </row>
    <row r="176" spans="1:39" ht="15" hidden="1"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hidden="1" outlineLevel="1">
      <c r="A177" s="510"/>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hidden="1" outlineLevel="1">
      <c r="A178" s="509">
        <v>10</v>
      </c>
      <c r="B178" s="312" t="s">
        <v>22</v>
      </c>
      <c r="C178" s="293" t="s">
        <v>25</v>
      </c>
      <c r="D178" s="297">
        <v>1338949.9999999998</v>
      </c>
      <c r="E178" s="297">
        <v>1316740.908589297</v>
      </c>
      <c r="F178" s="297">
        <v>1315188.406756781</v>
      </c>
      <c r="G178" s="297">
        <v>1278808.0112923288</v>
      </c>
      <c r="H178" s="297">
        <v>1278808.0112923288</v>
      </c>
      <c r="I178" s="297">
        <v>1276061.020276367</v>
      </c>
      <c r="J178" s="297">
        <v>1262218.2564969042</v>
      </c>
      <c r="K178" s="297">
        <v>1262218.2564969042</v>
      </c>
      <c r="L178" s="297">
        <v>1187772.2102303214</v>
      </c>
      <c r="M178" s="297">
        <v>682976.82626781112</v>
      </c>
      <c r="N178" s="297">
        <v>12</v>
      </c>
      <c r="O178" s="297">
        <v>267.51327501047109</v>
      </c>
      <c r="P178" s="297">
        <v>258.2416110905416</v>
      </c>
      <c r="Q178" s="297">
        <v>257.59348573683076</v>
      </c>
      <c r="R178" s="297">
        <v>242.40570548131015</v>
      </c>
      <c r="S178" s="297">
        <v>242.40570548131015</v>
      </c>
      <c r="T178" s="297">
        <v>241.27083157862046</v>
      </c>
      <c r="U178" s="297">
        <v>234.93532770854429</v>
      </c>
      <c r="V178" s="297">
        <v>234.93532770854429</v>
      </c>
      <c r="W178" s="297">
        <v>206.76778675027953</v>
      </c>
      <c r="X178" s="297">
        <v>137.36350477173204</v>
      </c>
      <c r="Y178" s="417">
        <v>0</v>
      </c>
      <c r="Z178" s="417">
        <v>0.34168208024700247</v>
      </c>
      <c r="AA178" s="417">
        <v>0.65831791975299747</v>
      </c>
      <c r="AB178" s="417"/>
      <c r="AC178" s="417"/>
      <c r="AD178" s="417"/>
      <c r="AE178" s="417"/>
      <c r="AF178" s="417"/>
      <c r="AG178" s="417"/>
      <c r="AH178" s="417"/>
      <c r="AI178" s="417"/>
      <c r="AJ178" s="417"/>
      <c r="AK178" s="417"/>
      <c r="AL178" s="417"/>
      <c r="AM178" s="298">
        <f>SUM(Y178:AL178)</f>
        <v>1</v>
      </c>
    </row>
    <row r="179" spans="1:39" ht="15" hidden="1" outlineLevel="1">
      <c r="B179" s="296" t="s">
        <v>245</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0.34168208024700247</v>
      </c>
      <c r="AA179" s="413">
        <f t="shared" ref="AA179:AL179" si="46">AA178</f>
        <v>0.65831791975299747</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5"/>
    </row>
    <row r="180" spans="1:39" ht="15" hidden="1"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hidden="1" outlineLevel="1">
      <c r="A181" s="509">
        <v>11</v>
      </c>
      <c r="B181" s="316" t="s">
        <v>21</v>
      </c>
      <c r="C181" s="293" t="s">
        <v>25</v>
      </c>
      <c r="D181" s="297">
        <v>179920.70160477795</v>
      </c>
      <c r="E181" s="297">
        <v>179920.70160477798</v>
      </c>
      <c r="F181" s="297">
        <v>179920.70160477798</v>
      </c>
      <c r="G181" s="297">
        <v>116076.88019301901</v>
      </c>
      <c r="H181" s="297">
        <v>116076.88019301901</v>
      </c>
      <c r="I181" s="297">
        <v>21155.651674336819</v>
      </c>
      <c r="J181" s="297">
        <v>21155.651674336819</v>
      </c>
      <c r="K181" s="297">
        <v>21155.651674336819</v>
      </c>
      <c r="L181" s="297">
        <v>21155.651674336819</v>
      </c>
      <c r="M181" s="297">
        <v>21155.651674336819</v>
      </c>
      <c r="N181" s="297">
        <v>12</v>
      </c>
      <c r="O181" s="297">
        <v>46.955552418229615</v>
      </c>
      <c r="P181" s="297">
        <v>46.955552418229615</v>
      </c>
      <c r="Q181" s="297">
        <v>46.955552418229615</v>
      </c>
      <c r="R181" s="297">
        <v>31.663990904127672</v>
      </c>
      <c r="S181" s="297">
        <v>31.434557888425051</v>
      </c>
      <c r="T181" s="297">
        <v>6.4295317587025691</v>
      </c>
      <c r="U181" s="297">
        <v>5.1486035074728917</v>
      </c>
      <c r="V181" s="297">
        <v>5.1486035074728917</v>
      </c>
      <c r="W181" s="297">
        <v>5.1486035074728917</v>
      </c>
      <c r="X181" s="297">
        <v>5.1486035074728917</v>
      </c>
      <c r="Y181" s="417">
        <v>0</v>
      </c>
      <c r="Z181" s="417">
        <v>1</v>
      </c>
      <c r="AA181" s="417">
        <v>0</v>
      </c>
      <c r="AB181" s="417"/>
      <c r="AC181" s="417"/>
      <c r="AD181" s="417"/>
      <c r="AE181" s="417"/>
      <c r="AF181" s="417"/>
      <c r="AG181" s="417"/>
      <c r="AH181" s="417"/>
      <c r="AI181" s="417"/>
      <c r="AJ181" s="417"/>
      <c r="AK181" s="417"/>
      <c r="AL181" s="417"/>
      <c r="AM181" s="298">
        <f>SUM(Y181:AL181)</f>
        <v>1</v>
      </c>
    </row>
    <row r="182" spans="1:39" ht="15" hidden="1" outlineLevel="1">
      <c r="B182" s="296" t="s">
        <v>245</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5"/>
    </row>
    <row r="183" spans="1:39" ht="15" hidden="1"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hidden="1" outlineLevel="1">
      <c r="A184" s="509">
        <v>12</v>
      </c>
      <c r="B184" s="316" t="s">
        <v>23</v>
      </c>
      <c r="C184" s="293" t="s">
        <v>25</v>
      </c>
      <c r="D184" s="297" t="s">
        <v>701</v>
      </c>
      <c r="E184" s="297" t="s">
        <v>701</v>
      </c>
      <c r="F184" s="297" t="s">
        <v>701</v>
      </c>
      <c r="G184" s="297" t="s">
        <v>701</v>
      </c>
      <c r="H184" s="297" t="s">
        <v>701</v>
      </c>
      <c r="I184" s="297" t="s">
        <v>701</v>
      </c>
      <c r="J184" s="297" t="s">
        <v>701</v>
      </c>
      <c r="K184" s="297" t="s">
        <v>701</v>
      </c>
      <c r="L184" s="297" t="s">
        <v>701</v>
      </c>
      <c r="M184" s="297" t="s">
        <v>701</v>
      </c>
      <c r="N184" s="297">
        <v>3</v>
      </c>
      <c r="O184" s="297" t="s">
        <v>701</v>
      </c>
      <c r="P184" s="297" t="s">
        <v>701</v>
      </c>
      <c r="Q184" s="297" t="s">
        <v>701</v>
      </c>
      <c r="R184" s="297" t="s">
        <v>701</v>
      </c>
      <c r="S184" s="297" t="s">
        <v>701</v>
      </c>
      <c r="T184" s="297" t="s">
        <v>701</v>
      </c>
      <c r="U184" s="297" t="s">
        <v>701</v>
      </c>
      <c r="V184" s="297" t="s">
        <v>701</v>
      </c>
      <c r="W184" s="297" t="s">
        <v>701</v>
      </c>
      <c r="X184" s="297" t="s">
        <v>701</v>
      </c>
      <c r="Y184" s="417"/>
      <c r="Z184" s="417"/>
      <c r="AA184" s="417"/>
      <c r="AB184" s="417"/>
      <c r="AC184" s="417"/>
      <c r="AD184" s="417"/>
      <c r="AE184" s="417"/>
      <c r="AF184" s="417"/>
      <c r="AG184" s="417"/>
      <c r="AH184" s="417"/>
      <c r="AI184" s="417"/>
      <c r="AJ184" s="417"/>
      <c r="AK184" s="417"/>
      <c r="AL184" s="417"/>
      <c r="AM184" s="298">
        <f>SUM(Y184:AL184)</f>
        <v>0</v>
      </c>
    </row>
    <row r="185" spans="1:39" ht="15" hidden="1" outlineLevel="1">
      <c r="B185" s="296" t="s">
        <v>245</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5"/>
    </row>
    <row r="186" spans="1:39" ht="15" hidden="1"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hidden="1" outlineLevel="1">
      <c r="A187" s="509">
        <v>13</v>
      </c>
      <c r="B187" s="316" t="s">
        <v>24</v>
      </c>
      <c r="C187" s="293" t="s">
        <v>25</v>
      </c>
      <c r="D187" s="297" t="s">
        <v>701</v>
      </c>
      <c r="E187" s="297" t="s">
        <v>701</v>
      </c>
      <c r="F187" s="297" t="s">
        <v>701</v>
      </c>
      <c r="G187" s="297" t="s">
        <v>701</v>
      </c>
      <c r="H187" s="297" t="s">
        <v>701</v>
      </c>
      <c r="I187" s="297" t="s">
        <v>701</v>
      </c>
      <c r="J187" s="297" t="s">
        <v>701</v>
      </c>
      <c r="K187" s="297" t="s">
        <v>701</v>
      </c>
      <c r="L187" s="297" t="s">
        <v>701</v>
      </c>
      <c r="M187" s="297" t="s">
        <v>701</v>
      </c>
      <c r="N187" s="297">
        <v>12</v>
      </c>
      <c r="O187" s="297" t="s">
        <v>701</v>
      </c>
      <c r="P187" s="297" t="s">
        <v>701</v>
      </c>
      <c r="Q187" s="297" t="s">
        <v>701</v>
      </c>
      <c r="R187" s="297" t="s">
        <v>701</v>
      </c>
      <c r="S187" s="297" t="s">
        <v>701</v>
      </c>
      <c r="T187" s="297" t="s">
        <v>701</v>
      </c>
      <c r="U187" s="297" t="s">
        <v>701</v>
      </c>
      <c r="V187" s="297" t="s">
        <v>701</v>
      </c>
      <c r="W187" s="297" t="s">
        <v>701</v>
      </c>
      <c r="X187" s="297" t="s">
        <v>701</v>
      </c>
      <c r="Y187" s="417"/>
      <c r="Z187" s="417"/>
      <c r="AA187" s="417"/>
      <c r="AB187" s="417"/>
      <c r="AC187" s="417"/>
      <c r="AD187" s="417"/>
      <c r="AE187" s="417"/>
      <c r="AF187" s="417"/>
      <c r="AG187" s="417"/>
      <c r="AH187" s="417"/>
      <c r="AI187" s="417"/>
      <c r="AJ187" s="417"/>
      <c r="AK187" s="417"/>
      <c r="AL187" s="417"/>
      <c r="AM187" s="298">
        <f>SUM(Y187:AL187)</f>
        <v>0</v>
      </c>
    </row>
    <row r="188" spans="1:39" ht="15" hidden="1" outlineLevel="1">
      <c r="B188" s="296" t="s">
        <v>245</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5"/>
    </row>
    <row r="189" spans="1:39" ht="15" hidden="1"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hidden="1" outlineLevel="1">
      <c r="A190" s="509">
        <v>14</v>
      </c>
      <c r="B190" s="316" t="s">
        <v>20</v>
      </c>
      <c r="C190" s="293" t="s">
        <v>25</v>
      </c>
      <c r="D190" s="297">
        <v>17855</v>
      </c>
      <c r="E190" s="297">
        <v>17855</v>
      </c>
      <c r="F190" s="297">
        <v>17855</v>
      </c>
      <c r="G190" s="297">
        <v>17855</v>
      </c>
      <c r="H190" s="297">
        <v>0</v>
      </c>
      <c r="I190" s="297">
        <v>0</v>
      </c>
      <c r="J190" s="297">
        <v>0</v>
      </c>
      <c r="K190" s="297">
        <v>0</v>
      </c>
      <c r="L190" s="297">
        <v>0</v>
      </c>
      <c r="M190" s="297">
        <v>0</v>
      </c>
      <c r="N190" s="297">
        <v>12</v>
      </c>
      <c r="O190" s="297">
        <v>0</v>
      </c>
      <c r="P190" s="297">
        <v>0</v>
      </c>
      <c r="Q190" s="297">
        <v>0</v>
      </c>
      <c r="R190" s="297">
        <v>0</v>
      </c>
      <c r="S190" s="297">
        <v>0</v>
      </c>
      <c r="T190" s="297">
        <v>0</v>
      </c>
      <c r="U190" s="297">
        <v>0</v>
      </c>
      <c r="V190" s="297">
        <v>0</v>
      </c>
      <c r="W190" s="297">
        <v>0</v>
      </c>
      <c r="X190" s="297">
        <v>0</v>
      </c>
      <c r="Y190" s="417">
        <v>0</v>
      </c>
      <c r="Z190" s="417">
        <v>0</v>
      </c>
      <c r="AA190" s="417">
        <v>1</v>
      </c>
      <c r="AB190" s="417"/>
      <c r="AC190" s="417"/>
      <c r="AD190" s="417"/>
      <c r="AE190" s="417"/>
      <c r="AF190" s="417"/>
      <c r="AG190" s="417"/>
      <c r="AH190" s="417"/>
      <c r="AI190" s="417"/>
      <c r="AJ190" s="417"/>
      <c r="AK190" s="417"/>
      <c r="AL190" s="417"/>
      <c r="AM190" s="298">
        <f>SUM(Y190:AL190)</f>
        <v>1</v>
      </c>
    </row>
    <row r="191" spans="1:39" ht="15" hidden="1" outlineLevel="1">
      <c r="B191" s="296" t="s">
        <v>245</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1</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5"/>
    </row>
    <row r="192" spans="1:39" ht="15" hidden="1"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hidden="1" outlineLevel="1">
      <c r="A193" s="509">
        <v>15</v>
      </c>
      <c r="B193" s="316" t="s">
        <v>487</v>
      </c>
      <c r="C193" s="293" t="s">
        <v>25</v>
      </c>
      <c r="D193" s="297" t="s">
        <v>701</v>
      </c>
      <c r="E193" s="297" t="s">
        <v>701</v>
      </c>
      <c r="F193" s="297" t="s">
        <v>701</v>
      </c>
      <c r="G193" s="297" t="s">
        <v>701</v>
      </c>
      <c r="H193" s="297" t="s">
        <v>701</v>
      </c>
      <c r="I193" s="297" t="s">
        <v>701</v>
      </c>
      <c r="J193" s="297" t="s">
        <v>701</v>
      </c>
      <c r="K193" s="297" t="s">
        <v>701</v>
      </c>
      <c r="L193" s="297" t="s">
        <v>701</v>
      </c>
      <c r="M193" s="297" t="s">
        <v>701</v>
      </c>
      <c r="N193" s="293"/>
      <c r="O193" s="297" t="s">
        <v>701</v>
      </c>
      <c r="P193" s="297" t="s">
        <v>701</v>
      </c>
      <c r="Q193" s="297" t="s">
        <v>701</v>
      </c>
      <c r="R193" s="297" t="s">
        <v>701</v>
      </c>
      <c r="S193" s="297" t="s">
        <v>701</v>
      </c>
      <c r="T193" s="297" t="s">
        <v>701</v>
      </c>
      <c r="U193" s="297" t="s">
        <v>701</v>
      </c>
      <c r="V193" s="297" t="s">
        <v>701</v>
      </c>
      <c r="W193" s="297" t="s">
        <v>701</v>
      </c>
      <c r="X193" s="297" t="s">
        <v>701</v>
      </c>
      <c r="Y193" s="417"/>
      <c r="Z193" s="417"/>
      <c r="AA193" s="417"/>
      <c r="AB193" s="417"/>
      <c r="AC193" s="417"/>
      <c r="AD193" s="417"/>
      <c r="AE193" s="417"/>
      <c r="AF193" s="417"/>
      <c r="AG193" s="417"/>
      <c r="AH193" s="417"/>
      <c r="AI193" s="417"/>
      <c r="AJ193" s="417"/>
      <c r="AK193" s="417"/>
      <c r="AL193" s="417"/>
      <c r="AM193" s="298">
        <f>SUM(Y193:AL193)</f>
        <v>0</v>
      </c>
    </row>
    <row r="194" spans="1:39" s="285" customFormat="1" ht="15" hidden="1" outlineLevel="1">
      <c r="A194" s="509"/>
      <c r="B194" s="317" t="s">
        <v>245</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5"/>
    </row>
    <row r="195" spans="1:39" s="285" customFormat="1" ht="15" hidden="1" outlineLevel="1">
      <c r="A195" s="509"/>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hidden="1" outlineLevel="1">
      <c r="A196" s="509">
        <v>16</v>
      </c>
      <c r="B196" s="316" t="s">
        <v>488</v>
      </c>
      <c r="C196" s="293" t="s">
        <v>25</v>
      </c>
      <c r="D196" s="297" t="s">
        <v>701</v>
      </c>
      <c r="E196" s="297" t="s">
        <v>701</v>
      </c>
      <c r="F196" s="297" t="s">
        <v>701</v>
      </c>
      <c r="G196" s="297" t="s">
        <v>701</v>
      </c>
      <c r="H196" s="297" t="s">
        <v>701</v>
      </c>
      <c r="I196" s="297" t="s">
        <v>701</v>
      </c>
      <c r="J196" s="297" t="s">
        <v>701</v>
      </c>
      <c r="K196" s="297" t="s">
        <v>701</v>
      </c>
      <c r="L196" s="297" t="s">
        <v>701</v>
      </c>
      <c r="M196" s="297" t="s">
        <v>701</v>
      </c>
      <c r="N196" s="293"/>
      <c r="O196" s="297" t="s">
        <v>701</v>
      </c>
      <c r="P196" s="297" t="s">
        <v>701</v>
      </c>
      <c r="Q196" s="297" t="s">
        <v>701</v>
      </c>
      <c r="R196" s="297" t="s">
        <v>701</v>
      </c>
      <c r="S196" s="297" t="s">
        <v>701</v>
      </c>
      <c r="T196" s="297" t="s">
        <v>701</v>
      </c>
      <c r="U196" s="297" t="s">
        <v>701</v>
      </c>
      <c r="V196" s="297" t="s">
        <v>701</v>
      </c>
      <c r="W196" s="297" t="s">
        <v>701</v>
      </c>
      <c r="X196" s="297" t="s">
        <v>701</v>
      </c>
      <c r="Y196" s="417"/>
      <c r="Z196" s="417"/>
      <c r="AA196" s="417"/>
      <c r="AB196" s="417"/>
      <c r="AC196" s="417"/>
      <c r="AD196" s="417"/>
      <c r="AE196" s="417"/>
      <c r="AF196" s="417"/>
      <c r="AG196" s="417"/>
      <c r="AH196" s="417"/>
      <c r="AI196" s="417"/>
      <c r="AJ196" s="417"/>
      <c r="AK196" s="417"/>
      <c r="AL196" s="417"/>
      <c r="AM196" s="298">
        <f>SUM(Y196:AL196)</f>
        <v>0</v>
      </c>
    </row>
    <row r="197" spans="1:39" s="285" customFormat="1" ht="15" hidden="1" outlineLevel="1">
      <c r="A197" s="509"/>
      <c r="B197" s="317" t="s">
        <v>245</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5"/>
    </row>
    <row r="198" spans="1:39" s="285" customFormat="1" ht="15" hidden="1" outlineLevel="1">
      <c r="A198" s="509"/>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hidden="1" outlineLevel="1">
      <c r="A199" s="509">
        <v>17</v>
      </c>
      <c r="B199" s="316" t="s">
        <v>9</v>
      </c>
      <c r="C199" s="293" t="s">
        <v>25</v>
      </c>
      <c r="D199" s="297">
        <v>541.79780000000005</v>
      </c>
      <c r="E199" s="297">
        <v>0</v>
      </c>
      <c r="F199" s="297">
        <v>0</v>
      </c>
      <c r="G199" s="297">
        <v>0</v>
      </c>
      <c r="H199" s="297">
        <v>0</v>
      </c>
      <c r="I199" s="297">
        <v>0</v>
      </c>
      <c r="J199" s="297">
        <v>0</v>
      </c>
      <c r="K199" s="297">
        <v>0</v>
      </c>
      <c r="L199" s="297">
        <v>0</v>
      </c>
      <c r="M199" s="297">
        <v>0</v>
      </c>
      <c r="N199" s="293"/>
      <c r="O199" s="297">
        <v>37.274569499999998</v>
      </c>
      <c r="P199" s="297">
        <v>0</v>
      </c>
      <c r="Q199" s="297">
        <v>0</v>
      </c>
      <c r="R199" s="297">
        <v>0</v>
      </c>
      <c r="S199" s="297">
        <v>0</v>
      </c>
      <c r="T199" s="297">
        <v>0</v>
      </c>
      <c r="U199" s="297">
        <v>0</v>
      </c>
      <c r="V199" s="297">
        <v>0</v>
      </c>
      <c r="W199" s="297">
        <v>0</v>
      </c>
      <c r="X199" s="297">
        <v>0</v>
      </c>
      <c r="Y199" s="417">
        <v>0</v>
      </c>
      <c r="Z199" s="417">
        <v>0</v>
      </c>
      <c r="AA199" s="417">
        <v>1</v>
      </c>
      <c r="AB199" s="417"/>
      <c r="AC199" s="417"/>
      <c r="AD199" s="417"/>
      <c r="AE199" s="417"/>
      <c r="AF199" s="417"/>
      <c r="AG199" s="417"/>
      <c r="AH199" s="417"/>
      <c r="AI199" s="417"/>
      <c r="AJ199" s="417"/>
      <c r="AK199" s="417"/>
      <c r="AL199" s="417"/>
      <c r="AM199" s="298">
        <f>SUM(Y199:AL199)</f>
        <v>1</v>
      </c>
    </row>
    <row r="200" spans="1:39" ht="15" hidden="1" outlineLevel="1">
      <c r="B200" s="296" t="s">
        <v>245</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1</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5"/>
    </row>
    <row r="201" spans="1:39" ht="15" hidden="1"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hidden="1" outlineLevel="1">
      <c r="A202" s="510"/>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hidden="1" outlineLevel="1">
      <c r="A203" s="509">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hidden="1" outlineLevel="1">
      <c r="B204" s="296" t="s">
        <v>245</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5"/>
    </row>
    <row r="205" spans="1:39" ht="15" hidden="1" outlineLevel="1">
      <c r="A205" s="512"/>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hidden="1" outlineLevel="1">
      <c r="A206" s="509">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hidden="1" outlineLevel="1">
      <c r="B207" s="296" t="s">
        <v>245</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5"/>
    </row>
    <row r="208" spans="1:39" ht="15" hidden="1"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hidden="1" outlineLevel="1">
      <c r="A209" s="509">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hidden="1" outlineLevel="1">
      <c r="B210" s="296" t="s">
        <v>245</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5"/>
    </row>
    <row r="211" spans="1:39" ht="15" hidden="1"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hidden="1" outlineLevel="1">
      <c r="A212" s="509">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hidden="1" outlineLevel="1">
      <c r="B213" s="296" t="s">
        <v>245</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5"/>
    </row>
    <row r="214" spans="1:39" ht="15" hidden="1"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hidden="1" outlineLevel="1">
      <c r="A215" s="509">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hidden="1" outlineLevel="1">
      <c r="B216" s="296" t="s">
        <v>245</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5"/>
    </row>
    <row r="217" spans="1:39" ht="15" hidden="1"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hidden="1" outlineLevel="1">
      <c r="A218" s="510"/>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hidden="1" outlineLevel="1">
      <c r="A219" s="509">
        <v>23</v>
      </c>
      <c r="B219" s="317" t="s">
        <v>14</v>
      </c>
      <c r="C219" s="293" t="s">
        <v>25</v>
      </c>
      <c r="D219" s="297">
        <v>14523.323989868164</v>
      </c>
      <c r="E219" s="297">
        <v>14523.324035644531</v>
      </c>
      <c r="F219" s="297">
        <v>14523.324035644531</v>
      </c>
      <c r="G219" s="297">
        <v>13687.323989868166</v>
      </c>
      <c r="H219" s="297">
        <v>13372.323989868162</v>
      </c>
      <c r="I219" s="297">
        <v>13372.323989868162</v>
      </c>
      <c r="J219" s="297">
        <v>12900.15998840332</v>
      </c>
      <c r="K219" s="297">
        <v>12159.940002441406</v>
      </c>
      <c r="L219" s="297">
        <v>3699.9400024414063</v>
      </c>
      <c r="M219" s="297">
        <v>3699.9400024414063</v>
      </c>
      <c r="N219" s="293"/>
      <c r="O219" s="297">
        <v>1.1396128369960934</v>
      </c>
      <c r="P219" s="297">
        <v>1.0961857405491173</v>
      </c>
      <c r="Q219" s="297">
        <v>1.0961857405491173</v>
      </c>
      <c r="R219" s="297">
        <v>1.0961857405491173</v>
      </c>
      <c r="S219" s="297">
        <v>1.0961857405491173</v>
      </c>
      <c r="T219" s="297">
        <v>1.0961857405491173</v>
      </c>
      <c r="U219" s="297">
        <v>1.0716585735790434</v>
      </c>
      <c r="V219" s="297">
        <v>1.0716585735790434</v>
      </c>
      <c r="W219" s="297">
        <v>0.63219298096373677</v>
      </c>
      <c r="X219" s="297">
        <v>0.63219298096373677</v>
      </c>
      <c r="Y219" s="417">
        <v>1</v>
      </c>
      <c r="Z219" s="417">
        <v>0</v>
      </c>
      <c r="AA219" s="417">
        <v>0</v>
      </c>
      <c r="AB219" s="412"/>
      <c r="AC219" s="412"/>
      <c r="AD219" s="412"/>
      <c r="AE219" s="412"/>
      <c r="AF219" s="412"/>
      <c r="AG219" s="412"/>
      <c r="AH219" s="412"/>
      <c r="AI219" s="412"/>
      <c r="AJ219" s="412"/>
      <c r="AK219" s="412"/>
      <c r="AL219" s="412"/>
      <c r="AM219" s="298">
        <f>SUM(Y219:AL219)</f>
        <v>1</v>
      </c>
    </row>
    <row r="220" spans="1:39" ht="15" hidden="1" outlineLevel="1">
      <c r="B220" s="296" t="s">
        <v>245</v>
      </c>
      <c r="C220" s="293" t="s">
        <v>164</v>
      </c>
      <c r="D220" s="297"/>
      <c r="E220" s="297"/>
      <c r="F220" s="297"/>
      <c r="G220" s="297"/>
      <c r="H220" s="297"/>
      <c r="I220" s="297"/>
      <c r="J220" s="297"/>
      <c r="K220" s="297"/>
      <c r="L220" s="297"/>
      <c r="M220" s="297"/>
      <c r="N220" s="469"/>
      <c r="O220" s="297"/>
      <c r="P220" s="297"/>
      <c r="Q220" s="297"/>
      <c r="R220" s="297"/>
      <c r="S220" s="297"/>
      <c r="T220" s="297"/>
      <c r="U220" s="297"/>
      <c r="V220" s="297"/>
      <c r="W220" s="297"/>
      <c r="X220" s="297"/>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5"/>
    </row>
    <row r="221" spans="1:39" ht="15" hidden="1"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hidden="1" outlineLevel="1">
      <c r="A222" s="510"/>
      <c r="B222" s="290" t="s">
        <v>489</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hidden="1" outlineLevel="1">
      <c r="A223" s="509">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hidden="1" outlineLevel="1">
      <c r="A224" s="509"/>
      <c r="B224" s="317" t="s">
        <v>245</v>
      </c>
      <c r="C224" s="293" t="s">
        <v>164</v>
      </c>
      <c r="D224" s="297"/>
      <c r="E224" s="297"/>
      <c r="F224" s="297"/>
      <c r="G224" s="297"/>
      <c r="H224" s="297"/>
      <c r="I224" s="297"/>
      <c r="J224" s="297"/>
      <c r="K224" s="297"/>
      <c r="L224" s="297"/>
      <c r="M224" s="297"/>
      <c r="N224" s="469"/>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5"/>
    </row>
    <row r="225" spans="1:39" s="285" customFormat="1" ht="15" hidden="1" outlineLevel="1">
      <c r="A225" s="509"/>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hidden="1" outlineLevel="1">
      <c r="A226" s="509">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hidden="1" outlineLevel="1">
      <c r="A227" s="509"/>
      <c r="B227" s="317" t="s">
        <v>245</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5"/>
    </row>
    <row r="228" spans="1:39" s="285" customFormat="1" ht="15" hidden="1" outlineLevel="1">
      <c r="A228" s="509"/>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hidden="1" outlineLevel="1">
      <c r="A229" s="510"/>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hidden="1" outlineLevel="1">
      <c r="A230" s="509">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0"/>
      <c r="AB230" s="417"/>
      <c r="AC230" s="417"/>
      <c r="AD230" s="417"/>
      <c r="AE230" s="417"/>
      <c r="AF230" s="417"/>
      <c r="AG230" s="417"/>
      <c r="AH230" s="417"/>
      <c r="AI230" s="417"/>
      <c r="AJ230" s="417"/>
      <c r="AK230" s="417"/>
      <c r="AL230" s="417"/>
      <c r="AM230" s="298">
        <f>SUM(Y230:AL230)</f>
        <v>0</v>
      </c>
    </row>
    <row r="231" spans="1:39" ht="15" hidden="1" outlineLevel="1">
      <c r="B231" s="296" t="s">
        <v>245</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5"/>
    </row>
    <row r="232" spans="1:39" ht="15" hidden="1" outlineLevel="1">
      <c r="A232" s="512"/>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hidden="1" outlineLevel="1">
      <c r="A233" s="509">
        <v>27</v>
      </c>
      <c r="B233" s="323" t="s">
        <v>17</v>
      </c>
      <c r="C233" s="293" t="s">
        <v>25</v>
      </c>
      <c r="D233" s="297">
        <v>312.86289399373942</v>
      </c>
      <c r="E233" s="297">
        <v>312.86289399373942</v>
      </c>
      <c r="F233" s="297">
        <v>312.86289399373942</v>
      </c>
      <c r="G233" s="297">
        <v>312.86289399373942</v>
      </c>
      <c r="H233" s="297">
        <v>312.86289399373942</v>
      </c>
      <c r="I233" s="297">
        <v>312.86289399373942</v>
      </c>
      <c r="J233" s="297">
        <v>312.86289399373942</v>
      </c>
      <c r="K233" s="297">
        <v>312.86289399373942</v>
      </c>
      <c r="L233" s="297">
        <v>312.86289399373942</v>
      </c>
      <c r="M233" s="297">
        <v>312.86289399373942</v>
      </c>
      <c r="N233" s="297">
        <v>12</v>
      </c>
      <c r="O233" s="297">
        <v>0.32292648347659642</v>
      </c>
      <c r="P233" s="297">
        <v>0.32292648347659642</v>
      </c>
      <c r="Q233" s="297">
        <v>0.32292648347659642</v>
      </c>
      <c r="R233" s="297">
        <v>0.32292648347659642</v>
      </c>
      <c r="S233" s="297">
        <v>0.32292648347659642</v>
      </c>
      <c r="T233" s="297">
        <v>0.32292648347659642</v>
      </c>
      <c r="U233" s="297">
        <v>0.32292648347659642</v>
      </c>
      <c r="V233" s="297">
        <v>0.32292648347659642</v>
      </c>
      <c r="W233" s="297">
        <v>0.32292648347659642</v>
      </c>
      <c r="X233" s="297">
        <v>0.32292648347659642</v>
      </c>
      <c r="Y233" s="417">
        <v>0</v>
      </c>
      <c r="Z233" s="417">
        <v>0</v>
      </c>
      <c r="AA233" s="417">
        <v>1</v>
      </c>
      <c r="AB233" s="417"/>
      <c r="AC233" s="417"/>
      <c r="AD233" s="417"/>
      <c r="AE233" s="417"/>
      <c r="AF233" s="417"/>
      <c r="AG233" s="417"/>
      <c r="AH233" s="417"/>
      <c r="AI233" s="417"/>
      <c r="AJ233" s="417"/>
      <c r="AK233" s="417"/>
      <c r="AL233" s="417"/>
      <c r="AM233" s="298">
        <f>SUM(Y233:AL233)</f>
        <v>1</v>
      </c>
    </row>
    <row r="234" spans="1:39" ht="15" hidden="1" outlineLevel="1">
      <c r="B234" s="296" t="s">
        <v>245</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1</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5"/>
    </row>
    <row r="235" spans="1:39" ht="15.75" hidden="1" outlineLevel="1">
      <c r="A235" s="512"/>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hidden="1" outlineLevel="1">
      <c r="A236" s="509">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hidden="1" outlineLevel="1">
      <c r="B237" s="296" t="s">
        <v>245</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5"/>
    </row>
    <row r="238" spans="1:39" ht="15" hidden="1" outlineLevel="1">
      <c r="A238" s="512"/>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hidden="1" outlineLevel="1">
      <c r="A239" s="509">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hidden="1" outlineLevel="1">
      <c r="B240" s="326" t="s">
        <v>245</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5"/>
    </row>
    <row r="241" spans="1:39" ht="15" hidden="1"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hidden="1" outlineLevel="1">
      <c r="A242" s="509">
        <v>30</v>
      </c>
      <c r="B242" s="326" t="s">
        <v>490</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hidden="1" outlineLevel="1">
      <c r="A243" s="509"/>
      <c r="B243" s="326" t="s">
        <v>245</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5"/>
    </row>
    <row r="244" spans="1:39" s="285" customFormat="1" ht="15" hidden="1" outlineLevel="1">
      <c r="A244" s="509"/>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hidden="1" outlineLevel="1">
      <c r="A245" s="509"/>
      <c r="B245" s="290" t="s">
        <v>491</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hidden="1" outlineLevel="1">
      <c r="A246" s="509">
        <v>31</v>
      </c>
      <c r="B246" s="326" t="s">
        <v>492</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hidden="1" outlineLevel="1">
      <c r="A247" s="509"/>
      <c r="B247" s="326" t="s">
        <v>245</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5"/>
    </row>
    <row r="248" spans="1:39" s="285" customFormat="1" ht="15" hidden="1" outlineLevel="1">
      <c r="A248" s="509"/>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hidden="1" outlineLevel="1">
      <c r="A249" s="509">
        <v>32</v>
      </c>
      <c r="B249" s="326" t="s">
        <v>493</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hidden="1" outlineLevel="1">
      <c r="A250" s="509"/>
      <c r="B250" s="326" t="s">
        <v>245</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5"/>
    </row>
    <row r="251" spans="1:39" s="285" customFormat="1" ht="15" hidden="1" outlineLevel="1">
      <c r="A251" s="509"/>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hidden="1" outlineLevel="1">
      <c r="A252" s="509">
        <v>33</v>
      </c>
      <c r="B252" s="326" t="s">
        <v>494</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hidden="1" outlineLevel="1">
      <c r="A253" s="509"/>
      <c r="B253" s="326" t="s">
        <v>245</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5"/>
    </row>
    <row r="254" spans="1:39" ht="15" hidden="1"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ollapsed="1">
      <c r="B255" s="329" t="s">
        <v>246</v>
      </c>
      <c r="C255" s="331"/>
      <c r="D255" s="331">
        <f>SUM(D150:D253)</f>
        <v>1720378.7304337192</v>
      </c>
      <c r="E255" s="331"/>
      <c r="F255" s="331"/>
      <c r="G255" s="331"/>
      <c r="H255" s="331"/>
      <c r="I255" s="331"/>
      <c r="J255" s="331"/>
      <c r="K255" s="331"/>
      <c r="L255" s="331"/>
      <c r="M255" s="331"/>
      <c r="N255" s="331"/>
      <c r="O255" s="331">
        <f>SUM(O150:O253)</f>
        <v>390.51831965121227</v>
      </c>
      <c r="P255" s="331"/>
      <c r="Q255" s="331"/>
      <c r="R255" s="331"/>
      <c r="S255" s="331"/>
      <c r="T255" s="331"/>
      <c r="U255" s="331"/>
      <c r="V255" s="331"/>
      <c r="W255" s="331"/>
      <c r="X255" s="331"/>
      <c r="Y255" s="331">
        <f>IF(Y149="kWh",SUMPRODUCT(D150:D253,Y150:Y253))</f>
        <v>182798.36813494764</v>
      </c>
      <c r="Z255" s="331">
        <f>IF(Z149="kWh",SUMPRODUCT(D150:D253,Z150:Z253))</f>
        <v>637415.92295150179</v>
      </c>
      <c r="AA255" s="331">
        <f>IF(AA149="kW",SUMPRODUCT(N150:N253,O150:O253,AA150:AA253),SUMPRODUCT(D150:D253,AA150:AA253))</f>
        <v>2117.1805103361776</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247</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1.6799999999999999E-2</v>
      </c>
      <c r="Z258" s="343">
        <f>HLOOKUP(Z$20,'3.  Distribution Rates'!$C$122:$P$133,4,FALSE)</f>
        <v>1.12E-2</v>
      </c>
      <c r="AA258" s="343">
        <f>HLOOKUP(AA$20,'3.  Distribution Rates'!$C$122:$P$133,4,FALSE)</f>
        <v>2.6152000000000002</v>
      </c>
      <c r="AB258" s="343">
        <f>HLOOKUP(AB$20,'3.  Distribution Rates'!$C$122:$P$133,4,FALSE)</f>
        <v>13.776899999999999</v>
      </c>
      <c r="AC258" s="343">
        <f>HLOOKUP(AC$20,'3.  Distribution Rates'!$C$122:$P$133,4,FALSE)</f>
        <v>1.7000000000000001E-2</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4364.6339894537041</v>
      </c>
      <c r="Z259" s="380">
        <f t="shared" si="70"/>
        <v>2972.5534375338557</v>
      </c>
      <c r="AA259" s="380">
        <f t="shared" si="70"/>
        <v>1578.2448580478338</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29">
        <f>SUM(Y259:AL259)</f>
        <v>8915.4322850353929</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3071.0125846671203</v>
      </c>
      <c r="Z260" s="380">
        <f t="shared" si="71"/>
        <v>7139.0583370568202</v>
      </c>
      <c r="AA260" s="381">
        <f t="shared" si="71"/>
        <v>5536.8504706311724</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29">
        <f>SUM(Y260:AL260)</f>
        <v>15746.921392355112</v>
      </c>
    </row>
    <row r="261" spans="1:41" s="382" customFormat="1" ht="15.75">
      <c r="A261" s="511"/>
      <c r="B261" s="351" t="s">
        <v>255</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7435.6465741208249</v>
      </c>
      <c r="Z261" s="348">
        <f t="shared" ref="Z261:AE261" si="73">SUM(Z259:Z260)</f>
        <v>10111.611774590676</v>
      </c>
      <c r="AA261" s="348">
        <f t="shared" si="73"/>
        <v>7115.0953286790063</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24662.353677390507</v>
      </c>
    </row>
    <row r="262" spans="1:41" s="382" customFormat="1" ht="15.75">
      <c r="A262" s="511"/>
      <c r="B262" s="351" t="s">
        <v>248</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1"/>
      <c r="B263" s="351" t="s">
        <v>256</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24662.353677390507</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182798.36818072401</v>
      </c>
      <c r="Z265" s="293">
        <f>SUMPRODUCT(E150:E253,Z150:Z253)</f>
        <v>629827.47439789714</v>
      </c>
      <c r="AA265" s="293">
        <f>IF(AA149="kW",SUMPRODUCT(N150:N253,P150:P253,AA150:AA253),SUMPRODUCT(E150:E253,AA150:AA253))</f>
        <v>2043.9360802831745</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182798.36818072401</v>
      </c>
      <c r="Z266" s="293">
        <f>SUMPRODUCT(F150:F253,Z150:Z253)</f>
        <v>629297.01234217582</v>
      </c>
      <c r="AA266" s="293">
        <f>IF(AA149="kW",SUMPRODUCT(N150:N253,Q150:Q253,AA150:AA253),SUMPRODUCT(F150:F253,AA150:AA253))</f>
        <v>2038.8160098680453</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181956.93527149782</v>
      </c>
      <c r="Z267" s="293">
        <f>SUMPRODUCT(G150:G253,Z150:Z253)</f>
        <v>553022.66172791412</v>
      </c>
      <c r="AA267" s="293">
        <f>IF(AA149="kW",SUMPRODUCT(N150:N253,R150:R253,AA150:AA253),SUMPRODUCT(G150:G253,AA150:AA253))</f>
        <v>1918.8353550262857</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161602.94655746734</v>
      </c>
      <c r="Z268" s="293">
        <f>SUMPRODUCT(H150:H253,Z150:Z253)</f>
        <v>553022.66172791412</v>
      </c>
      <c r="AA268" s="293">
        <f>IF(AA149="kW",SUMPRODUCT(N150:N253,S150:S253,AA150:AA253),SUMPRODUCT(H150:H253,AA150:AA253))</f>
        <v>1918.8353550262857</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121505.36898959364</v>
      </c>
      <c r="Z269" s="293">
        <f>SUMPRODUCT(I150:I253,Z150:Z253)</f>
        <v>457162.83560447826</v>
      </c>
      <c r="AA269" s="293">
        <f>IF(AA149="kW",SUMPRODUCT(N150:N253,T150:T253,AA150:AA253),SUMPRODUCT(I150:I253,AA150:AA253))</f>
        <v>1909.8700611046779</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101166.14940672874</v>
      </c>
      <c r="Z270" s="293">
        <f>SUMPRODUCT(J150:J253,Z150:Z253)</f>
        <v>452433.01127994357</v>
      </c>
      <c r="AA270" s="293">
        <f>IF(AA149="kW",SUMPRODUCT(N150:N253,U150:U253,AA150:AA253),SUMPRODUCT(J150:J253,AA150:AA253))</f>
        <v>1859.8207523646508</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100336.37840540743</v>
      </c>
      <c r="Z271" s="293">
        <f>SUMPRODUCT(K150:K253,Z150:Z253)</f>
        <v>452433.01127994357</v>
      </c>
      <c r="AA271" s="293">
        <f>IF(AA149="kW",SUMPRODUCT(N150:N253,V150:V253,AA150:AA253),SUMPRODUCT(K150:K253,AA150:AA253))</f>
        <v>1859.8207523646508</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91876.378405407435</v>
      </c>
      <c r="Z272" s="328">
        <f>SUMPRODUCT(L150:L253,Z150:Z253)</f>
        <v>426996.13132541295</v>
      </c>
      <c r="AA272" s="328">
        <f>IF(AA149="kW",SUMPRODUCT(N150:N253,W150:W253,AA150:AA253),SUMPRODUCT(L150:L253,AA150:AA253))</f>
        <v>1637.3023887462239</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591</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249</v>
      </c>
      <c r="C275" s="283"/>
      <c r="D275" s="592" t="s">
        <v>527</v>
      </c>
      <c r="E275" s="590"/>
      <c r="O275" s="283"/>
      <c r="Y275" s="272"/>
      <c r="Z275" s="269"/>
      <c r="AA275" s="269"/>
      <c r="AB275" s="269"/>
      <c r="AC275" s="269"/>
      <c r="AD275" s="269"/>
      <c r="AE275" s="269"/>
      <c r="AF275" s="269"/>
      <c r="AG275" s="269"/>
      <c r="AH275" s="269"/>
      <c r="AI275" s="269"/>
      <c r="AJ275" s="269"/>
      <c r="AK275" s="269"/>
      <c r="AL275" s="269"/>
      <c r="AM275" s="284"/>
    </row>
    <row r="276" spans="1:39" ht="33" customHeight="1">
      <c r="B276" s="800" t="s">
        <v>212</v>
      </c>
      <c r="C276" s="802" t="s">
        <v>33</v>
      </c>
      <c r="D276" s="286" t="s">
        <v>423</v>
      </c>
      <c r="E276" s="804" t="s">
        <v>210</v>
      </c>
      <c r="F276" s="805"/>
      <c r="G276" s="805"/>
      <c r="H276" s="805"/>
      <c r="I276" s="805"/>
      <c r="J276" s="805"/>
      <c r="K276" s="805"/>
      <c r="L276" s="805"/>
      <c r="M276" s="806"/>
      <c r="N276" s="810" t="s">
        <v>214</v>
      </c>
      <c r="O276" s="286" t="s">
        <v>424</v>
      </c>
      <c r="P276" s="804" t="s">
        <v>213</v>
      </c>
      <c r="Q276" s="805"/>
      <c r="R276" s="805"/>
      <c r="S276" s="805"/>
      <c r="T276" s="805"/>
      <c r="U276" s="805"/>
      <c r="V276" s="805"/>
      <c r="W276" s="805"/>
      <c r="X276" s="806"/>
      <c r="Y276" s="807" t="s">
        <v>244</v>
      </c>
      <c r="Z276" s="808"/>
      <c r="AA276" s="808"/>
      <c r="AB276" s="808"/>
      <c r="AC276" s="808"/>
      <c r="AD276" s="808"/>
      <c r="AE276" s="808"/>
      <c r="AF276" s="808"/>
      <c r="AG276" s="808"/>
      <c r="AH276" s="808"/>
      <c r="AI276" s="808"/>
      <c r="AJ276" s="808"/>
      <c r="AK276" s="808"/>
      <c r="AL276" s="808"/>
      <c r="AM276" s="809"/>
    </row>
    <row r="277" spans="1:39" ht="60.75" customHeight="1">
      <c r="B277" s="801"/>
      <c r="C277" s="803"/>
      <c r="D277" s="287">
        <v>2013</v>
      </c>
      <c r="E277" s="287">
        <v>2014</v>
      </c>
      <c r="F277" s="287">
        <v>2015</v>
      </c>
      <c r="G277" s="287">
        <v>2016</v>
      </c>
      <c r="H277" s="287">
        <v>2017</v>
      </c>
      <c r="I277" s="287">
        <v>2018</v>
      </c>
      <c r="J277" s="287">
        <v>2019</v>
      </c>
      <c r="K277" s="287">
        <v>2020</v>
      </c>
      <c r="L277" s="287">
        <v>2021</v>
      </c>
      <c r="M277" s="287">
        <v>2022</v>
      </c>
      <c r="N277" s="811"/>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 kW</v>
      </c>
      <c r="AB277" s="287" t="str">
        <f>'1.  LRAMVA Summary'!G50</f>
        <v>Streetlights</v>
      </c>
      <c r="AC277" s="287" t="str">
        <f>'1.  LRAMVA Summary'!H50</f>
        <v>Unmetered Scattered Load</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0"/>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KWh</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hidden="1" outlineLevel="1">
      <c r="A279" s="509">
        <v>1</v>
      </c>
      <c r="B279" s="296" t="s">
        <v>1</v>
      </c>
      <c r="C279" s="293" t="s">
        <v>25</v>
      </c>
      <c r="D279" s="297">
        <v>19121.613504303874</v>
      </c>
      <c r="E279" s="297">
        <v>19121.613504303874</v>
      </c>
      <c r="F279" s="297">
        <v>19121.613504303874</v>
      </c>
      <c r="G279" s="297">
        <v>19019.068985970542</v>
      </c>
      <c r="H279" s="297">
        <v>10735.90253343334</v>
      </c>
      <c r="I279" s="297">
        <v>0</v>
      </c>
      <c r="J279" s="297">
        <v>0</v>
      </c>
      <c r="K279" s="297">
        <v>0</v>
      </c>
      <c r="L279" s="297">
        <v>0</v>
      </c>
      <c r="M279" s="297">
        <v>0</v>
      </c>
      <c r="N279" s="293"/>
      <c r="O279" s="297">
        <v>2.9523212232111886</v>
      </c>
      <c r="P279" s="297">
        <v>2.9523212232111886</v>
      </c>
      <c r="Q279" s="297">
        <v>2.9523212232111886</v>
      </c>
      <c r="R279" s="297">
        <v>2.847537193591164</v>
      </c>
      <c r="S279" s="297">
        <v>1.5778427170262748</v>
      </c>
      <c r="T279" s="297">
        <v>0</v>
      </c>
      <c r="U279" s="297">
        <v>0</v>
      </c>
      <c r="V279" s="297">
        <v>0</v>
      </c>
      <c r="W279" s="297">
        <v>0</v>
      </c>
      <c r="X279" s="297">
        <v>0</v>
      </c>
      <c r="Y279" s="417">
        <v>1</v>
      </c>
      <c r="Z279" s="417">
        <v>0</v>
      </c>
      <c r="AA279" s="417">
        <v>0</v>
      </c>
      <c r="AB279" s="412"/>
      <c r="AC279" s="412"/>
      <c r="AD279" s="412"/>
      <c r="AE279" s="412"/>
      <c r="AF279" s="412"/>
      <c r="AG279" s="412"/>
      <c r="AH279" s="412"/>
      <c r="AI279" s="412"/>
      <c r="AJ279" s="412"/>
      <c r="AK279" s="412"/>
      <c r="AL279" s="412"/>
      <c r="AM279" s="298">
        <f>SUM(Y279:AL279)</f>
        <v>1</v>
      </c>
    </row>
    <row r="280" spans="1:39" ht="15" hidden="1" outlineLevel="1">
      <c r="B280" s="296" t="s">
        <v>250</v>
      </c>
      <c r="C280" s="293" t="s">
        <v>164</v>
      </c>
      <c r="D280" s="297"/>
      <c r="E280" s="297"/>
      <c r="F280" s="297"/>
      <c r="G280" s="297"/>
      <c r="H280" s="297"/>
      <c r="I280" s="297"/>
      <c r="J280" s="297"/>
      <c r="K280" s="297"/>
      <c r="L280" s="297"/>
      <c r="M280" s="297"/>
      <c r="N280" s="469"/>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hidden="1" outlineLevel="1">
      <c r="A281" s="511"/>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hidden="1" outlineLevel="1">
      <c r="A282" s="509">
        <v>2</v>
      </c>
      <c r="B282" s="296" t="s">
        <v>2</v>
      </c>
      <c r="C282" s="293" t="s">
        <v>25</v>
      </c>
      <c r="D282" s="297">
        <v>7758.2374371089982</v>
      </c>
      <c r="E282" s="297">
        <v>7758.2374371089982</v>
      </c>
      <c r="F282" s="297">
        <v>7758.2374371089982</v>
      </c>
      <c r="G282" s="297">
        <v>7758.2374371089982</v>
      </c>
      <c r="H282" s="297">
        <v>0</v>
      </c>
      <c r="I282" s="297">
        <v>0</v>
      </c>
      <c r="J282" s="297">
        <v>0</v>
      </c>
      <c r="K282" s="297">
        <v>0</v>
      </c>
      <c r="L282" s="297">
        <v>0</v>
      </c>
      <c r="M282" s="297">
        <v>0</v>
      </c>
      <c r="N282" s="293"/>
      <c r="O282" s="297">
        <v>4.3510760798331551</v>
      </c>
      <c r="P282" s="297">
        <v>4.3510760798331551</v>
      </c>
      <c r="Q282" s="297">
        <v>4.3510760798331551</v>
      </c>
      <c r="R282" s="297">
        <v>4.3510760798331551</v>
      </c>
      <c r="S282" s="297">
        <v>0</v>
      </c>
      <c r="T282" s="297">
        <v>0</v>
      </c>
      <c r="U282" s="297">
        <v>0</v>
      </c>
      <c r="V282" s="297">
        <v>0</v>
      </c>
      <c r="W282" s="297">
        <v>0</v>
      </c>
      <c r="X282" s="297">
        <v>0</v>
      </c>
      <c r="Y282" s="417">
        <v>1</v>
      </c>
      <c r="Z282" s="417">
        <v>0</v>
      </c>
      <c r="AA282" s="417">
        <v>0</v>
      </c>
      <c r="AB282" s="412"/>
      <c r="AC282" s="412"/>
      <c r="AD282" s="412"/>
      <c r="AE282" s="412"/>
      <c r="AF282" s="412"/>
      <c r="AG282" s="412"/>
      <c r="AH282" s="412"/>
      <c r="AI282" s="412"/>
      <c r="AJ282" s="412"/>
      <c r="AK282" s="412"/>
      <c r="AL282" s="412"/>
      <c r="AM282" s="298">
        <f>SUM(Y282:AL282)</f>
        <v>1</v>
      </c>
    </row>
    <row r="283" spans="1:39" ht="15" hidden="1" outlineLevel="1">
      <c r="B283" s="296" t="s">
        <v>250</v>
      </c>
      <c r="C283" s="293" t="s">
        <v>164</v>
      </c>
      <c r="D283" s="297"/>
      <c r="E283" s="297"/>
      <c r="F283" s="297"/>
      <c r="G283" s="297"/>
      <c r="H283" s="297"/>
      <c r="I283" s="297"/>
      <c r="J283" s="297"/>
      <c r="K283" s="297"/>
      <c r="L283" s="297"/>
      <c r="M283" s="297"/>
      <c r="N283" s="469"/>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hidden="1" outlineLevel="1">
      <c r="A284" s="511"/>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hidden="1" outlineLevel="1">
      <c r="A285" s="509">
        <v>3</v>
      </c>
      <c r="B285" s="296" t="s">
        <v>3</v>
      </c>
      <c r="C285" s="293" t="s">
        <v>25</v>
      </c>
      <c r="D285" s="297">
        <v>63246.155788642405</v>
      </c>
      <c r="E285" s="297">
        <v>63246.155788642405</v>
      </c>
      <c r="F285" s="297">
        <v>63246.155788642405</v>
      </c>
      <c r="G285" s="297">
        <v>63246.155788642405</v>
      </c>
      <c r="H285" s="297">
        <v>63246.155788642405</v>
      </c>
      <c r="I285" s="297">
        <v>63246.155788642405</v>
      </c>
      <c r="J285" s="297">
        <v>63246.155788642405</v>
      </c>
      <c r="K285" s="297">
        <v>63246.155788642405</v>
      </c>
      <c r="L285" s="297">
        <v>63246.155788642405</v>
      </c>
      <c r="M285" s="297">
        <v>63246.155788642405</v>
      </c>
      <c r="N285" s="293"/>
      <c r="O285" s="297">
        <v>34.690399470213158</v>
      </c>
      <c r="P285" s="297">
        <v>34.690399470213158</v>
      </c>
      <c r="Q285" s="297">
        <v>34.690399470213158</v>
      </c>
      <c r="R285" s="297">
        <v>34.690399470213158</v>
      </c>
      <c r="S285" s="297">
        <v>34.690399470213158</v>
      </c>
      <c r="T285" s="297">
        <v>34.690399470213158</v>
      </c>
      <c r="U285" s="297">
        <v>34.690399470213158</v>
      </c>
      <c r="V285" s="297">
        <v>34.690399470213158</v>
      </c>
      <c r="W285" s="297">
        <v>34.690399470213158</v>
      </c>
      <c r="X285" s="297">
        <v>34.690399470213158</v>
      </c>
      <c r="Y285" s="417">
        <v>1</v>
      </c>
      <c r="Z285" s="417">
        <v>0</v>
      </c>
      <c r="AA285" s="417">
        <v>0</v>
      </c>
      <c r="AB285" s="412"/>
      <c r="AC285" s="412"/>
      <c r="AD285" s="412"/>
      <c r="AE285" s="412"/>
      <c r="AF285" s="412"/>
      <c r="AG285" s="412"/>
      <c r="AH285" s="412"/>
      <c r="AI285" s="412"/>
      <c r="AJ285" s="412"/>
      <c r="AK285" s="412"/>
      <c r="AL285" s="412"/>
      <c r="AM285" s="298">
        <f>SUM(Y285:AL285)</f>
        <v>1</v>
      </c>
    </row>
    <row r="286" spans="1:39" ht="15" hidden="1" outlineLevel="1">
      <c r="B286" s="296" t="s">
        <v>250</v>
      </c>
      <c r="C286" s="293" t="s">
        <v>164</v>
      </c>
      <c r="D286" s="297"/>
      <c r="E286" s="297"/>
      <c r="F286" s="297"/>
      <c r="G286" s="297"/>
      <c r="H286" s="297"/>
      <c r="I286" s="297"/>
      <c r="J286" s="297"/>
      <c r="K286" s="297"/>
      <c r="L286" s="297"/>
      <c r="M286" s="297"/>
      <c r="N286" s="469"/>
      <c r="O286" s="297"/>
      <c r="P286" s="297"/>
      <c r="Q286" s="297"/>
      <c r="R286" s="297"/>
      <c r="S286" s="297"/>
      <c r="T286" s="297"/>
      <c r="U286" s="297"/>
      <c r="V286" s="297"/>
      <c r="W286" s="297"/>
      <c r="X286" s="297"/>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hidden="1"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hidden="1" outlineLevel="1">
      <c r="A288" s="509">
        <v>4</v>
      </c>
      <c r="B288" s="296" t="s">
        <v>4</v>
      </c>
      <c r="C288" s="293" t="s">
        <v>25</v>
      </c>
      <c r="D288" s="297">
        <v>22093</v>
      </c>
      <c r="E288" s="297">
        <v>22093</v>
      </c>
      <c r="F288" s="297">
        <v>20610.459973497607</v>
      </c>
      <c r="G288" s="297">
        <v>19894.005094043372</v>
      </c>
      <c r="H288" s="297">
        <v>19894.005094043372</v>
      </c>
      <c r="I288" s="297">
        <v>19894.005094043372</v>
      </c>
      <c r="J288" s="297">
        <v>19894.005094043372</v>
      </c>
      <c r="K288" s="297">
        <v>19894.005094043372</v>
      </c>
      <c r="L288" s="297">
        <v>19040.172781679059</v>
      </c>
      <c r="M288" s="297">
        <v>19040.172781679059</v>
      </c>
      <c r="N288" s="293"/>
      <c r="O288" s="297">
        <v>1</v>
      </c>
      <c r="P288" s="297">
        <v>0.93289548605882433</v>
      </c>
      <c r="Q288" s="297">
        <v>0.90046644158979638</v>
      </c>
      <c r="R288" s="297">
        <v>0.90046644158979638</v>
      </c>
      <c r="S288" s="297">
        <v>0.90046644158979638</v>
      </c>
      <c r="T288" s="297">
        <v>0.90046644158979638</v>
      </c>
      <c r="U288" s="297">
        <v>0.90046644158979638</v>
      </c>
      <c r="V288" s="297">
        <v>0.86181925413837235</v>
      </c>
      <c r="W288" s="297">
        <v>0.86181925413837235</v>
      </c>
      <c r="X288" s="297">
        <v>0.71400096049362416</v>
      </c>
      <c r="Y288" s="417">
        <v>1</v>
      </c>
      <c r="Z288" s="417">
        <v>0</v>
      </c>
      <c r="AA288" s="417">
        <v>0</v>
      </c>
      <c r="AB288" s="412"/>
      <c r="AC288" s="412"/>
      <c r="AD288" s="412"/>
      <c r="AE288" s="412"/>
      <c r="AF288" s="412"/>
      <c r="AG288" s="412"/>
      <c r="AH288" s="412"/>
      <c r="AI288" s="412"/>
      <c r="AJ288" s="412"/>
      <c r="AK288" s="412"/>
      <c r="AL288" s="412"/>
      <c r="AM288" s="298">
        <f>SUM(Y288:AL288)</f>
        <v>1</v>
      </c>
    </row>
    <row r="289" spans="1:39" ht="15" hidden="1" outlineLevel="1">
      <c r="B289" s="296" t="s">
        <v>250</v>
      </c>
      <c r="C289" s="293" t="s">
        <v>164</v>
      </c>
      <c r="D289" s="297"/>
      <c r="E289" s="297"/>
      <c r="F289" s="297"/>
      <c r="G289" s="297"/>
      <c r="H289" s="297"/>
      <c r="I289" s="297"/>
      <c r="J289" s="297"/>
      <c r="K289" s="297"/>
      <c r="L289" s="297"/>
      <c r="M289" s="297"/>
      <c r="N289" s="469"/>
      <c r="O289" s="297"/>
      <c r="P289" s="297"/>
      <c r="Q289" s="297"/>
      <c r="R289" s="297"/>
      <c r="S289" s="297"/>
      <c r="T289" s="297"/>
      <c r="U289" s="297"/>
      <c r="V289" s="297"/>
      <c r="W289" s="297"/>
      <c r="X289" s="297"/>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hidden="1"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hidden="1" outlineLevel="1">
      <c r="A291" s="509">
        <v>5</v>
      </c>
      <c r="B291" s="296" t="s">
        <v>5</v>
      </c>
      <c r="C291" s="293" t="s">
        <v>25</v>
      </c>
      <c r="D291" s="297">
        <v>49096</v>
      </c>
      <c r="E291" s="297">
        <v>49096</v>
      </c>
      <c r="F291" s="297">
        <v>42590.261380968041</v>
      </c>
      <c r="G291" s="297">
        <v>39199.830635316241</v>
      </c>
      <c r="H291" s="297">
        <v>39199.830635316241</v>
      </c>
      <c r="I291" s="297">
        <v>39199.830635316241</v>
      </c>
      <c r="J291" s="297">
        <v>39199.830635316241</v>
      </c>
      <c r="K291" s="297">
        <v>39199.830635316241</v>
      </c>
      <c r="L291" s="297">
        <v>39182.849863746684</v>
      </c>
      <c r="M291" s="297">
        <v>39182.849863746684</v>
      </c>
      <c r="N291" s="293"/>
      <c r="O291" s="297">
        <v>3</v>
      </c>
      <c r="P291" s="297">
        <v>2.6024683099010941</v>
      </c>
      <c r="Q291" s="297">
        <v>2.3952968043414682</v>
      </c>
      <c r="R291" s="297">
        <v>2.3952968043414682</v>
      </c>
      <c r="S291" s="297">
        <v>2.3952968043414682</v>
      </c>
      <c r="T291" s="297">
        <v>2.3952968043414682</v>
      </c>
      <c r="U291" s="297">
        <v>2.3952968043414682</v>
      </c>
      <c r="V291" s="297">
        <v>2.3942591981269361</v>
      </c>
      <c r="W291" s="297">
        <v>2.3942591981269361</v>
      </c>
      <c r="X291" s="297">
        <v>2.2267940713945822</v>
      </c>
      <c r="Y291" s="417">
        <v>1</v>
      </c>
      <c r="Z291" s="417">
        <v>0</v>
      </c>
      <c r="AA291" s="417">
        <v>0</v>
      </c>
      <c r="AB291" s="412"/>
      <c r="AC291" s="412"/>
      <c r="AD291" s="412"/>
      <c r="AE291" s="412"/>
      <c r="AF291" s="412"/>
      <c r="AG291" s="412"/>
      <c r="AH291" s="412"/>
      <c r="AI291" s="412"/>
      <c r="AJ291" s="412"/>
      <c r="AK291" s="412"/>
      <c r="AL291" s="412"/>
      <c r="AM291" s="298">
        <f>SUM(Y291:AL291)</f>
        <v>1</v>
      </c>
    </row>
    <row r="292" spans="1:39" ht="15" hidden="1" outlineLevel="1">
      <c r="B292" s="296" t="s">
        <v>250</v>
      </c>
      <c r="C292" s="293" t="s">
        <v>164</v>
      </c>
      <c r="D292" s="297"/>
      <c r="E292" s="297"/>
      <c r="F292" s="297"/>
      <c r="G292" s="297"/>
      <c r="H292" s="297"/>
      <c r="I292" s="297"/>
      <c r="J292" s="297"/>
      <c r="K292" s="297"/>
      <c r="L292" s="297"/>
      <c r="M292" s="297"/>
      <c r="N292" s="469"/>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hidden="1"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hidden="1" outlineLevel="1">
      <c r="A294" s="509">
        <v>6</v>
      </c>
      <c r="B294" s="296" t="s">
        <v>6</v>
      </c>
      <c r="C294" s="293" t="s">
        <v>25</v>
      </c>
      <c r="D294" s="297" t="s">
        <v>701</v>
      </c>
      <c r="E294" s="297" t="s">
        <v>701</v>
      </c>
      <c r="F294" s="297" t="s">
        <v>701</v>
      </c>
      <c r="G294" s="297" t="s">
        <v>701</v>
      </c>
      <c r="H294" s="297" t="s">
        <v>701</v>
      </c>
      <c r="I294" s="297" t="s">
        <v>701</v>
      </c>
      <c r="J294" s="297" t="s">
        <v>701</v>
      </c>
      <c r="K294" s="297" t="s">
        <v>701</v>
      </c>
      <c r="L294" s="297" t="s">
        <v>701</v>
      </c>
      <c r="M294" s="297" t="s">
        <v>701</v>
      </c>
      <c r="N294" s="293"/>
      <c r="O294" s="297" t="s">
        <v>701</v>
      </c>
      <c r="P294" s="297" t="s">
        <v>701</v>
      </c>
      <c r="Q294" s="297" t="s">
        <v>701</v>
      </c>
      <c r="R294" s="297" t="s">
        <v>701</v>
      </c>
      <c r="S294" s="297" t="s">
        <v>701</v>
      </c>
      <c r="T294" s="297" t="s">
        <v>701</v>
      </c>
      <c r="U294" s="297" t="s">
        <v>701</v>
      </c>
      <c r="V294" s="297" t="s">
        <v>701</v>
      </c>
      <c r="W294" s="297" t="s">
        <v>701</v>
      </c>
      <c r="X294" s="297" t="s">
        <v>701</v>
      </c>
      <c r="Y294" s="412"/>
      <c r="Z294" s="412"/>
      <c r="AA294" s="412"/>
      <c r="AB294" s="412"/>
      <c r="AC294" s="412"/>
      <c r="AD294" s="412"/>
      <c r="AE294" s="412"/>
      <c r="AF294" s="412"/>
      <c r="AG294" s="412"/>
      <c r="AH294" s="412"/>
      <c r="AI294" s="412"/>
      <c r="AJ294" s="412"/>
      <c r="AK294" s="412"/>
      <c r="AL294" s="412"/>
      <c r="AM294" s="298">
        <f>SUM(Y294:AL294)</f>
        <v>0</v>
      </c>
    </row>
    <row r="295" spans="1:39" ht="15" hidden="1" outlineLevel="1">
      <c r="B295" s="296" t="s">
        <v>250</v>
      </c>
      <c r="C295" s="293" t="s">
        <v>164</v>
      </c>
      <c r="D295" s="297"/>
      <c r="E295" s="297"/>
      <c r="F295" s="297"/>
      <c r="G295" s="297"/>
      <c r="H295" s="297"/>
      <c r="I295" s="297"/>
      <c r="J295" s="297"/>
      <c r="K295" s="297"/>
      <c r="L295" s="297"/>
      <c r="M295" s="297"/>
      <c r="N295" s="469"/>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hidden="1"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hidden="1" outlineLevel="1">
      <c r="A297" s="509">
        <v>7</v>
      </c>
      <c r="B297" s="296" t="s">
        <v>42</v>
      </c>
      <c r="C297" s="293" t="s">
        <v>25</v>
      </c>
      <c r="D297" s="297">
        <v>0</v>
      </c>
      <c r="E297" s="297">
        <v>0</v>
      </c>
      <c r="F297" s="297">
        <v>0</v>
      </c>
      <c r="G297" s="297">
        <v>0</v>
      </c>
      <c r="H297" s="297">
        <v>0</v>
      </c>
      <c r="I297" s="297">
        <v>0</v>
      </c>
      <c r="J297" s="297">
        <v>0</v>
      </c>
      <c r="K297" s="297">
        <v>0</v>
      </c>
      <c r="L297" s="297">
        <v>0</v>
      </c>
      <c r="M297" s="297">
        <v>0</v>
      </c>
      <c r="N297" s="293"/>
      <c r="O297" s="297">
        <v>142.23673700000001</v>
      </c>
      <c r="P297" s="297">
        <v>0</v>
      </c>
      <c r="Q297" s="297">
        <v>0</v>
      </c>
      <c r="R297" s="297">
        <v>0</v>
      </c>
      <c r="S297" s="297">
        <v>0</v>
      </c>
      <c r="T297" s="297">
        <v>0</v>
      </c>
      <c r="U297" s="297">
        <v>0</v>
      </c>
      <c r="V297" s="297">
        <v>0</v>
      </c>
      <c r="W297" s="297">
        <v>0</v>
      </c>
      <c r="X297" s="297">
        <v>0</v>
      </c>
      <c r="Y297" s="417">
        <v>1</v>
      </c>
      <c r="Z297" s="417">
        <v>0</v>
      </c>
      <c r="AA297" s="417">
        <v>0</v>
      </c>
      <c r="AB297" s="412"/>
      <c r="AC297" s="412"/>
      <c r="AD297" s="412"/>
      <c r="AE297" s="412"/>
      <c r="AF297" s="412"/>
      <c r="AG297" s="412"/>
      <c r="AH297" s="412"/>
      <c r="AI297" s="412"/>
      <c r="AJ297" s="412"/>
      <c r="AK297" s="412"/>
      <c r="AL297" s="412"/>
      <c r="AM297" s="298">
        <f>SUM(Y297:AL297)</f>
        <v>1</v>
      </c>
    </row>
    <row r="298" spans="1:39" ht="15" hidden="1" outlineLevel="1">
      <c r="B298" s="296" t="s">
        <v>250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hidden="1"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hidden="1" outlineLevel="1">
      <c r="A300" s="509">
        <v>8</v>
      </c>
      <c r="B300" s="296" t="s">
        <v>486</v>
      </c>
      <c r="C300" s="293" t="s">
        <v>25</v>
      </c>
      <c r="D300" s="297">
        <v>0</v>
      </c>
      <c r="E300" s="297">
        <v>0</v>
      </c>
      <c r="F300" s="297">
        <v>0</v>
      </c>
      <c r="G300" s="297">
        <v>0</v>
      </c>
      <c r="H300" s="297">
        <v>0</v>
      </c>
      <c r="I300" s="297">
        <v>0</v>
      </c>
      <c r="J300" s="297">
        <v>0</v>
      </c>
      <c r="K300" s="297">
        <v>0</v>
      </c>
      <c r="L300" s="297">
        <v>0</v>
      </c>
      <c r="M300" s="297">
        <v>0</v>
      </c>
      <c r="N300" s="293"/>
      <c r="O300" s="297">
        <v>0</v>
      </c>
      <c r="P300" s="297">
        <v>0</v>
      </c>
      <c r="Q300" s="297">
        <v>0</v>
      </c>
      <c r="R300" s="297">
        <v>0</v>
      </c>
      <c r="S300" s="297">
        <v>0</v>
      </c>
      <c r="T300" s="297">
        <v>0</v>
      </c>
      <c r="U300" s="297">
        <v>0</v>
      </c>
      <c r="V300" s="297">
        <v>0</v>
      </c>
      <c r="W300" s="297">
        <v>0</v>
      </c>
      <c r="X300" s="297">
        <v>0</v>
      </c>
      <c r="Y300" s="417">
        <v>1</v>
      </c>
      <c r="Z300" s="417">
        <v>0</v>
      </c>
      <c r="AA300" s="417">
        <v>0</v>
      </c>
      <c r="AB300" s="412"/>
      <c r="AC300" s="412"/>
      <c r="AD300" s="412"/>
      <c r="AE300" s="412"/>
      <c r="AF300" s="412"/>
      <c r="AG300" s="412"/>
      <c r="AH300" s="412"/>
      <c r="AI300" s="412"/>
      <c r="AJ300" s="412"/>
      <c r="AK300" s="412"/>
      <c r="AL300" s="412"/>
      <c r="AM300" s="298">
        <f>SUM(Y300:AL300)</f>
        <v>1</v>
      </c>
    </row>
    <row r="301" spans="1:39" s="285" customFormat="1" ht="15" hidden="1" outlineLevel="1">
      <c r="A301" s="509"/>
      <c r="B301" s="296" t="s">
        <v>250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1</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hidden="1" outlineLevel="1">
      <c r="A302" s="509"/>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hidden="1" outlineLevel="1">
      <c r="A303" s="509">
        <v>9</v>
      </c>
      <c r="B303" s="296" t="s">
        <v>7</v>
      </c>
      <c r="C303" s="293" t="s">
        <v>25</v>
      </c>
      <c r="D303" s="297" t="s">
        <v>701</v>
      </c>
      <c r="E303" s="297" t="s">
        <v>701</v>
      </c>
      <c r="F303" s="297" t="s">
        <v>701</v>
      </c>
      <c r="G303" s="297" t="s">
        <v>701</v>
      </c>
      <c r="H303" s="297" t="s">
        <v>701</v>
      </c>
      <c r="I303" s="297" t="s">
        <v>701</v>
      </c>
      <c r="J303" s="297" t="s">
        <v>701</v>
      </c>
      <c r="K303" s="297" t="s">
        <v>701</v>
      </c>
      <c r="L303" s="297" t="s">
        <v>701</v>
      </c>
      <c r="M303" s="297" t="s">
        <v>701</v>
      </c>
      <c r="N303" s="293"/>
      <c r="O303" s="297" t="s">
        <v>701</v>
      </c>
      <c r="P303" s="297" t="s">
        <v>701</v>
      </c>
      <c r="Q303" s="297" t="s">
        <v>701</v>
      </c>
      <c r="R303" s="297" t="s">
        <v>701</v>
      </c>
      <c r="S303" s="297" t="s">
        <v>701</v>
      </c>
      <c r="T303" s="297" t="s">
        <v>701</v>
      </c>
      <c r="U303" s="297" t="s">
        <v>701</v>
      </c>
      <c r="V303" s="297" t="s">
        <v>701</v>
      </c>
      <c r="W303" s="297" t="s">
        <v>701</v>
      </c>
      <c r="X303" s="297" t="s">
        <v>701</v>
      </c>
      <c r="Y303" s="412"/>
      <c r="Z303" s="412"/>
      <c r="AA303" s="412"/>
      <c r="AB303" s="412"/>
      <c r="AC303" s="412"/>
      <c r="AD303" s="412"/>
      <c r="AE303" s="412"/>
      <c r="AF303" s="412"/>
      <c r="AG303" s="412"/>
      <c r="AH303" s="412"/>
      <c r="AI303" s="412"/>
      <c r="AJ303" s="412"/>
      <c r="AK303" s="412"/>
      <c r="AL303" s="412"/>
      <c r="AM303" s="298">
        <f>SUM(Y303:AL303)</f>
        <v>0</v>
      </c>
    </row>
    <row r="304" spans="1:39" ht="15" hidden="1" outlineLevel="1">
      <c r="B304" s="296" t="s">
        <v>250</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hidden="1"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hidden="1" outlineLevel="1">
      <c r="A306" s="510"/>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hidden="1" outlineLevel="1">
      <c r="A307" s="509">
        <v>10</v>
      </c>
      <c r="B307" s="312" t="s">
        <v>22</v>
      </c>
      <c r="C307" s="293" t="s">
        <v>25</v>
      </c>
      <c r="D307" s="297">
        <v>1047116.7699332014</v>
      </c>
      <c r="E307" s="297">
        <v>1030338.4733909436</v>
      </c>
      <c r="F307" s="297">
        <v>1027108.7872834338</v>
      </c>
      <c r="G307" s="297">
        <v>1027108.7872834338</v>
      </c>
      <c r="H307" s="297">
        <v>1006547.3741691143</v>
      </c>
      <c r="I307" s="297">
        <v>996103.70773962769</v>
      </c>
      <c r="J307" s="297">
        <v>996103.70773962769</v>
      </c>
      <c r="K307" s="297">
        <v>992633.79295179772</v>
      </c>
      <c r="L307" s="297">
        <v>990094.13585562457</v>
      </c>
      <c r="M307" s="297">
        <v>913962.35800350993</v>
      </c>
      <c r="N307" s="297">
        <v>12</v>
      </c>
      <c r="O307" s="297">
        <v>178.8613441561867</v>
      </c>
      <c r="P307" s="297">
        <v>178.8613441561867</v>
      </c>
      <c r="Q307" s="297">
        <v>177.82750514765115</v>
      </c>
      <c r="R307" s="297">
        <v>177.82750514765115</v>
      </c>
      <c r="S307" s="297">
        <v>171.51420577817339</v>
      </c>
      <c r="T307" s="297">
        <v>164.37154174240914</v>
      </c>
      <c r="U307" s="297">
        <v>164.37154174240914</v>
      </c>
      <c r="V307" s="297">
        <v>164.37154174240914</v>
      </c>
      <c r="W307" s="297">
        <v>164.17318850368622</v>
      </c>
      <c r="X307" s="297">
        <v>148.55369093701236</v>
      </c>
      <c r="Y307" s="417">
        <v>0</v>
      </c>
      <c r="Z307" s="417">
        <v>0.39156887341439039</v>
      </c>
      <c r="AA307" s="417">
        <v>0.60843112658560961</v>
      </c>
      <c r="AB307" s="503"/>
      <c r="AC307" s="417"/>
      <c r="AD307" s="417"/>
      <c r="AE307" s="417"/>
      <c r="AF307" s="417"/>
      <c r="AG307" s="417"/>
      <c r="AH307" s="417"/>
      <c r="AI307" s="417"/>
      <c r="AJ307" s="417"/>
      <c r="AK307" s="417"/>
      <c r="AL307" s="417"/>
      <c r="AM307" s="298">
        <f>SUM(Y307:AL307)</f>
        <v>1</v>
      </c>
    </row>
    <row r="308" spans="1:39" ht="15" hidden="1" outlineLevel="1">
      <c r="B308" s="296" t="s">
        <v>250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0.39156887341439039</v>
      </c>
      <c r="AA308" s="413">
        <f t="shared" ref="AA308:AL308" si="86">AA307</f>
        <v>0.60843112658560961</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hidden="1"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hidden="1" outlineLevel="1">
      <c r="A310" s="509">
        <v>11</v>
      </c>
      <c r="B310" s="316" t="s">
        <v>21</v>
      </c>
      <c r="C310" s="293" t="s">
        <v>25</v>
      </c>
      <c r="D310" s="297">
        <v>399272.25947202032</v>
      </c>
      <c r="E310" s="297">
        <v>399272.25947202032</v>
      </c>
      <c r="F310" s="297">
        <v>397003.58726406744</v>
      </c>
      <c r="G310" s="297">
        <v>298359.06338051608</v>
      </c>
      <c r="H310" s="297">
        <v>219011.73278247623</v>
      </c>
      <c r="I310" s="297">
        <v>219011.73278247623</v>
      </c>
      <c r="J310" s="297">
        <v>219011.73278247623</v>
      </c>
      <c r="K310" s="297">
        <v>219011.73278247623</v>
      </c>
      <c r="L310" s="297">
        <v>219011.73278247623</v>
      </c>
      <c r="M310" s="297">
        <v>219011.73278247623</v>
      </c>
      <c r="N310" s="297">
        <v>12</v>
      </c>
      <c r="O310" s="297">
        <v>107.72378851764819</v>
      </c>
      <c r="P310" s="297">
        <v>107.72378851764819</v>
      </c>
      <c r="Q310" s="297">
        <v>107.08467863821971</v>
      </c>
      <c r="R310" s="297">
        <v>81.466509935737179</v>
      </c>
      <c r="S310" s="297">
        <v>56.799909660251458</v>
      </c>
      <c r="T310" s="297">
        <v>56.799909660251458</v>
      </c>
      <c r="U310" s="297">
        <v>56.799909660251458</v>
      </c>
      <c r="V310" s="297">
        <v>56.799909660251458</v>
      </c>
      <c r="W310" s="297">
        <v>56.799909660251458</v>
      </c>
      <c r="X310" s="297">
        <v>56.799909660251458</v>
      </c>
      <c r="Y310" s="417">
        <v>0</v>
      </c>
      <c r="Z310" s="417">
        <v>1</v>
      </c>
      <c r="AA310" s="417">
        <v>0</v>
      </c>
      <c r="AB310" s="417"/>
      <c r="AC310" s="417"/>
      <c r="AD310" s="417"/>
      <c r="AE310" s="417"/>
      <c r="AF310" s="417"/>
      <c r="AG310" s="417"/>
      <c r="AH310" s="417"/>
      <c r="AI310" s="417"/>
      <c r="AJ310" s="417"/>
      <c r="AK310" s="417"/>
      <c r="AL310" s="417"/>
      <c r="AM310" s="298">
        <f>SUM(Y310:AL310)</f>
        <v>1</v>
      </c>
    </row>
    <row r="311" spans="1:39" ht="15" hidden="1" outlineLevel="1">
      <c r="B311" s="296" t="s">
        <v>250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hidden="1"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hidden="1" outlineLevel="1">
      <c r="A313" s="509">
        <v>12</v>
      </c>
      <c r="B313" s="316" t="s">
        <v>23</v>
      </c>
      <c r="C313" s="293" t="s">
        <v>25</v>
      </c>
      <c r="D313" s="297" t="s">
        <v>701</v>
      </c>
      <c r="E313" s="297" t="s">
        <v>701</v>
      </c>
      <c r="F313" s="297" t="s">
        <v>701</v>
      </c>
      <c r="G313" s="297" t="s">
        <v>701</v>
      </c>
      <c r="H313" s="297" t="s">
        <v>701</v>
      </c>
      <c r="I313" s="297" t="s">
        <v>701</v>
      </c>
      <c r="J313" s="297" t="s">
        <v>701</v>
      </c>
      <c r="K313" s="297" t="s">
        <v>701</v>
      </c>
      <c r="L313" s="297" t="s">
        <v>701</v>
      </c>
      <c r="M313" s="297" t="s">
        <v>701</v>
      </c>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hidden="1" outlineLevel="1">
      <c r="B314" s="296" t="s">
        <v>250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hidden="1"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hidden="1" outlineLevel="1">
      <c r="A316" s="509">
        <v>13</v>
      </c>
      <c r="B316" s="316" t="s">
        <v>24</v>
      </c>
      <c r="C316" s="293" t="s">
        <v>25</v>
      </c>
      <c r="D316" s="297" t="s">
        <v>701</v>
      </c>
      <c r="E316" s="297" t="s">
        <v>701</v>
      </c>
      <c r="F316" s="297" t="s">
        <v>701</v>
      </c>
      <c r="G316" s="297" t="s">
        <v>701</v>
      </c>
      <c r="H316" s="297" t="s">
        <v>701</v>
      </c>
      <c r="I316" s="297" t="s">
        <v>701</v>
      </c>
      <c r="J316" s="297" t="s">
        <v>701</v>
      </c>
      <c r="K316" s="297" t="s">
        <v>701</v>
      </c>
      <c r="L316" s="297" t="s">
        <v>701</v>
      </c>
      <c r="M316" s="297" t="s">
        <v>701</v>
      </c>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hidden="1" outlineLevel="1">
      <c r="B317" s="296" t="s">
        <v>250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hidden="1"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hidden="1" outlineLevel="1">
      <c r="A319" s="509">
        <v>14</v>
      </c>
      <c r="B319" s="316" t="s">
        <v>20</v>
      </c>
      <c r="C319" s="293" t="s">
        <v>25</v>
      </c>
      <c r="D319" s="297" t="s">
        <v>701</v>
      </c>
      <c r="E319" s="297" t="s">
        <v>701</v>
      </c>
      <c r="F319" s="297" t="s">
        <v>701</v>
      </c>
      <c r="G319" s="297" t="s">
        <v>701</v>
      </c>
      <c r="H319" s="297" t="s">
        <v>701</v>
      </c>
      <c r="I319" s="297" t="s">
        <v>701</v>
      </c>
      <c r="J319" s="297" t="s">
        <v>701</v>
      </c>
      <c r="K319" s="297" t="s">
        <v>701</v>
      </c>
      <c r="L319" s="297" t="s">
        <v>701</v>
      </c>
      <c r="M319" s="297" t="s">
        <v>701</v>
      </c>
      <c r="N319" s="297">
        <v>12</v>
      </c>
      <c r="O319" s="297"/>
      <c r="P319" s="297"/>
      <c r="Q319" s="297"/>
      <c r="R319" s="297"/>
      <c r="S319" s="297"/>
      <c r="T319" s="297"/>
      <c r="U319" s="297"/>
      <c r="V319" s="297"/>
      <c r="W319" s="297"/>
      <c r="X319" s="297"/>
      <c r="Y319" s="417"/>
      <c r="Z319" s="417"/>
      <c r="AA319" s="503"/>
      <c r="AB319" s="417"/>
      <c r="AC319" s="417"/>
      <c r="AD319" s="417"/>
      <c r="AE319" s="417"/>
      <c r="AF319" s="417"/>
      <c r="AG319" s="417"/>
      <c r="AH319" s="417"/>
      <c r="AI319" s="417"/>
      <c r="AJ319" s="417"/>
      <c r="AK319" s="417"/>
      <c r="AL319" s="417"/>
      <c r="AM319" s="298">
        <f>SUM(Y319:AL319)</f>
        <v>0</v>
      </c>
    </row>
    <row r="320" spans="1:39" ht="15" hidden="1" outlineLevel="1">
      <c r="B320" s="296" t="s">
        <v>250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hidden="1"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hidden="1" outlineLevel="1">
      <c r="A322" s="509">
        <v>15</v>
      </c>
      <c r="B322" s="316" t="s">
        <v>487</v>
      </c>
      <c r="C322" s="293" t="s">
        <v>25</v>
      </c>
      <c r="D322" s="297" t="s">
        <v>701</v>
      </c>
      <c r="E322" s="297" t="s">
        <v>701</v>
      </c>
      <c r="F322" s="297" t="s">
        <v>701</v>
      </c>
      <c r="G322" s="297" t="s">
        <v>701</v>
      </c>
      <c r="H322" s="297" t="s">
        <v>701</v>
      </c>
      <c r="I322" s="297" t="s">
        <v>701</v>
      </c>
      <c r="J322" s="297" t="s">
        <v>701</v>
      </c>
      <c r="K322" s="297" t="s">
        <v>701</v>
      </c>
      <c r="L322" s="297" t="s">
        <v>701</v>
      </c>
      <c r="M322" s="297" t="s">
        <v>701</v>
      </c>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hidden="1" outlineLevel="1">
      <c r="A323" s="509"/>
      <c r="B323" s="317" t="s">
        <v>250</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hidden="1" outlineLevel="1">
      <c r="A324" s="509"/>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hidden="1" outlineLevel="1">
      <c r="A325" s="509">
        <v>16</v>
      </c>
      <c r="B325" s="316" t="s">
        <v>488</v>
      </c>
      <c r="C325" s="293" t="s">
        <v>25</v>
      </c>
      <c r="D325" s="297" t="s">
        <v>701</v>
      </c>
      <c r="E325" s="297" t="s">
        <v>701</v>
      </c>
      <c r="F325" s="297" t="s">
        <v>701</v>
      </c>
      <c r="G325" s="297" t="s">
        <v>701</v>
      </c>
      <c r="H325" s="297" t="s">
        <v>701</v>
      </c>
      <c r="I325" s="297" t="s">
        <v>701</v>
      </c>
      <c r="J325" s="297" t="s">
        <v>701</v>
      </c>
      <c r="K325" s="297" t="s">
        <v>701</v>
      </c>
      <c r="L325" s="297" t="s">
        <v>701</v>
      </c>
      <c r="M325" s="297" t="s">
        <v>701</v>
      </c>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hidden="1" outlineLevel="1">
      <c r="A326" s="509"/>
      <c r="B326" s="317" t="s">
        <v>250</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hidden="1" outlineLevel="1">
      <c r="A327" s="509"/>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hidden="1" outlineLevel="1">
      <c r="A328" s="509">
        <v>17</v>
      </c>
      <c r="B328" s="316" t="s">
        <v>9</v>
      </c>
      <c r="C328" s="293" t="s">
        <v>25</v>
      </c>
      <c r="D328" s="297">
        <v>505</v>
      </c>
      <c r="E328" s="297">
        <v>0</v>
      </c>
      <c r="F328" s="297">
        <v>0</v>
      </c>
      <c r="G328" s="297">
        <v>0</v>
      </c>
      <c r="H328" s="297">
        <v>0</v>
      </c>
      <c r="I328" s="297">
        <v>0</v>
      </c>
      <c r="J328" s="297">
        <v>0</v>
      </c>
      <c r="K328" s="297">
        <v>0</v>
      </c>
      <c r="L328" s="297">
        <v>0</v>
      </c>
      <c r="M328" s="297">
        <v>0</v>
      </c>
      <c r="N328" s="293"/>
      <c r="O328" s="297">
        <v>38</v>
      </c>
      <c r="P328" s="297">
        <v>0</v>
      </c>
      <c r="Q328" s="297">
        <v>0</v>
      </c>
      <c r="R328" s="297">
        <v>0</v>
      </c>
      <c r="S328" s="297">
        <v>0</v>
      </c>
      <c r="T328" s="297">
        <v>0</v>
      </c>
      <c r="U328" s="297">
        <v>0</v>
      </c>
      <c r="V328" s="297">
        <v>0</v>
      </c>
      <c r="W328" s="297">
        <v>0</v>
      </c>
      <c r="X328" s="297">
        <v>0</v>
      </c>
      <c r="Y328" s="417">
        <v>0</v>
      </c>
      <c r="Z328" s="417">
        <v>0</v>
      </c>
      <c r="AA328" s="417">
        <v>1</v>
      </c>
      <c r="AB328" s="417"/>
      <c r="AC328" s="417"/>
      <c r="AD328" s="417"/>
      <c r="AE328" s="417"/>
      <c r="AF328" s="417"/>
      <c r="AG328" s="417"/>
      <c r="AH328" s="417"/>
      <c r="AI328" s="417"/>
      <c r="AJ328" s="417"/>
      <c r="AK328" s="417"/>
      <c r="AL328" s="417"/>
      <c r="AM328" s="298">
        <f>SUM(Y328:AL328)</f>
        <v>1</v>
      </c>
    </row>
    <row r="329" spans="1:39" ht="15" hidden="1" outlineLevel="1">
      <c r="B329" s="296" t="s">
        <v>250</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1</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hidden="1"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hidden="1" outlineLevel="1">
      <c r="A331" s="510"/>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hidden="1" outlineLevel="1">
      <c r="A332" s="509">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hidden="1" outlineLevel="1">
      <c r="B333" s="296" t="s">
        <v>250</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hidden="1" outlineLevel="1">
      <c r="A334" s="512"/>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hidden="1" outlineLevel="1">
      <c r="A335" s="509">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hidden="1" outlineLevel="1">
      <c r="B336" s="296" t="s">
        <v>250</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hidden="1"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hidden="1" outlineLevel="1">
      <c r="A338" s="509">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0"/>
      <c r="AD338" s="417"/>
      <c r="AE338" s="417"/>
      <c r="AF338" s="417"/>
      <c r="AG338" s="417"/>
      <c r="AH338" s="417"/>
      <c r="AI338" s="417"/>
      <c r="AJ338" s="417"/>
      <c r="AK338" s="417"/>
      <c r="AL338" s="417"/>
      <c r="AM338" s="298">
        <f>SUM(Y338:AL338)</f>
        <v>0</v>
      </c>
    </row>
    <row r="339" spans="1:39" ht="15" hidden="1" outlineLevel="1">
      <c r="B339" s="296" t="s">
        <v>250</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hidden="1"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hidden="1" outlineLevel="1">
      <c r="A341" s="509">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hidden="1" outlineLevel="1">
      <c r="B342" s="296" t="s">
        <v>250</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hidden="1"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hidden="1" outlineLevel="1">
      <c r="A344" s="509">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hidden="1" outlineLevel="1">
      <c r="B345" s="296" t="s">
        <v>250</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hidden="1"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hidden="1" outlineLevel="1">
      <c r="A347" s="510"/>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hidden="1" outlineLevel="1">
      <c r="A348" s="509">
        <v>23</v>
      </c>
      <c r="B348" s="317" t="s">
        <v>14</v>
      </c>
      <c r="C348" s="293" t="s">
        <v>25</v>
      </c>
      <c r="D348" s="297">
        <v>24452.999999999993</v>
      </c>
      <c r="E348" s="297">
        <v>24269.952178955071</v>
      </c>
      <c r="F348" s="297">
        <v>24253.311492919915</v>
      </c>
      <c r="G348" s="297">
        <v>21513.347449457426</v>
      </c>
      <c r="H348" s="297">
        <v>19774.383681253639</v>
      </c>
      <c r="I348" s="297">
        <v>18470.96450665985</v>
      </c>
      <c r="J348" s="297">
        <v>17268.340376410826</v>
      </c>
      <c r="K348" s="297">
        <v>16388.49851850067</v>
      </c>
      <c r="L348" s="297">
        <v>5072.1454849243164</v>
      </c>
      <c r="M348" s="297">
        <v>5072.1454849243164</v>
      </c>
      <c r="N348" s="293"/>
      <c r="O348" s="297">
        <v>2.5121929044835269</v>
      </c>
      <c r="P348" s="297">
        <v>2.5026842509396374</v>
      </c>
      <c r="Q348" s="297">
        <v>2.5018198271282017</v>
      </c>
      <c r="R348" s="297">
        <v>2.2270978040266898</v>
      </c>
      <c r="S348" s="297">
        <v>2.0798311721596714</v>
      </c>
      <c r="T348" s="297">
        <v>1.9459278567859808</v>
      </c>
      <c r="U348" s="297">
        <v>1.8834560022855082</v>
      </c>
      <c r="V348" s="297">
        <v>1.8834560022855082</v>
      </c>
      <c r="W348" s="297">
        <v>0.82835080288350582</v>
      </c>
      <c r="X348" s="297">
        <v>0.82835080288350582</v>
      </c>
      <c r="Y348" s="417">
        <v>1</v>
      </c>
      <c r="Z348" s="417">
        <v>0</v>
      </c>
      <c r="AA348" s="417">
        <v>0</v>
      </c>
      <c r="AB348" s="412"/>
      <c r="AC348" s="412"/>
      <c r="AD348" s="412"/>
      <c r="AE348" s="412"/>
      <c r="AF348" s="412"/>
      <c r="AG348" s="412"/>
      <c r="AH348" s="412"/>
      <c r="AI348" s="412"/>
      <c r="AJ348" s="412"/>
      <c r="AK348" s="412"/>
      <c r="AL348" s="412"/>
      <c r="AM348" s="298">
        <f>SUM(Y348:AL348)</f>
        <v>1</v>
      </c>
    </row>
    <row r="349" spans="1:39" ht="15" hidden="1" outlineLevel="1">
      <c r="B349" s="296" t="s">
        <v>250</v>
      </c>
      <c r="C349" s="293" t="s">
        <v>164</v>
      </c>
      <c r="D349" s="297"/>
      <c r="E349" s="297"/>
      <c r="F349" s="297"/>
      <c r="G349" s="297"/>
      <c r="H349" s="297"/>
      <c r="I349" s="297"/>
      <c r="J349" s="297"/>
      <c r="K349" s="297"/>
      <c r="L349" s="297"/>
      <c r="M349" s="297"/>
      <c r="N349" s="469"/>
      <c r="O349" s="297"/>
      <c r="P349" s="297"/>
      <c r="Q349" s="297"/>
      <c r="R349" s="297"/>
      <c r="S349" s="297"/>
      <c r="T349" s="297"/>
      <c r="U349" s="297"/>
      <c r="V349" s="297"/>
      <c r="W349" s="297"/>
      <c r="X349" s="297"/>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hidden="1"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hidden="1" outlineLevel="1">
      <c r="A351" s="510"/>
      <c r="B351" s="290" t="s">
        <v>489</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hidden="1" outlineLevel="1">
      <c r="A352" s="509">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hidden="1" outlineLevel="1">
      <c r="A353" s="509"/>
      <c r="B353" s="317" t="s">
        <v>250</v>
      </c>
      <c r="C353" s="293" t="s">
        <v>164</v>
      </c>
      <c r="D353" s="297"/>
      <c r="E353" s="297"/>
      <c r="F353" s="297"/>
      <c r="G353" s="297"/>
      <c r="H353" s="297"/>
      <c r="I353" s="297"/>
      <c r="J353" s="297"/>
      <c r="K353" s="297"/>
      <c r="L353" s="297"/>
      <c r="M353" s="297"/>
      <c r="N353" s="469"/>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hidden="1" outlineLevel="1">
      <c r="A354" s="509"/>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hidden="1" outlineLevel="1">
      <c r="A355" s="509">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hidden="1" outlineLevel="1">
      <c r="A356" s="509"/>
      <c r="B356" s="317" t="s">
        <v>250</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hidden="1" outlineLevel="1">
      <c r="A357" s="509"/>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hidden="1" outlineLevel="1">
      <c r="A358" s="510"/>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hidden="1" outlineLevel="1">
      <c r="A359" s="509">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hidden="1" outlineLevel="1">
      <c r="B360" s="296" t="s">
        <v>250</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hidden="1" outlineLevel="1">
      <c r="A361" s="512"/>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hidden="1" outlineLevel="1">
      <c r="A362" s="509">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hidden="1" outlineLevel="1">
      <c r="B363" s="296" t="s">
        <v>250</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hidden="1" outlineLevel="1">
      <c r="A364" s="512"/>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hidden="1" outlineLevel="1">
      <c r="A365" s="509">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hidden="1" outlineLevel="1">
      <c r="B366" s="296" t="s">
        <v>250</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hidden="1" outlineLevel="1">
      <c r="A367" s="512"/>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hidden="1" outlineLevel="1">
      <c r="A368" s="509">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hidden="1" outlineLevel="1">
      <c r="B369" s="326" t="s">
        <v>250</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hidden="1"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hidden="1" outlineLevel="1">
      <c r="A371" s="509">
        <v>30</v>
      </c>
      <c r="B371" s="326" t="s">
        <v>490</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hidden="1" outlineLevel="1">
      <c r="A372" s="509"/>
      <c r="B372" s="326" t="s">
        <v>250</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hidden="1" outlineLevel="1">
      <c r="A373" s="509"/>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hidden="1" outlineLevel="1">
      <c r="A374" s="509"/>
      <c r="B374" s="290" t="s">
        <v>491</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hidden="1" outlineLevel="1">
      <c r="A375" s="509">
        <v>31</v>
      </c>
      <c r="B375" s="326" t="s">
        <v>492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hidden="1" outlineLevel="1">
      <c r="A376" s="509"/>
      <c r="B376" s="326" t="s">
        <v>250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hidden="1" outlineLevel="1">
      <c r="A377" s="509"/>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hidden="1" outlineLevel="1">
      <c r="A378" s="509">
        <v>32</v>
      </c>
      <c r="B378" s="326" t="s">
        <v>493</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hidden="1" outlineLevel="1">
      <c r="A379" s="509"/>
      <c r="B379" s="326" t="s">
        <v>250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hidden="1" outlineLevel="1">
      <c r="A380" s="509"/>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hidden="1" outlineLevel="1">
      <c r="A381" s="509">
        <v>33</v>
      </c>
      <c r="B381" s="326" t="s">
        <v>494</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hidden="1" outlineLevel="1">
      <c r="A382" s="509"/>
      <c r="B382" s="326"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hidden="1"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ollapsed="1">
      <c r="B384" s="329" t="s">
        <v>251</v>
      </c>
      <c r="C384" s="331"/>
      <c r="D384" s="331">
        <f>SUM(D279:D382)</f>
        <v>1632662.0361352768</v>
      </c>
      <c r="E384" s="331"/>
      <c r="F384" s="331"/>
      <c r="G384" s="331"/>
      <c r="H384" s="331"/>
      <c r="I384" s="331"/>
      <c r="J384" s="331"/>
      <c r="K384" s="331"/>
      <c r="L384" s="331"/>
      <c r="M384" s="331"/>
      <c r="N384" s="331"/>
      <c r="O384" s="331">
        <f>SUM(O279:O382)</f>
        <v>515.32785935157585</v>
      </c>
      <c r="P384" s="331"/>
      <c r="Q384" s="331"/>
      <c r="R384" s="331"/>
      <c r="S384" s="331"/>
      <c r="T384" s="331"/>
      <c r="U384" s="331"/>
      <c r="V384" s="331"/>
      <c r="W384" s="331"/>
      <c r="X384" s="331"/>
      <c r="Y384" s="331">
        <f>IF(Y278="kWh",SUMPRODUCT(D279:D382,Y279:Y382))</f>
        <v>185768.00673005526</v>
      </c>
      <c r="Z384" s="331">
        <f>IF(Z278="kWh",SUMPRODUCT(D279:D382,Z279:Z382))</f>
        <v>809290.59340807935</v>
      </c>
      <c r="AA384" s="331">
        <f>IF(AA278="kW",SUMPRODUCT(N279:N382,O279:O382,AA279:AA382),SUMPRODUCT(D279:D382,AA279:AA382))</f>
        <v>1305.8977095307812</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252</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1345003</v>
      </c>
      <c r="Z385" s="330">
        <f>HLOOKUP(Z277,'2. LRAMVA Threshold'!$B$42:$Q$53,5,FALSE)</f>
        <v>543085</v>
      </c>
      <c r="AA385" s="330">
        <f>HLOOKUP(AA277,'2. LRAMVA Threshold'!$B$42:$Q$53,5,FALSE)</f>
        <v>10671</v>
      </c>
      <c r="AB385" s="330">
        <f>HLOOKUP(AB277,'2. LRAMVA Threshold'!$B$42:$Q$53,5,FALSE)</f>
        <v>196</v>
      </c>
      <c r="AC385" s="330">
        <f>HLOOKUP(AC277,'2. LRAMVA Threshold'!$B$42:$Q$53,5,FALSE)</f>
        <v>4684</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1.7500000000000002E-2</v>
      </c>
      <c r="Z387" s="343">
        <f>HLOOKUP(Z$20,'3.  Distribution Rates'!$C$122:$P$133,5,FALSE)</f>
        <v>1.18E-2</v>
      </c>
      <c r="AA387" s="343">
        <f>HLOOKUP(AA$20,'3.  Distribution Rates'!$C$122:$P$133,5,FALSE)</f>
        <v>2.7355</v>
      </c>
      <c r="AB387" s="343">
        <f>HLOOKUP(AB$20,'3.  Distribution Rates'!$C$122:$P$133,5,FALSE)</f>
        <v>13.9131</v>
      </c>
      <c r="AC387" s="343">
        <f>HLOOKUP(AC$20,'3.  Distribution Rates'!$C$122:$P$133,5,FALSE)</f>
        <v>1.4200000000000001E-2</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4546.4937390142759</v>
      </c>
      <c r="Z388" s="380">
        <f t="shared" si="110"/>
        <v>3131.7973716874549</v>
      </c>
      <c r="AA388" s="380">
        <f t="shared" si="110"/>
        <v>1650.8446043093641</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29">
        <f>SUM(Y388:AL388)</f>
        <v>9329.1357150110944</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3198.9714431626703</v>
      </c>
      <c r="Z389" s="380">
        <f t="shared" si="111"/>
        <v>7431.9641978951859</v>
      </c>
      <c r="AA389" s="380">
        <f t="shared" si="111"/>
        <v>5591.1871476146243</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29">
        <f>SUM(Y389:AL389)</f>
        <v>16222.122788672481</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3250.9401177759673</v>
      </c>
      <c r="Z390" s="380">
        <f t="shared" ref="Z390:AE390" si="112">Z384*Z387</f>
        <v>9549.6290022153353</v>
      </c>
      <c r="AA390" s="380">
        <f t="shared" si="112"/>
        <v>3572.283184421452</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29">
        <f>SUM(Y390:AL390)</f>
        <v>16372.852304412754</v>
      </c>
    </row>
    <row r="391" spans="1:41" s="382" customFormat="1" ht="15.75">
      <c r="A391" s="511"/>
      <c r="B391" s="351" t="s">
        <v>258</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10996.405299952912</v>
      </c>
      <c r="Z391" s="348">
        <f>SUM(Z388:Z390)</f>
        <v>20113.390571797976</v>
      </c>
      <c r="AA391" s="348">
        <f t="shared" ref="AA391:AE391" si="114">SUM(AA388:AA390)</f>
        <v>10814.314936345441</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41924.110808096331</v>
      </c>
    </row>
    <row r="392" spans="1:41" s="382" customFormat="1" ht="15.75">
      <c r="A392" s="511"/>
      <c r="B392" s="351" t="s">
        <v>253</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23537.552500000002</v>
      </c>
      <c r="Z392" s="349">
        <f t="shared" si="116"/>
        <v>6408.4030000000002</v>
      </c>
      <c r="AA392" s="349">
        <f t="shared" si="116"/>
        <v>29190.520499999999</v>
      </c>
      <c r="AB392" s="349">
        <f t="shared" si="116"/>
        <v>2726.9675999999999</v>
      </c>
      <c r="AC392" s="349">
        <f t="shared" si="116"/>
        <v>66.512799999999999</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61929.956399999995</v>
      </c>
    </row>
    <row r="393" spans="1:41" ht="15.75" customHeight="1">
      <c r="A393" s="511"/>
      <c r="B393" s="351" t="s">
        <v>265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-20005.845591903664</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185584.95890901034</v>
      </c>
      <c r="Z395" s="293">
        <f>SUMPRODUCT(E279:E382,Z279:Z382)</f>
        <v>802720.73473321495</v>
      </c>
      <c r="AA395" s="293">
        <f>IF(AA278="kW",SUMPRODUCT(N279:N382,P279:P382,AA279:AA382),SUMPRODUCT(E279:E382,AA279:AA382))</f>
        <v>1305.8977095307812</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177580.03957744085</v>
      </c>
      <c r="Z396" s="293">
        <f>SUMPRODUCT(F279:F382,Z279:Z382)</f>
        <v>799187.41797466238</v>
      </c>
      <c r="AA396" s="293">
        <f>IF(AA278="kW",SUMPRODUCT(N279:N382,Q279:Q382,AA279:AA382),SUMPRODUCT(F279:F382,AA279:AA382))</f>
        <v>1298.3494715387239</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170630.64539053896</v>
      </c>
      <c r="Z397" s="293">
        <f>SUMPRODUCT(G279:G382,Z279:Z382)</f>
        <v>700542.89409111103</v>
      </c>
      <c r="AA397" s="293">
        <f>IF(AA278="kW",SUMPRODUCT(N279:N382,R279:R382,AA279:AA382),SUMPRODUCT(G279:G382,AA279:AA382))</f>
        <v>1298.3494715387239</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152850.27773268899</v>
      </c>
      <c r="Z398" s="293">
        <f>SUMPRODUCT(H279:H382,Z279:Z382)</f>
        <v>613144.35412408924</v>
      </c>
      <c r="AA398" s="293">
        <f>IF(AA278="kW",SUMPRODUCT(N279:N382,S279:S382,AA279:AA382),SUMPRODUCT(H279:H382,AA279:AA382))</f>
        <v>1252.2549773646012</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140810.95602466186</v>
      </c>
      <c r="Z399" s="293">
        <f>SUMPRODUCT(I279:I382,Z279:Z382)</f>
        <v>609054.93942597951</v>
      </c>
      <c r="AA399" s="293">
        <f>IF(AA278="kW",SUMPRODUCT(N279:N382,T279:T382,AA279:AA382),SUMPRODUCT(I279:I382,AA279:AA382))</f>
        <v>1200.1051478513705</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139608.33189441284</v>
      </c>
      <c r="Z400" s="293">
        <f>SUMPRODUCT(J279:J382,Z279:Z382)</f>
        <v>609054.93942597951</v>
      </c>
      <c r="AA400" s="293">
        <f>IF(AA278="kW",SUMPRODUCT(N279:N382,U279:U382,AA279:AA382),SUMPRODUCT(J279:J382,AA279:AA382))</f>
        <v>1200.1051478513705</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138728.49003650268</v>
      </c>
      <c r="Z401" s="328">
        <f>SUMPRODUCT(K279:K382,Z279:Z382)</f>
        <v>607696.2288016649</v>
      </c>
      <c r="AA401" s="328">
        <f>IF(AA278="kW",SUMPRODUCT(N279:N382,V279:V382,AA279:AA382),SUMPRODUCT(K279:K382,AA279:AA382))</f>
        <v>1200.1051478513705</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591</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259</v>
      </c>
      <c r="C404" s="283"/>
      <c r="D404" s="590" t="s">
        <v>522</v>
      </c>
      <c r="F404" s="590"/>
      <c r="O404" s="283"/>
      <c r="Y404" s="272"/>
      <c r="Z404" s="269"/>
      <c r="AA404" s="269"/>
      <c r="AB404" s="269"/>
      <c r="AC404" s="269"/>
      <c r="AD404" s="269"/>
      <c r="AE404" s="269"/>
      <c r="AF404" s="269"/>
      <c r="AG404" s="269"/>
      <c r="AH404" s="269"/>
      <c r="AI404" s="269"/>
      <c r="AJ404" s="269"/>
      <c r="AK404" s="269"/>
      <c r="AL404" s="269"/>
      <c r="AM404" s="284"/>
    </row>
    <row r="405" spans="1:40" ht="36" customHeight="1">
      <c r="B405" s="800" t="s">
        <v>212</v>
      </c>
      <c r="C405" s="802" t="s">
        <v>33</v>
      </c>
      <c r="D405" s="286" t="s">
        <v>423</v>
      </c>
      <c r="E405" s="804" t="s">
        <v>210</v>
      </c>
      <c r="F405" s="805"/>
      <c r="G405" s="805"/>
      <c r="H405" s="805"/>
      <c r="I405" s="805"/>
      <c r="J405" s="805"/>
      <c r="K405" s="805"/>
      <c r="L405" s="805"/>
      <c r="M405" s="806"/>
      <c r="N405" s="810" t="s">
        <v>214</v>
      </c>
      <c r="O405" s="286" t="s">
        <v>424</v>
      </c>
      <c r="P405" s="804" t="s">
        <v>213</v>
      </c>
      <c r="Q405" s="805"/>
      <c r="R405" s="805"/>
      <c r="S405" s="805"/>
      <c r="T405" s="805"/>
      <c r="U405" s="805"/>
      <c r="V405" s="805"/>
      <c r="W405" s="805"/>
      <c r="X405" s="806"/>
      <c r="Y405" s="807" t="s">
        <v>244</v>
      </c>
      <c r="Z405" s="808"/>
      <c r="AA405" s="808"/>
      <c r="AB405" s="808"/>
      <c r="AC405" s="808"/>
      <c r="AD405" s="808"/>
      <c r="AE405" s="808"/>
      <c r="AF405" s="808"/>
      <c r="AG405" s="808"/>
      <c r="AH405" s="808"/>
      <c r="AI405" s="808"/>
      <c r="AJ405" s="808"/>
      <c r="AK405" s="808"/>
      <c r="AL405" s="808"/>
      <c r="AM405" s="809"/>
    </row>
    <row r="406" spans="1:40" ht="45.75" customHeight="1">
      <c r="B406" s="801"/>
      <c r="C406" s="803"/>
      <c r="D406" s="287">
        <v>2014</v>
      </c>
      <c r="E406" s="287">
        <v>2015</v>
      </c>
      <c r="F406" s="287">
        <v>2016</v>
      </c>
      <c r="G406" s="287">
        <v>2017</v>
      </c>
      <c r="H406" s="287">
        <v>2018</v>
      </c>
      <c r="I406" s="287">
        <v>2019</v>
      </c>
      <c r="J406" s="287">
        <v>2020</v>
      </c>
      <c r="K406" s="287">
        <v>2021</v>
      </c>
      <c r="L406" s="287">
        <v>2022</v>
      </c>
      <c r="M406" s="287">
        <v>2023</v>
      </c>
      <c r="N406" s="811"/>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 kW</v>
      </c>
      <c r="AB406" s="287" t="str">
        <f>'1.  LRAMVA Summary'!G50</f>
        <v>Streetlights</v>
      </c>
      <c r="AC406" s="287" t="str">
        <f>'1.  LRAMVA Summary'!H50</f>
        <v>Unmetered Scattered Load</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0"/>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KWh</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hidden="1" outlineLevel="1">
      <c r="A408" s="509">
        <v>1</v>
      </c>
      <c r="B408" s="296" t="s">
        <v>1</v>
      </c>
      <c r="C408" s="293" t="s">
        <v>25</v>
      </c>
      <c r="D408" s="297">
        <v>27957.705229729738</v>
      </c>
      <c r="E408" s="297">
        <v>27957.705229729738</v>
      </c>
      <c r="F408" s="297">
        <v>27957.705229729738</v>
      </c>
      <c r="G408" s="297">
        <v>27853.297183122068</v>
      </c>
      <c r="H408" s="297">
        <v>18777.442687282917</v>
      </c>
      <c r="I408" s="297">
        <v>0</v>
      </c>
      <c r="J408" s="297">
        <v>0</v>
      </c>
      <c r="K408" s="297">
        <v>0</v>
      </c>
      <c r="L408" s="297">
        <v>0</v>
      </c>
      <c r="M408" s="297">
        <v>0</v>
      </c>
      <c r="N408" s="293"/>
      <c r="O408" s="297">
        <v>4.1298378761077768</v>
      </c>
      <c r="P408" s="297">
        <v>4.1298378761077768</v>
      </c>
      <c r="Q408" s="297">
        <v>4.1298378761077768</v>
      </c>
      <c r="R408" s="297">
        <v>4.0130835786335872</v>
      </c>
      <c r="S408" s="297">
        <v>2.7596109521709673</v>
      </c>
      <c r="T408" s="297">
        <v>0</v>
      </c>
      <c r="U408" s="297">
        <v>0</v>
      </c>
      <c r="V408" s="297">
        <v>0</v>
      </c>
      <c r="W408" s="297">
        <v>0</v>
      </c>
      <c r="X408" s="297">
        <v>0</v>
      </c>
      <c r="Y408" s="417">
        <v>1</v>
      </c>
      <c r="Z408" s="417">
        <v>0</v>
      </c>
      <c r="AA408" s="417">
        <v>0</v>
      </c>
      <c r="AB408" s="412"/>
      <c r="AC408" s="412"/>
      <c r="AD408" s="412"/>
      <c r="AE408" s="412"/>
      <c r="AF408" s="412"/>
      <c r="AG408" s="412"/>
      <c r="AH408" s="412"/>
      <c r="AI408" s="412"/>
      <c r="AJ408" s="412"/>
      <c r="AK408" s="412"/>
      <c r="AL408" s="412"/>
      <c r="AM408" s="298">
        <f>SUM(Y408:AL408)</f>
        <v>1</v>
      </c>
    </row>
    <row r="409" spans="1:40" ht="15" hidden="1" outlineLevel="1">
      <c r="B409" s="296" t="s">
        <v>260</v>
      </c>
      <c r="C409" s="293" t="s">
        <v>164</v>
      </c>
      <c r="D409" s="297"/>
      <c r="E409" s="297"/>
      <c r="F409" s="297"/>
      <c r="G409" s="297"/>
      <c r="H409" s="297"/>
      <c r="I409" s="297"/>
      <c r="J409" s="297"/>
      <c r="K409" s="297"/>
      <c r="L409" s="297"/>
      <c r="M409" s="297"/>
      <c r="N409" s="469"/>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hidden="1" outlineLevel="1">
      <c r="A410" s="511"/>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hidden="1" outlineLevel="1">
      <c r="A411" s="509">
        <v>2</v>
      </c>
      <c r="B411" s="296" t="s">
        <v>2</v>
      </c>
      <c r="C411" s="293" t="s">
        <v>25</v>
      </c>
      <c r="D411" s="297">
        <v>6649.9178032362843</v>
      </c>
      <c r="E411" s="297">
        <v>6649.9178032362843</v>
      </c>
      <c r="F411" s="297">
        <v>6649.9178032362843</v>
      </c>
      <c r="G411" s="297">
        <v>6649.9178032362843</v>
      </c>
      <c r="H411" s="297">
        <v>0</v>
      </c>
      <c r="I411" s="297">
        <v>0</v>
      </c>
      <c r="J411" s="297">
        <v>0</v>
      </c>
      <c r="K411" s="297">
        <v>0</v>
      </c>
      <c r="L411" s="297">
        <v>0</v>
      </c>
      <c r="M411" s="297">
        <v>0</v>
      </c>
      <c r="N411" s="293"/>
      <c r="O411" s="297">
        <v>3.7294937827141337</v>
      </c>
      <c r="P411" s="297">
        <v>3.7294937827141337</v>
      </c>
      <c r="Q411" s="297">
        <v>3.7294937827141337</v>
      </c>
      <c r="R411" s="297">
        <v>3.7294937827141337</v>
      </c>
      <c r="S411" s="297">
        <v>0</v>
      </c>
      <c r="T411" s="297">
        <v>0</v>
      </c>
      <c r="U411" s="297">
        <v>0</v>
      </c>
      <c r="V411" s="297">
        <v>0</v>
      </c>
      <c r="W411" s="297">
        <v>0</v>
      </c>
      <c r="X411" s="297">
        <v>0</v>
      </c>
      <c r="Y411" s="417">
        <v>1</v>
      </c>
      <c r="Z411" s="417">
        <v>0</v>
      </c>
      <c r="AA411" s="417">
        <v>0</v>
      </c>
      <c r="AB411" s="412"/>
      <c r="AC411" s="412"/>
      <c r="AD411" s="412"/>
      <c r="AE411" s="412"/>
      <c r="AF411" s="412"/>
      <c r="AG411" s="412"/>
      <c r="AH411" s="412"/>
      <c r="AI411" s="412"/>
      <c r="AJ411" s="412"/>
      <c r="AK411" s="412"/>
      <c r="AL411" s="412"/>
      <c r="AM411" s="298">
        <f>SUM(Y411:AL411)</f>
        <v>1</v>
      </c>
    </row>
    <row r="412" spans="1:40" ht="15" hidden="1" outlineLevel="1">
      <c r="B412" s="296" t="s">
        <v>260</v>
      </c>
      <c r="C412" s="293" t="s">
        <v>164</v>
      </c>
      <c r="D412" s="297"/>
      <c r="E412" s="297"/>
      <c r="F412" s="297"/>
      <c r="G412" s="297"/>
      <c r="H412" s="297"/>
      <c r="I412" s="297"/>
      <c r="J412" s="297"/>
      <c r="K412" s="297"/>
      <c r="L412" s="297"/>
      <c r="M412" s="297"/>
      <c r="N412" s="469"/>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hidden="1" outlineLevel="1">
      <c r="A413" s="511"/>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hidden="1" outlineLevel="1">
      <c r="A414" s="509">
        <v>3</v>
      </c>
      <c r="B414" s="296" t="s">
        <v>3</v>
      </c>
      <c r="C414" s="293" t="s">
        <v>25</v>
      </c>
      <c r="D414" s="297">
        <v>83687.272644498473</v>
      </c>
      <c r="E414" s="297">
        <v>83687.272644498473</v>
      </c>
      <c r="F414" s="297">
        <v>83687.272644498473</v>
      </c>
      <c r="G414" s="297">
        <v>83687.272644498473</v>
      </c>
      <c r="H414" s="297">
        <v>83687.272644498473</v>
      </c>
      <c r="I414" s="297">
        <v>83687.272644498473</v>
      </c>
      <c r="J414" s="297">
        <v>83687.272644498473</v>
      </c>
      <c r="K414" s="297">
        <v>83687.272644498473</v>
      </c>
      <c r="L414" s="297">
        <v>83687.272644498473</v>
      </c>
      <c r="M414" s="297">
        <v>83687.272644498473</v>
      </c>
      <c r="N414" s="293"/>
      <c r="O414" s="297">
        <v>44.894053371686638</v>
      </c>
      <c r="P414" s="297">
        <v>44.894053371686638</v>
      </c>
      <c r="Q414" s="297">
        <v>44.894053371686638</v>
      </c>
      <c r="R414" s="297">
        <v>44.894053371686638</v>
      </c>
      <c r="S414" s="297">
        <v>44.894053371686638</v>
      </c>
      <c r="T414" s="297">
        <v>44.894053371686638</v>
      </c>
      <c r="U414" s="297">
        <v>44.894053371686638</v>
      </c>
      <c r="V414" s="297">
        <v>44.894053371686638</v>
      </c>
      <c r="W414" s="297">
        <v>44.894053371686638</v>
      </c>
      <c r="X414" s="297">
        <v>44.894053371686638</v>
      </c>
      <c r="Y414" s="417">
        <v>1</v>
      </c>
      <c r="Z414" s="417">
        <v>0</v>
      </c>
      <c r="AA414" s="417">
        <v>0</v>
      </c>
      <c r="AB414" s="412"/>
      <c r="AC414" s="412"/>
      <c r="AD414" s="412"/>
      <c r="AE414" s="412"/>
      <c r="AF414" s="412"/>
      <c r="AG414" s="412"/>
      <c r="AH414" s="412"/>
      <c r="AI414" s="412"/>
      <c r="AJ414" s="412"/>
      <c r="AK414" s="412"/>
      <c r="AL414" s="412"/>
      <c r="AM414" s="298">
        <f>SUM(Y414:AL414)</f>
        <v>1</v>
      </c>
    </row>
    <row r="415" spans="1:40" ht="15" hidden="1" outlineLevel="1">
      <c r="B415" s="296" t="s">
        <v>260</v>
      </c>
      <c r="C415" s="293" t="s">
        <v>164</v>
      </c>
      <c r="D415" s="297"/>
      <c r="E415" s="297"/>
      <c r="F415" s="297"/>
      <c r="G415" s="297"/>
      <c r="H415" s="297"/>
      <c r="I415" s="297"/>
      <c r="J415" s="297"/>
      <c r="K415" s="297"/>
      <c r="L415" s="297"/>
      <c r="M415" s="297"/>
      <c r="N415" s="469"/>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hidden="1"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hidden="1" outlineLevel="1">
      <c r="A417" s="509">
        <v>4</v>
      </c>
      <c r="B417" s="296" t="s">
        <v>4</v>
      </c>
      <c r="C417" s="293" t="s">
        <v>25</v>
      </c>
      <c r="D417" s="297">
        <v>89961.535225374697</v>
      </c>
      <c r="E417" s="297">
        <v>83924.710130673979</v>
      </c>
      <c r="F417" s="297">
        <v>81007.343504348275</v>
      </c>
      <c r="G417" s="297">
        <v>81007.343504348275</v>
      </c>
      <c r="H417" s="297">
        <v>81007.343504348275</v>
      </c>
      <c r="I417" s="297">
        <v>81007.343504348275</v>
      </c>
      <c r="J417" s="297">
        <v>81007.343504348275</v>
      </c>
      <c r="K417" s="297">
        <v>77530.583189075332</v>
      </c>
      <c r="L417" s="297">
        <v>77530.583189075332</v>
      </c>
      <c r="M417" s="297">
        <v>64232.622558398536</v>
      </c>
      <c r="N417" s="293"/>
      <c r="O417" s="297">
        <v>6.6167255093147945</v>
      </c>
      <c r="P417" s="297">
        <v>6.2377499350464882</v>
      </c>
      <c r="Q417" s="297">
        <v>6.0546055379140444</v>
      </c>
      <c r="R417" s="297">
        <v>6.0546055379140444</v>
      </c>
      <c r="S417" s="297">
        <v>6.0546055379140444</v>
      </c>
      <c r="T417" s="297">
        <v>6.0546055379140444</v>
      </c>
      <c r="U417" s="297">
        <v>6.0546055379140444</v>
      </c>
      <c r="V417" s="297">
        <v>5.8291274139485685</v>
      </c>
      <c r="W417" s="297">
        <v>5.8291274139485685</v>
      </c>
      <c r="X417" s="297">
        <v>4.9937842348215291</v>
      </c>
      <c r="Y417" s="417">
        <v>1</v>
      </c>
      <c r="Z417" s="417">
        <v>0</v>
      </c>
      <c r="AA417" s="417">
        <v>0</v>
      </c>
      <c r="AB417" s="412"/>
      <c r="AC417" s="412"/>
      <c r="AD417" s="412"/>
      <c r="AE417" s="412"/>
      <c r="AF417" s="412"/>
      <c r="AG417" s="412"/>
      <c r="AH417" s="412"/>
      <c r="AI417" s="412"/>
      <c r="AJ417" s="412"/>
      <c r="AK417" s="412"/>
      <c r="AL417" s="412"/>
      <c r="AM417" s="298">
        <f>SUM(Y417:AL417)</f>
        <v>1</v>
      </c>
    </row>
    <row r="418" spans="1:39" ht="15" hidden="1" outlineLevel="1">
      <c r="B418" s="296" t="s">
        <v>260</v>
      </c>
      <c r="C418" s="293" t="s">
        <v>164</v>
      </c>
      <c r="D418" s="297"/>
      <c r="E418" s="297"/>
      <c r="F418" s="297"/>
      <c r="G418" s="297"/>
      <c r="H418" s="297"/>
      <c r="I418" s="297"/>
      <c r="J418" s="297"/>
      <c r="K418" s="297"/>
      <c r="L418" s="297"/>
      <c r="M418" s="297"/>
      <c r="N418" s="469"/>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hidden="1"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hidden="1" outlineLevel="1">
      <c r="A420" s="509">
        <v>5</v>
      </c>
      <c r="B420" s="296" t="s">
        <v>5</v>
      </c>
      <c r="C420" s="293" t="s">
        <v>25</v>
      </c>
      <c r="D420" s="297">
        <v>351226.18611423316</v>
      </c>
      <c r="E420" s="297">
        <v>304685.00632323849</v>
      </c>
      <c r="F420" s="297">
        <v>280430.3204001548</v>
      </c>
      <c r="G420" s="297">
        <v>280430.3204001548</v>
      </c>
      <c r="H420" s="297">
        <v>280430.3204001548</v>
      </c>
      <c r="I420" s="297">
        <v>280430.3204001548</v>
      </c>
      <c r="J420" s="297">
        <v>280430.3204001548</v>
      </c>
      <c r="K420" s="297">
        <v>280308.84224234865</v>
      </c>
      <c r="L420" s="297">
        <v>280308.84224234865</v>
      </c>
      <c r="M420" s="297">
        <v>260702.79631923485</v>
      </c>
      <c r="N420" s="293"/>
      <c r="O420" s="297">
        <v>22.986101298954747</v>
      </c>
      <c r="P420" s="297">
        <v>20.064371737185652</v>
      </c>
      <c r="Q420" s="297">
        <v>18.541728065685724</v>
      </c>
      <c r="R420" s="297">
        <v>18.541728065685724</v>
      </c>
      <c r="S420" s="297">
        <v>18.541728065685724</v>
      </c>
      <c r="T420" s="297">
        <v>18.541728065685724</v>
      </c>
      <c r="U420" s="297">
        <v>18.541728065685724</v>
      </c>
      <c r="V420" s="297">
        <v>18.527860696073152</v>
      </c>
      <c r="W420" s="297">
        <v>18.527860696073152</v>
      </c>
      <c r="X420" s="297">
        <v>17.297046088016131</v>
      </c>
      <c r="Y420" s="417">
        <v>1</v>
      </c>
      <c r="Z420" s="417">
        <v>0</v>
      </c>
      <c r="AA420" s="417">
        <v>0</v>
      </c>
      <c r="AB420" s="412"/>
      <c r="AC420" s="412"/>
      <c r="AD420" s="412"/>
      <c r="AE420" s="412"/>
      <c r="AF420" s="412"/>
      <c r="AG420" s="412"/>
      <c r="AH420" s="412"/>
      <c r="AI420" s="412"/>
      <c r="AJ420" s="412"/>
      <c r="AK420" s="412"/>
      <c r="AL420" s="412"/>
      <c r="AM420" s="298">
        <f>SUM(Y420:AL420)</f>
        <v>1</v>
      </c>
    </row>
    <row r="421" spans="1:39" ht="15" hidden="1" outlineLevel="1">
      <c r="B421" s="296" t="s">
        <v>260</v>
      </c>
      <c r="C421" s="293" t="s">
        <v>164</v>
      </c>
      <c r="D421" s="297"/>
      <c r="E421" s="297"/>
      <c r="F421" s="297"/>
      <c r="G421" s="297"/>
      <c r="H421" s="297"/>
      <c r="I421" s="297"/>
      <c r="J421" s="297"/>
      <c r="K421" s="297"/>
      <c r="L421" s="297"/>
      <c r="M421" s="297"/>
      <c r="N421" s="469"/>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hidden="1"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hidden="1" outlineLevel="1">
      <c r="A423" s="509">
        <v>6</v>
      </c>
      <c r="B423" s="296" t="s">
        <v>6</v>
      </c>
      <c r="C423" s="293" t="s">
        <v>25</v>
      </c>
      <c r="D423" s="297" t="s">
        <v>701</v>
      </c>
      <c r="E423" s="297" t="s">
        <v>701</v>
      </c>
      <c r="F423" s="297" t="s">
        <v>701</v>
      </c>
      <c r="G423" s="297" t="s">
        <v>701</v>
      </c>
      <c r="H423" s="297" t="s">
        <v>701</v>
      </c>
      <c r="I423" s="297" t="s">
        <v>701</v>
      </c>
      <c r="J423" s="297" t="s">
        <v>701</v>
      </c>
      <c r="K423" s="297" t="s">
        <v>701</v>
      </c>
      <c r="L423" s="297" t="s">
        <v>701</v>
      </c>
      <c r="M423" s="297" t="s">
        <v>701</v>
      </c>
      <c r="N423" s="293"/>
      <c r="O423" s="297" t="s">
        <v>701</v>
      </c>
      <c r="P423" s="297" t="s">
        <v>701</v>
      </c>
      <c r="Q423" s="297" t="s">
        <v>701</v>
      </c>
      <c r="R423" s="297" t="s">
        <v>701</v>
      </c>
      <c r="S423" s="297" t="s">
        <v>701</v>
      </c>
      <c r="T423" s="297" t="s">
        <v>701</v>
      </c>
      <c r="U423" s="297" t="s">
        <v>701</v>
      </c>
      <c r="V423" s="297" t="s">
        <v>701</v>
      </c>
      <c r="W423" s="297" t="s">
        <v>701</v>
      </c>
      <c r="X423" s="297" t="s">
        <v>701</v>
      </c>
      <c r="Y423" s="412"/>
      <c r="Z423" s="412"/>
      <c r="AA423" s="412"/>
      <c r="AB423" s="412"/>
      <c r="AC423" s="412"/>
      <c r="AD423" s="412"/>
      <c r="AE423" s="412"/>
      <c r="AF423" s="412"/>
      <c r="AG423" s="412"/>
      <c r="AH423" s="412"/>
      <c r="AI423" s="412"/>
      <c r="AJ423" s="412"/>
      <c r="AK423" s="412"/>
      <c r="AL423" s="412"/>
      <c r="AM423" s="298">
        <f>SUM(Y423:AL423)</f>
        <v>0</v>
      </c>
    </row>
    <row r="424" spans="1:39" ht="15" hidden="1" outlineLevel="1">
      <c r="B424" s="296" t="s">
        <v>260</v>
      </c>
      <c r="C424" s="293" t="s">
        <v>164</v>
      </c>
      <c r="D424" s="297"/>
      <c r="E424" s="297"/>
      <c r="F424" s="297"/>
      <c r="G424" s="297"/>
      <c r="H424" s="297"/>
      <c r="I424" s="297"/>
      <c r="J424" s="297"/>
      <c r="K424" s="297"/>
      <c r="L424" s="297"/>
      <c r="M424" s="297"/>
      <c r="N424" s="469"/>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hidden="1"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hidden="1" outlineLevel="1">
      <c r="A426" s="509">
        <v>7</v>
      </c>
      <c r="B426" s="296" t="s">
        <v>42</v>
      </c>
      <c r="C426" s="293" t="s">
        <v>25</v>
      </c>
      <c r="D426" s="297">
        <v>0</v>
      </c>
      <c r="E426" s="297">
        <v>0</v>
      </c>
      <c r="F426" s="297">
        <v>0</v>
      </c>
      <c r="G426" s="297">
        <v>0</v>
      </c>
      <c r="H426" s="297">
        <v>0</v>
      </c>
      <c r="I426" s="297">
        <v>0</v>
      </c>
      <c r="J426" s="297">
        <v>0</v>
      </c>
      <c r="K426" s="297">
        <v>0</v>
      </c>
      <c r="L426" s="297">
        <v>0</v>
      </c>
      <c r="M426" s="297">
        <v>0</v>
      </c>
      <c r="N426" s="293"/>
      <c r="O426" s="297">
        <v>279</v>
      </c>
      <c r="P426" s="297">
        <v>0</v>
      </c>
      <c r="Q426" s="297">
        <v>0</v>
      </c>
      <c r="R426" s="297">
        <v>0</v>
      </c>
      <c r="S426" s="297">
        <v>0</v>
      </c>
      <c r="T426" s="297">
        <v>0</v>
      </c>
      <c r="U426" s="297">
        <v>0</v>
      </c>
      <c r="V426" s="297">
        <v>0</v>
      </c>
      <c r="W426" s="297">
        <v>0</v>
      </c>
      <c r="X426" s="297">
        <v>0</v>
      </c>
      <c r="Y426" s="412">
        <v>1</v>
      </c>
      <c r="Z426" s="412">
        <v>0</v>
      </c>
      <c r="AA426" s="412">
        <v>0</v>
      </c>
      <c r="AB426" s="412"/>
      <c r="AC426" s="412"/>
      <c r="AD426" s="412"/>
      <c r="AE426" s="412"/>
      <c r="AF426" s="412"/>
      <c r="AG426" s="412"/>
      <c r="AH426" s="412"/>
      <c r="AI426" s="412"/>
      <c r="AJ426" s="412"/>
      <c r="AK426" s="412"/>
      <c r="AL426" s="412"/>
      <c r="AM426" s="298">
        <f>SUM(Y426:AL426)</f>
        <v>1</v>
      </c>
    </row>
    <row r="427" spans="1:39" ht="15" hidden="1" outlineLevel="1">
      <c r="B427" s="296" t="s">
        <v>260</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1</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hidden="1"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hidden="1" outlineLevel="1">
      <c r="A429" s="509">
        <v>8</v>
      </c>
      <c r="B429" s="296" t="s">
        <v>486</v>
      </c>
      <c r="C429" s="293" t="s">
        <v>25</v>
      </c>
      <c r="D429" s="297" t="s">
        <v>701</v>
      </c>
      <c r="E429" s="297" t="s">
        <v>701</v>
      </c>
      <c r="F429" s="297" t="s">
        <v>701</v>
      </c>
      <c r="G429" s="297" t="s">
        <v>701</v>
      </c>
      <c r="H429" s="297" t="s">
        <v>701</v>
      </c>
      <c r="I429" s="297" t="s">
        <v>701</v>
      </c>
      <c r="J429" s="297" t="s">
        <v>701</v>
      </c>
      <c r="K429" s="297" t="s">
        <v>701</v>
      </c>
      <c r="L429" s="297" t="s">
        <v>701</v>
      </c>
      <c r="M429" s="297" t="s">
        <v>701</v>
      </c>
      <c r="N429" s="293"/>
      <c r="O429" s="297" t="s">
        <v>701</v>
      </c>
      <c r="P429" s="297" t="s">
        <v>701</v>
      </c>
      <c r="Q429" s="297" t="s">
        <v>701</v>
      </c>
      <c r="R429" s="297" t="s">
        <v>701</v>
      </c>
      <c r="S429" s="297" t="s">
        <v>701</v>
      </c>
      <c r="T429" s="297" t="s">
        <v>701</v>
      </c>
      <c r="U429" s="297" t="s">
        <v>701</v>
      </c>
      <c r="V429" s="297" t="s">
        <v>701</v>
      </c>
      <c r="W429" s="297" t="s">
        <v>701</v>
      </c>
      <c r="X429" s="297" t="s">
        <v>701</v>
      </c>
      <c r="Y429" s="412"/>
      <c r="Z429" s="412"/>
      <c r="AA429" s="412"/>
      <c r="AB429" s="412"/>
      <c r="AC429" s="412"/>
      <c r="AD429" s="412"/>
      <c r="AE429" s="412"/>
      <c r="AF429" s="412"/>
      <c r="AG429" s="412"/>
      <c r="AH429" s="412"/>
      <c r="AI429" s="412"/>
      <c r="AJ429" s="412"/>
      <c r="AK429" s="412"/>
      <c r="AL429" s="412"/>
      <c r="AM429" s="298">
        <f>SUM(Y429:AL429)</f>
        <v>0</v>
      </c>
    </row>
    <row r="430" spans="1:39" s="285" customFormat="1" ht="15" hidden="1" outlineLevel="1">
      <c r="A430" s="509"/>
      <c r="B430" s="296" t="s">
        <v>260</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hidden="1" outlineLevel="1">
      <c r="A431" s="509"/>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hidden="1" outlineLevel="1">
      <c r="A432" s="509">
        <v>9</v>
      </c>
      <c r="B432" s="296" t="s">
        <v>7</v>
      </c>
      <c r="C432" s="293" t="s">
        <v>25</v>
      </c>
      <c r="D432" s="297" t="s">
        <v>701</v>
      </c>
      <c r="E432" s="297" t="s">
        <v>701</v>
      </c>
      <c r="F432" s="297" t="s">
        <v>701</v>
      </c>
      <c r="G432" s="297" t="s">
        <v>701</v>
      </c>
      <c r="H432" s="297" t="s">
        <v>701</v>
      </c>
      <c r="I432" s="297" t="s">
        <v>701</v>
      </c>
      <c r="J432" s="297" t="s">
        <v>701</v>
      </c>
      <c r="K432" s="297" t="s">
        <v>701</v>
      </c>
      <c r="L432" s="297" t="s">
        <v>701</v>
      </c>
      <c r="M432" s="297" t="s">
        <v>701</v>
      </c>
      <c r="N432" s="293"/>
      <c r="O432" s="297" t="s">
        <v>701</v>
      </c>
      <c r="P432" s="297" t="s">
        <v>701</v>
      </c>
      <c r="Q432" s="297" t="s">
        <v>701</v>
      </c>
      <c r="R432" s="297" t="s">
        <v>701</v>
      </c>
      <c r="S432" s="297" t="s">
        <v>701</v>
      </c>
      <c r="T432" s="297" t="s">
        <v>701</v>
      </c>
      <c r="U432" s="297" t="s">
        <v>701</v>
      </c>
      <c r="V432" s="297" t="s">
        <v>701</v>
      </c>
      <c r="W432" s="297" t="s">
        <v>701</v>
      </c>
      <c r="X432" s="297" t="s">
        <v>701</v>
      </c>
      <c r="Y432" s="412"/>
      <c r="Z432" s="412"/>
      <c r="AA432" s="412"/>
      <c r="AB432" s="412"/>
      <c r="AC432" s="412"/>
      <c r="AD432" s="412"/>
      <c r="AE432" s="412"/>
      <c r="AF432" s="412"/>
      <c r="AG432" s="412"/>
      <c r="AH432" s="412"/>
      <c r="AI432" s="412"/>
      <c r="AJ432" s="412"/>
      <c r="AK432" s="412"/>
      <c r="AL432" s="412"/>
      <c r="AM432" s="298">
        <f>SUM(Y432:AL432)</f>
        <v>0</v>
      </c>
    </row>
    <row r="433" spans="1:39" ht="15" hidden="1" outlineLevel="1">
      <c r="B433" s="296" t="s">
        <v>260</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hidden="1"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hidden="1" outlineLevel="1">
      <c r="A435" s="510"/>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hidden="1" outlineLevel="1">
      <c r="A436" s="509">
        <v>10</v>
      </c>
      <c r="B436" s="312" t="s">
        <v>22</v>
      </c>
      <c r="C436" s="293" t="s">
        <v>25</v>
      </c>
      <c r="D436" s="297">
        <v>552594.79435522202</v>
      </c>
      <c r="E436" s="297">
        <v>551678.52056968457</v>
      </c>
      <c r="F436" s="297">
        <v>551678.52056968457</v>
      </c>
      <c r="G436" s="297">
        <v>541165.49700816954</v>
      </c>
      <c r="H436" s="297">
        <v>541165.49700816954</v>
      </c>
      <c r="I436" s="297">
        <v>541165.49700816954</v>
      </c>
      <c r="J436" s="297">
        <v>529470.61972881772</v>
      </c>
      <c r="K436" s="297">
        <v>529470.61972881772</v>
      </c>
      <c r="L436" s="297">
        <v>526821.64176762477</v>
      </c>
      <c r="M436" s="297">
        <v>476661.55142668163</v>
      </c>
      <c r="N436" s="297">
        <v>12</v>
      </c>
      <c r="O436" s="297">
        <v>83.101029357371075</v>
      </c>
      <c r="P436" s="297">
        <v>82.83799597055625</v>
      </c>
      <c r="Q436" s="297">
        <v>82.83799597055625</v>
      </c>
      <c r="R436" s="297">
        <v>79.820037542958829</v>
      </c>
      <c r="S436" s="297">
        <v>79.820037542958829</v>
      </c>
      <c r="T436" s="297">
        <v>79.820037542958829</v>
      </c>
      <c r="U436" s="297">
        <v>78.208603564165131</v>
      </c>
      <c r="V436" s="297">
        <v>78.208603564165131</v>
      </c>
      <c r="W436" s="297">
        <v>77.414195063849178</v>
      </c>
      <c r="X436" s="297">
        <v>70.587378159759226</v>
      </c>
      <c r="Y436" s="417">
        <v>0</v>
      </c>
      <c r="Z436" s="417">
        <v>0.40139618237498875</v>
      </c>
      <c r="AA436" s="417">
        <v>0.59860381762501125</v>
      </c>
      <c r="AB436" s="470"/>
      <c r="AC436" s="417"/>
      <c r="AD436" s="417"/>
      <c r="AE436" s="417"/>
      <c r="AF436" s="417"/>
      <c r="AG436" s="417"/>
      <c r="AH436" s="417"/>
      <c r="AI436" s="417"/>
      <c r="AJ436" s="417"/>
      <c r="AK436" s="417"/>
      <c r="AL436" s="417"/>
      <c r="AM436" s="298">
        <f>SUM(Y436:AL436)</f>
        <v>1</v>
      </c>
    </row>
    <row r="437" spans="1:39" ht="15" hidden="1" outlineLevel="1">
      <c r="B437" s="296" t="s">
        <v>260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0.40139618237498875</v>
      </c>
      <c r="AA437" s="413">
        <f t="shared" ref="AA437:AL437" si="127">AA436</f>
        <v>0.59860381762501125</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hidden="1"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hidden="1" outlineLevel="1">
      <c r="A439" s="509">
        <v>11</v>
      </c>
      <c r="B439" s="316" t="s">
        <v>21</v>
      </c>
      <c r="C439" s="293" t="s">
        <v>25</v>
      </c>
      <c r="D439" s="297">
        <v>992786.09652314859</v>
      </c>
      <c r="E439" s="297">
        <v>989532.81157215475</v>
      </c>
      <c r="F439" s="297">
        <v>664982.44568356324</v>
      </c>
      <c r="G439" s="297">
        <v>605510.42184878653</v>
      </c>
      <c r="H439" s="297">
        <v>605510.42184878653</v>
      </c>
      <c r="I439" s="297">
        <v>605510.42184878653</v>
      </c>
      <c r="J439" s="297">
        <v>605510.42184878653</v>
      </c>
      <c r="K439" s="297">
        <v>605510.42184878653</v>
      </c>
      <c r="L439" s="297">
        <v>605510.42184878653</v>
      </c>
      <c r="M439" s="297">
        <v>605510.42184878653</v>
      </c>
      <c r="N439" s="297">
        <v>12</v>
      </c>
      <c r="O439" s="297">
        <v>277.1682909162646</v>
      </c>
      <c r="P439" s="297">
        <v>276.23313329525052</v>
      </c>
      <c r="Q439" s="297">
        <v>183.89620350297886</v>
      </c>
      <c r="R439" s="297">
        <v>166.5157575141879</v>
      </c>
      <c r="S439" s="297">
        <v>166.5157575141879</v>
      </c>
      <c r="T439" s="297">
        <v>166.5157575141879</v>
      </c>
      <c r="U439" s="297">
        <v>166.5157575141879</v>
      </c>
      <c r="V439" s="297">
        <v>166.5157575141879</v>
      </c>
      <c r="W439" s="297">
        <v>166.5157575141879</v>
      </c>
      <c r="X439" s="297">
        <v>166.5157575141879</v>
      </c>
      <c r="Y439" s="417">
        <v>0</v>
      </c>
      <c r="Z439" s="417">
        <v>1</v>
      </c>
      <c r="AA439" s="417">
        <v>0</v>
      </c>
      <c r="AB439" s="417"/>
      <c r="AC439" s="417"/>
      <c r="AD439" s="417"/>
      <c r="AE439" s="417"/>
      <c r="AF439" s="417"/>
      <c r="AG439" s="417"/>
      <c r="AH439" s="417"/>
      <c r="AI439" s="417"/>
      <c r="AJ439" s="417"/>
      <c r="AK439" s="417"/>
      <c r="AL439" s="417"/>
      <c r="AM439" s="298">
        <f>SUM(Y439:AL439)</f>
        <v>1</v>
      </c>
    </row>
    <row r="440" spans="1:39" ht="15" hidden="1" outlineLevel="1">
      <c r="B440" s="296" t="s">
        <v>260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hidden="1"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hidden="1" outlineLevel="1">
      <c r="A442" s="509">
        <v>12</v>
      </c>
      <c r="B442" s="316" t="s">
        <v>23</v>
      </c>
      <c r="C442" s="293" t="s">
        <v>25</v>
      </c>
      <c r="D442" s="297" t="s">
        <v>701</v>
      </c>
      <c r="E442" s="297" t="s">
        <v>701</v>
      </c>
      <c r="F442" s="297" t="s">
        <v>701</v>
      </c>
      <c r="G442" s="297" t="s">
        <v>701</v>
      </c>
      <c r="H442" s="297" t="s">
        <v>701</v>
      </c>
      <c r="I442" s="297" t="s">
        <v>701</v>
      </c>
      <c r="J442" s="297" t="s">
        <v>701</v>
      </c>
      <c r="K442" s="297" t="s">
        <v>701</v>
      </c>
      <c r="L442" s="297" t="s">
        <v>701</v>
      </c>
      <c r="M442" s="297" t="s">
        <v>701</v>
      </c>
      <c r="N442" s="297">
        <v>3</v>
      </c>
      <c r="O442" s="297"/>
      <c r="P442" s="297"/>
      <c r="Q442" s="297"/>
      <c r="R442" s="297"/>
      <c r="S442" s="297"/>
      <c r="T442" s="297"/>
      <c r="U442" s="297"/>
      <c r="V442" s="297"/>
      <c r="W442" s="297"/>
      <c r="X442" s="297"/>
      <c r="Y442" s="417"/>
      <c r="Z442" s="417"/>
      <c r="AA442" s="470"/>
      <c r="AB442" s="417"/>
      <c r="AC442" s="417"/>
      <c r="AD442" s="417"/>
      <c r="AE442" s="417"/>
      <c r="AF442" s="417"/>
      <c r="AG442" s="417"/>
      <c r="AH442" s="417"/>
      <c r="AI442" s="417"/>
      <c r="AJ442" s="417"/>
      <c r="AK442" s="417"/>
      <c r="AL442" s="417"/>
      <c r="AM442" s="298">
        <f>SUM(Y442:AL442)</f>
        <v>0</v>
      </c>
    </row>
    <row r="443" spans="1:39" ht="15" hidden="1" outlineLevel="1">
      <c r="B443" s="296" t="s">
        <v>260</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hidden="1"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hidden="1" outlineLevel="1">
      <c r="A445" s="509">
        <v>13</v>
      </c>
      <c r="B445" s="316" t="s">
        <v>24</v>
      </c>
      <c r="C445" s="293" t="s">
        <v>25</v>
      </c>
      <c r="D445" s="297" t="s">
        <v>701</v>
      </c>
      <c r="E445" s="297" t="s">
        <v>701</v>
      </c>
      <c r="F445" s="297" t="s">
        <v>701</v>
      </c>
      <c r="G445" s="297" t="s">
        <v>701</v>
      </c>
      <c r="H445" s="297" t="s">
        <v>701</v>
      </c>
      <c r="I445" s="297" t="s">
        <v>701</v>
      </c>
      <c r="J445" s="297" t="s">
        <v>701</v>
      </c>
      <c r="K445" s="297" t="s">
        <v>701</v>
      </c>
      <c r="L445" s="297" t="s">
        <v>701</v>
      </c>
      <c r="M445" s="297" t="s">
        <v>701</v>
      </c>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hidden="1" outlineLevel="1">
      <c r="B446" s="296" t="s">
        <v>260</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hidden="1"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hidden="1" outlineLevel="1">
      <c r="A448" s="509">
        <v>14</v>
      </c>
      <c r="B448" s="316" t="s">
        <v>20</v>
      </c>
      <c r="C448" s="293" t="s">
        <v>25</v>
      </c>
      <c r="D448" s="297">
        <v>195820.71016667038</v>
      </c>
      <c r="E448" s="297">
        <v>195820.71016667038</v>
      </c>
      <c r="F448" s="297">
        <v>195820.71016667038</v>
      </c>
      <c r="G448" s="297">
        <v>195820.71016667038</v>
      </c>
      <c r="H448" s="297">
        <v>0</v>
      </c>
      <c r="I448" s="297">
        <v>0</v>
      </c>
      <c r="J448" s="297">
        <v>0</v>
      </c>
      <c r="K448" s="297">
        <v>0</v>
      </c>
      <c r="L448" s="297">
        <v>0</v>
      </c>
      <c r="M448" s="297">
        <v>0</v>
      </c>
      <c r="N448" s="297">
        <v>12</v>
      </c>
      <c r="O448" s="297">
        <v>40.100791547459252</v>
      </c>
      <c r="P448" s="297">
        <v>40.100791547459252</v>
      </c>
      <c r="Q448" s="297">
        <v>40.100791547459252</v>
      </c>
      <c r="R448" s="297">
        <v>40.100791547459252</v>
      </c>
      <c r="S448" s="297">
        <v>0</v>
      </c>
      <c r="T448" s="297">
        <v>0</v>
      </c>
      <c r="U448" s="297">
        <v>0</v>
      </c>
      <c r="V448" s="297">
        <v>0</v>
      </c>
      <c r="W448" s="297">
        <v>0</v>
      </c>
      <c r="X448" s="297">
        <v>0</v>
      </c>
      <c r="Y448" s="417">
        <v>0</v>
      </c>
      <c r="Z448" s="417">
        <v>0</v>
      </c>
      <c r="AA448" s="417">
        <v>1</v>
      </c>
      <c r="AB448" s="417"/>
      <c r="AC448" s="417"/>
      <c r="AD448" s="417"/>
      <c r="AE448" s="417"/>
      <c r="AF448" s="417"/>
      <c r="AG448" s="417"/>
      <c r="AH448" s="417"/>
      <c r="AI448" s="417"/>
      <c r="AJ448" s="417"/>
      <c r="AK448" s="417"/>
      <c r="AL448" s="417"/>
      <c r="AM448" s="298">
        <f>SUM(Y448:AL448)</f>
        <v>1</v>
      </c>
    </row>
    <row r="449" spans="1:39" ht="15" hidden="1" outlineLevel="1">
      <c r="B449" s="296" t="s">
        <v>260</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1</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hidden="1"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hidden="1" outlineLevel="1">
      <c r="A451" s="509">
        <v>15</v>
      </c>
      <c r="B451" s="316" t="s">
        <v>487</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 hidden="1" outlineLevel="1">
      <c r="A452" s="509"/>
      <c r="B452" s="316" t="s">
        <v>260</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hidden="1" outlineLevel="1">
      <c r="A453" s="509"/>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hidden="1" outlineLevel="1">
      <c r="A454" s="509">
        <v>16</v>
      </c>
      <c r="B454" s="316" t="s">
        <v>488</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hidden="1" outlineLevel="1">
      <c r="A455" s="509"/>
      <c r="B455" s="316" t="s">
        <v>260</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hidden="1" outlineLevel="1">
      <c r="A456" s="509"/>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hidden="1" outlineLevel="1">
      <c r="A457" s="509">
        <v>17</v>
      </c>
      <c r="B457" s="316" t="s">
        <v>9</v>
      </c>
      <c r="C457" s="293" t="s">
        <v>25</v>
      </c>
      <c r="D457" s="297"/>
      <c r="E457" s="297"/>
      <c r="F457" s="297"/>
      <c r="G457" s="297"/>
      <c r="H457" s="297"/>
      <c r="I457" s="297"/>
      <c r="J457" s="297"/>
      <c r="K457" s="297"/>
      <c r="L457" s="297"/>
      <c r="M457" s="297"/>
      <c r="N457" s="293"/>
      <c r="O457" s="297">
        <v>35</v>
      </c>
      <c r="P457" s="297">
        <v>0</v>
      </c>
      <c r="Q457" s="297">
        <v>0</v>
      </c>
      <c r="R457" s="297">
        <v>0</v>
      </c>
      <c r="S457" s="297">
        <v>0</v>
      </c>
      <c r="T457" s="297">
        <v>0</v>
      </c>
      <c r="U457" s="297">
        <v>0</v>
      </c>
      <c r="V457" s="297">
        <v>0</v>
      </c>
      <c r="W457" s="297">
        <v>0</v>
      </c>
      <c r="X457" s="297">
        <v>0</v>
      </c>
      <c r="Y457" s="417">
        <v>0</v>
      </c>
      <c r="Z457" s="417">
        <v>0</v>
      </c>
      <c r="AA457" s="417">
        <v>1</v>
      </c>
      <c r="AB457" s="417"/>
      <c r="AC457" s="417"/>
      <c r="AD457" s="417"/>
      <c r="AE457" s="417"/>
      <c r="AF457" s="417"/>
      <c r="AG457" s="417"/>
      <c r="AH457" s="417"/>
      <c r="AI457" s="417"/>
      <c r="AJ457" s="417"/>
      <c r="AK457" s="417"/>
      <c r="AL457" s="417"/>
      <c r="AM457" s="298">
        <f>SUM(Y457:AL457)</f>
        <v>1</v>
      </c>
    </row>
    <row r="458" spans="1:39" ht="15" hidden="1" outlineLevel="1">
      <c r="B458" s="296" t="s">
        <v>260</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1</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hidden="1"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hidden="1" outlineLevel="1">
      <c r="A460" s="510"/>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hidden="1" outlineLevel="1">
      <c r="A461" s="509">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hidden="1" outlineLevel="1">
      <c r="B462" s="296" t="s">
        <v>260</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hidden="1" outlineLevel="1">
      <c r="A463" s="512"/>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hidden="1" outlineLevel="1">
      <c r="A464" s="509">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hidden="1" outlineLevel="1">
      <c r="B465" s="296" t="s">
        <v>260</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hidden="1"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hidden="1" outlineLevel="1">
      <c r="A467" s="509">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hidden="1" outlineLevel="1">
      <c r="B468" s="296" t="s">
        <v>260</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hidden="1"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hidden="1" outlineLevel="1">
      <c r="A470" s="509">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hidden="1" outlineLevel="1">
      <c r="B471" s="296" t="s">
        <v>260</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hidden="1"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hidden="1" outlineLevel="1">
      <c r="A473" s="509">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hidden="1" outlineLevel="1">
      <c r="B474" s="296" t="s">
        <v>260</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hidden="1"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hidden="1" outlineLevel="1">
      <c r="A476" s="510"/>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hidden="1" outlineLevel="1">
      <c r="A477" s="509">
        <v>23</v>
      </c>
      <c r="B477" s="317" t="s">
        <v>14</v>
      </c>
      <c r="C477" s="293" t="s">
        <v>25</v>
      </c>
      <c r="D477" s="297">
        <v>71821.526363372803</v>
      </c>
      <c r="E477" s="297">
        <v>71732.842437744141</v>
      </c>
      <c r="F477" s="297">
        <v>67319.133218765259</v>
      </c>
      <c r="G477" s="297">
        <v>65467.014835357666</v>
      </c>
      <c r="H477" s="297">
        <v>63318.990867614746</v>
      </c>
      <c r="I477" s="297">
        <v>63318.990867614746</v>
      </c>
      <c r="J477" s="297">
        <v>61398.427192687988</v>
      </c>
      <c r="K477" s="297">
        <v>60095.036655426025</v>
      </c>
      <c r="L477" s="297">
        <v>42588.378021240234</v>
      </c>
      <c r="M477" s="297">
        <v>42271.378021240234</v>
      </c>
      <c r="N477" s="293"/>
      <c r="O477" s="297">
        <v>14.833026640349999</v>
      </c>
      <c r="P477" s="297">
        <v>14.828472601715475</v>
      </c>
      <c r="Q477" s="297">
        <v>14.598775725578889</v>
      </c>
      <c r="R477" s="297">
        <v>14.502143433317542</v>
      </c>
      <c r="S477" s="297">
        <v>14.405511146178469</v>
      </c>
      <c r="T477" s="297">
        <v>14.405511146178469</v>
      </c>
      <c r="U477" s="297">
        <v>14.305396658135578</v>
      </c>
      <c r="V477" s="297">
        <v>14.305396658135578</v>
      </c>
      <c r="W477" s="297">
        <v>13.39425254939124</v>
      </c>
      <c r="X477" s="297">
        <v>13.054852541070431</v>
      </c>
      <c r="Y477" s="417">
        <v>1</v>
      </c>
      <c r="Z477" s="417">
        <v>0</v>
      </c>
      <c r="AA477" s="417">
        <v>0</v>
      </c>
      <c r="AB477" s="412"/>
      <c r="AC477" s="412"/>
      <c r="AD477" s="412"/>
      <c r="AE477" s="412"/>
      <c r="AF477" s="412"/>
      <c r="AG477" s="412"/>
      <c r="AH477" s="412"/>
      <c r="AI477" s="412"/>
      <c r="AJ477" s="412"/>
      <c r="AK477" s="412"/>
      <c r="AL477" s="412"/>
      <c r="AM477" s="298">
        <f>SUM(Y477:AL477)</f>
        <v>1</v>
      </c>
    </row>
    <row r="478" spans="1:39" ht="15" hidden="1" outlineLevel="1">
      <c r="B478" s="296" t="s">
        <v>260</v>
      </c>
      <c r="C478" s="293" t="s">
        <v>164</v>
      </c>
      <c r="D478" s="297"/>
      <c r="E478" s="297"/>
      <c r="F478" s="297"/>
      <c r="G478" s="297"/>
      <c r="H478" s="297"/>
      <c r="I478" s="297"/>
      <c r="J478" s="297"/>
      <c r="K478" s="297"/>
      <c r="L478" s="297"/>
      <c r="M478" s="297"/>
      <c r="N478" s="469"/>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hidden="1"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hidden="1" outlineLevel="1">
      <c r="A480" s="510"/>
      <c r="B480" s="290" t="s">
        <v>489</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hidden="1" outlineLevel="1">
      <c r="A481" s="509">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hidden="1" outlineLevel="1">
      <c r="A482" s="509"/>
      <c r="B482" s="317" t="s">
        <v>260</v>
      </c>
      <c r="C482" s="293" t="s">
        <v>164</v>
      </c>
      <c r="D482" s="297"/>
      <c r="E482" s="297"/>
      <c r="F482" s="297"/>
      <c r="G482" s="297"/>
      <c r="H482" s="297"/>
      <c r="I482" s="297"/>
      <c r="J482" s="297"/>
      <c r="K482" s="297"/>
      <c r="L482" s="297"/>
      <c r="M482" s="297"/>
      <c r="N482" s="469"/>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hidden="1" outlineLevel="1">
      <c r="A483" s="509"/>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hidden="1" outlineLevel="1">
      <c r="A484" s="509">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hidden="1" outlineLevel="1">
      <c r="A485" s="509"/>
      <c r="B485" s="317" t="s">
        <v>260</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hidden="1" outlineLevel="1">
      <c r="A486" s="509"/>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hidden="1" outlineLevel="1">
      <c r="A487" s="510"/>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hidden="1" outlineLevel="1">
      <c r="A488" s="509">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hidden="1" outlineLevel="1">
      <c r="B489" s="296" t="s">
        <v>260</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hidden="1" outlineLevel="1">
      <c r="A490" s="512"/>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hidden="1" outlineLevel="1">
      <c r="A491" s="509">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hidden="1" outlineLevel="1">
      <c r="B492" s="296" t="s">
        <v>260</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hidden="1" outlineLevel="1">
      <c r="A493" s="512"/>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hidden="1" outlineLevel="1">
      <c r="A494" s="509">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hidden="1" outlineLevel="1">
      <c r="B495" s="296" t="s">
        <v>260</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hidden="1" outlineLevel="1">
      <c r="A496" s="512"/>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hidden="1" outlineLevel="1">
      <c r="A497" s="509">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hidden="1" outlineLevel="1">
      <c r="B498" s="326" t="s">
        <v>260</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hidden="1"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hidden="1" outlineLevel="1">
      <c r="A500" s="509">
        <v>30</v>
      </c>
      <c r="B500" s="316" t="s">
        <v>490</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hidden="1" outlineLevel="1">
      <c r="A501" s="509"/>
      <c r="B501" s="326" t="s">
        <v>260</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hidden="1" outlineLevel="1">
      <c r="A502" s="509"/>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hidden="1" outlineLevel="1">
      <c r="A503" s="509"/>
      <c r="B503" s="290" t="s">
        <v>491</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hidden="1" outlineLevel="1">
      <c r="A504" s="509">
        <v>31</v>
      </c>
      <c r="B504" s="326" t="s">
        <v>492</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hidden="1" outlineLevel="1">
      <c r="A505" s="509"/>
      <c r="B505" s="326" t="s">
        <v>260</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hidden="1" outlineLevel="1">
      <c r="A506" s="509"/>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hidden="1" outlineLevel="1">
      <c r="A507" s="509">
        <v>32</v>
      </c>
      <c r="B507" s="326" t="s">
        <v>493</v>
      </c>
      <c r="C507" s="293" t="s">
        <v>25</v>
      </c>
      <c r="D507" s="297"/>
      <c r="E507" s="297"/>
      <c r="F507" s="297"/>
      <c r="G507" s="297"/>
      <c r="H507" s="297"/>
      <c r="I507" s="297"/>
      <c r="J507" s="297"/>
      <c r="K507" s="297"/>
      <c r="L507" s="297"/>
      <c r="M507" s="297"/>
      <c r="N507" s="297">
        <v>0</v>
      </c>
      <c r="O507" s="297"/>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 hidden="1" outlineLevel="1">
      <c r="A508" s="509"/>
      <c r="B508" s="326" t="s">
        <v>260</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hidden="1" outlineLevel="1">
      <c r="A509" s="509"/>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hidden="1" outlineLevel="1">
      <c r="A510" s="509">
        <v>33</v>
      </c>
      <c r="B510" s="326" t="s">
        <v>494</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hidden="1" outlineLevel="1">
      <c r="A511" s="509"/>
      <c r="B511" s="326" t="s">
        <v>260</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hidden="1"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ollapsed="1">
      <c r="B513" s="329" t="s">
        <v>261</v>
      </c>
      <c r="C513" s="331"/>
      <c r="D513" s="331">
        <f>SUM(D408:D511)</f>
        <v>2372505.7444254863</v>
      </c>
      <c r="E513" s="331"/>
      <c r="F513" s="331"/>
      <c r="G513" s="331"/>
      <c r="H513" s="331"/>
      <c r="I513" s="331"/>
      <c r="J513" s="331"/>
      <c r="K513" s="331"/>
      <c r="L513" s="331"/>
      <c r="M513" s="331"/>
      <c r="N513" s="331"/>
      <c r="O513" s="331">
        <f>SUM(O408:O511)</f>
        <v>811.55935030022306</v>
      </c>
      <c r="P513" s="331"/>
      <c r="Q513" s="331"/>
      <c r="R513" s="331"/>
      <c r="S513" s="331"/>
      <c r="T513" s="331"/>
      <c r="U513" s="331"/>
      <c r="V513" s="331"/>
      <c r="W513" s="331"/>
      <c r="X513" s="331"/>
      <c r="Y513" s="331">
        <f>IF(Y407="kWh",SUMPRODUCT(D408:D511,Y408:Y511))</f>
        <v>631304.1433804452</v>
      </c>
      <c r="Z513" s="331">
        <f>IF(Z407="kWh",SUMPRODUCT(D408:D511,Z408:Z511))</f>
        <v>1214595.5373776266</v>
      </c>
      <c r="AA513" s="331">
        <f>IF(AA407="kW",SUMPRODUCT(N408:N511,O408:O511,AA408:AA511),SUMPRODUCT(D408:D511,AA408:AA511))</f>
        <v>1078.1446196321965</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262</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1345003</v>
      </c>
      <c r="Z514" s="330">
        <f>HLOOKUP(Z406,'2. LRAMVA Threshold'!$B$42:$Q$53,6,FALSE)</f>
        <v>543085</v>
      </c>
      <c r="AA514" s="330">
        <f>HLOOKUP(AA406,'2. LRAMVA Threshold'!$B$42:$Q$53,6,FALSE)</f>
        <v>10671</v>
      </c>
      <c r="AB514" s="330">
        <f>HLOOKUP(AB406,'2. LRAMVA Threshold'!$B$42:$Q$53,6,FALSE)</f>
        <v>196</v>
      </c>
      <c r="AC514" s="330">
        <f>HLOOKUP(AC406,'2. LRAMVA Threshold'!$B$42:$Q$53,6,FALSE)</f>
        <v>4684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1.9699999999999999E-2</v>
      </c>
      <c r="Z516" s="343">
        <f>HLOOKUP(Z$20,'3.  Distribution Rates'!$C$122:$P$133,6,FALSE)</f>
        <v>1.34E-2</v>
      </c>
      <c r="AA516" s="343">
        <f>HLOOKUP(AA$20,'3.  Distribution Rates'!$C$122:$P$133,6,FALSE)</f>
        <v>3.1166999999999998</v>
      </c>
      <c r="AB516" s="343">
        <f>HLOOKUP(AB$20,'3.  Distribution Rates'!$C$122:$P$133,6,FALSE)</f>
        <v>14.521699999999999</v>
      </c>
      <c r="AC516" s="343">
        <f>HLOOKUP(AC$20,'3.  Distribution Rates'!$C$122:$P$133,6,FALSE)</f>
        <v>8.8999999999999999E-3</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5103.227270088465</v>
      </c>
      <c r="Z517" s="380">
        <f t="shared" ref="Z517:AL517" si="151">Z137*Z516</f>
        <v>2458.5409414719547</v>
      </c>
      <c r="AA517" s="380">
        <f t="shared" si="151"/>
        <v>1880.8946730948619</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29">
        <f>SUM(Y517:AL517)</f>
        <v>9442.6628846552812</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3601.1278531602625</v>
      </c>
      <c r="Z518" s="380">
        <f t="shared" ref="Z518:AL518" si="152">Z266*Z516</f>
        <v>8432.5799653851554</v>
      </c>
      <c r="AA518" s="380">
        <f t="shared" si="152"/>
        <v>6354.3778579557365</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29">
        <f>SUM(Y518:AL518)</f>
        <v>18388.085676501156</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3656.0236905075035</v>
      </c>
      <c r="Z519" s="380">
        <f t="shared" ref="Z519:AL519" si="153">Z395*Z516</f>
        <v>10756.45784542508</v>
      </c>
      <c r="AA519" s="380">
        <f t="shared" si="153"/>
        <v>4070.0913912945853</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29">
        <f>SUM(Y519:AL519)</f>
        <v>18482.572927227171</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12436.69162459477</v>
      </c>
      <c r="Z520" s="380">
        <f t="shared" ref="Z520:AK520" si="154">Z513*Z516</f>
        <v>16275.580200860197</v>
      </c>
      <c r="AA520" s="380">
        <f t="shared" si="154"/>
        <v>3360.2533360076668</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29">
        <f>SUM(Y520:AL520)</f>
        <v>32072.525161462636</v>
      </c>
    </row>
    <row r="521" spans="2:41" ht="15.75">
      <c r="B521" s="351" t="s">
        <v>263</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24797.070438351002</v>
      </c>
      <c r="Z521" s="348">
        <f t="shared" ref="Z521:AK521" si="155">SUM(Z517:Z520)</f>
        <v>37923.158953142389</v>
      </c>
      <c r="AA521" s="348">
        <f t="shared" si="155"/>
        <v>15665.617258352851</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78385.846649846237</v>
      </c>
    </row>
    <row r="522" spans="2:41" ht="15.75">
      <c r="B522" s="351" t="s">
        <v>264</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26496.559099999999</v>
      </c>
      <c r="Z522" s="349">
        <f t="shared" ref="Z522:AJ522" si="156">Z514*Z516</f>
        <v>7277.3389999999999</v>
      </c>
      <c r="AA522" s="349">
        <f>AA514*AA516</f>
        <v>33258.305699999997</v>
      </c>
      <c r="AB522" s="349">
        <f t="shared" si="156"/>
        <v>2846.2531999999997</v>
      </c>
      <c r="AC522" s="349">
        <f t="shared" si="156"/>
        <v>41.687599999999996</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69920.1446</v>
      </c>
    </row>
    <row r="523" spans="2:41" ht="15.75">
      <c r="B523" s="351" t="s">
        <v>266</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8465.7020498462371</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578637.45456912112</v>
      </c>
      <c r="Z526" s="293">
        <f>SUMPRODUCT(E408:E511,Z408:Z511)</f>
        <v>1210974.4636271079</v>
      </c>
      <c r="AA526" s="293">
        <f>IF(AA407="kW",SUMPRODUCT(N408:N511,P408:P511,AA408:AA511),SUMPRODUCT(E408:E511,AA408:AA511))</f>
        <v>1076.2551861580744</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547051.6928007328</v>
      </c>
      <c r="Z527" s="293">
        <f>SUMPRODUCT(F408:F511,Z408:Z511)</f>
        <v>886424.09773851628</v>
      </c>
      <c r="AA527" s="293">
        <f>IF(AA407="kW",SUMPRODUCT(N408:N511,Q408:Q511,AA408:AA511),SUMPRODUCT(F408:F511,AA408:AA511))</f>
        <v>1076.2551861580744</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545095.16637071758</v>
      </c>
      <c r="Z528" s="293">
        <f>SUMPRODUCT(G408:G511,Z408:Z511)</f>
        <v>822732.1863809292</v>
      </c>
      <c r="AA528" s="293">
        <f>IF(AA407="kW",SUMPRODUCT(N408:N511,R408:R511,AA408:AA511),SUMPRODUCT(G408:G511,AA408:AA511))</f>
        <v>1054.5764489237536</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527221.37010389916</v>
      </c>
      <c r="Z529" s="293">
        <f>SUMPRODUCT(H408:H511,Z408:Z511)</f>
        <v>822732.1863809292</v>
      </c>
      <c r="AA529" s="293">
        <f>IF(AA407="kW",SUMPRODUCT(N408:N511,S408:S511,AA408:AA511),SUMPRODUCT(H408:H511,AA408:AA511))</f>
        <v>573.36695035424259</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508443.92741661629</v>
      </c>
      <c r="Z530" s="293">
        <f>SUMPRODUCT(I408:I511,Z408:Z511)</f>
        <v>822732.1863809292</v>
      </c>
      <c r="AA530" s="293">
        <f>IF(AA407="kW",SUMPRODUCT(N408:N511,T408:T511,AA408:AA511),SUMPRODUCT(I408:I511,AA408:AA511))</f>
        <v>573.36695035424259</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506523.36374168954</v>
      </c>
      <c r="Z531" s="328">
        <f>SUMPRODUCT(J408:J511,Z408:Z511)</f>
        <v>818037.9072876533</v>
      </c>
      <c r="AA531" s="328">
        <f>IF(AA407="kW",SUMPRODUCT(N408:N511,U408:U511,AA408:AA511),SUMPRODUCT(J408:J511,AA408:AA511))</f>
        <v>561.79162397556377</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591</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5" t="s">
        <v>527</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70866141732283472" right="0.70866141732283472" top="0.74803149606299213" bottom="0.74803149606299213" header="0.31496062992125984" footer="0.31496062992125984"/>
  <pageSetup scale="33"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3:AP1130"/>
  <sheetViews>
    <sheetView topLeftCell="A13" zoomScale="80" zoomScaleNormal="80" workbookViewId="0">
      <pane xSplit="2" topLeftCell="C1" activePane="topRight" state="frozen"/>
      <selection activeCell="F51" sqref="F51"/>
      <selection pane="topRight" activeCell="F51" sqref="F51"/>
    </sheetView>
  </sheetViews>
  <sheetFormatPr defaultRowHeight="15" outlineLevelRow="1" outlineLevelCol="1"/>
  <cols>
    <col min="1" max="1" width="4.5703125" style="522" customWidth="1"/>
    <col min="2" max="2" width="44.140625" style="429" customWidth="1"/>
    <col min="3" max="3" width="13.42578125" style="429" customWidth="1"/>
    <col min="4" max="4" width="11.7109375" style="429" customWidth="1"/>
    <col min="5" max="13" width="11.7109375" style="429" hidden="1" customWidth="1" outlineLevel="1"/>
    <col min="14" max="14" width="9.140625" style="429" hidden="1" customWidth="1" outlineLevel="1"/>
    <col min="15" max="15" width="15.7109375" style="429" customWidth="1" collapsed="1"/>
    <col min="16" max="24" width="9.140625" style="429" hidden="1" customWidth="1" outlineLevel="1"/>
    <col min="25" max="25" width="16.5703125" style="429" customWidth="1" collapsed="1"/>
    <col min="26" max="26" width="15" style="429" customWidth="1"/>
    <col min="27" max="27" width="16.7109375" style="429" bestFit="1"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798" t="s">
        <v>172</v>
      </c>
      <c r="C14" s="259" t="s">
        <v>176</v>
      </c>
      <c r="D14" s="50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798"/>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798"/>
      <c r="C16" s="795" t="s">
        <v>552</v>
      </c>
      <c r="D16" s="796"/>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hidden="1" customHeight="1">
      <c r="B18" s="798" t="s">
        <v>506</v>
      </c>
      <c r="C18" s="799" t="s">
        <v>675</v>
      </c>
      <c r="D18" s="799"/>
      <c r="E18" s="799"/>
      <c r="F18" s="799"/>
      <c r="G18" s="799"/>
      <c r="H18" s="799"/>
      <c r="I18" s="799"/>
      <c r="J18" s="799"/>
      <c r="K18" s="799"/>
      <c r="L18" s="799"/>
      <c r="M18" s="799"/>
      <c r="N18" s="799"/>
      <c r="O18" s="799"/>
      <c r="P18" s="799"/>
      <c r="Q18" s="799"/>
      <c r="R18" s="799"/>
      <c r="S18" s="799"/>
      <c r="T18" s="799"/>
      <c r="U18" s="799"/>
      <c r="V18" s="799"/>
      <c r="W18" s="799"/>
      <c r="X18" s="799"/>
      <c r="Y18" s="606"/>
      <c r="Z18" s="606"/>
      <c r="AA18" s="606"/>
      <c r="AB18" s="606"/>
      <c r="AC18" s="606"/>
      <c r="AD18" s="606"/>
      <c r="AE18" s="272"/>
      <c r="AF18" s="267"/>
      <c r="AG18" s="267"/>
      <c r="AH18" s="267"/>
      <c r="AI18" s="267"/>
      <c r="AJ18" s="267"/>
      <c r="AK18" s="267"/>
      <c r="AL18" s="267"/>
      <c r="AM18" s="267"/>
    </row>
    <row r="19" spans="2:39" ht="45.75" hidden="1" customHeight="1">
      <c r="B19" s="798"/>
      <c r="C19" s="799" t="s">
        <v>574</v>
      </c>
      <c r="D19" s="799"/>
      <c r="E19" s="799"/>
      <c r="F19" s="799"/>
      <c r="G19" s="799"/>
      <c r="H19" s="799"/>
      <c r="I19" s="799"/>
      <c r="J19" s="799"/>
      <c r="K19" s="799"/>
      <c r="L19" s="799"/>
      <c r="M19" s="799"/>
      <c r="N19" s="799"/>
      <c r="O19" s="799"/>
      <c r="P19" s="799"/>
      <c r="Q19" s="799"/>
      <c r="R19" s="799"/>
      <c r="S19" s="799"/>
      <c r="T19" s="799"/>
      <c r="U19" s="799"/>
      <c r="V19" s="799"/>
      <c r="W19" s="799"/>
      <c r="X19" s="799"/>
      <c r="Y19" s="606"/>
      <c r="Z19" s="606"/>
      <c r="AA19" s="606"/>
      <c r="AB19" s="606"/>
      <c r="AC19" s="606"/>
      <c r="AD19" s="606"/>
      <c r="AE19" s="272"/>
      <c r="AF19" s="267"/>
      <c r="AG19" s="267"/>
      <c r="AH19" s="267"/>
      <c r="AI19" s="267"/>
      <c r="AJ19" s="267"/>
      <c r="AK19" s="267"/>
      <c r="AL19" s="267"/>
      <c r="AM19" s="267"/>
    </row>
    <row r="20" spans="2:39" ht="62.25" hidden="1" customHeight="1">
      <c r="B20" s="275"/>
      <c r="C20" s="799" t="s">
        <v>572</v>
      </c>
      <c r="D20" s="799"/>
      <c r="E20" s="799"/>
      <c r="F20" s="799"/>
      <c r="G20" s="799"/>
      <c r="H20" s="799"/>
      <c r="I20" s="799"/>
      <c r="J20" s="799"/>
      <c r="K20" s="799"/>
      <c r="L20" s="799"/>
      <c r="M20" s="799"/>
      <c r="N20" s="799"/>
      <c r="O20" s="799"/>
      <c r="P20" s="799"/>
      <c r="Q20" s="799"/>
      <c r="R20" s="799"/>
      <c r="S20" s="799"/>
      <c r="T20" s="799"/>
      <c r="U20" s="799"/>
      <c r="V20" s="799"/>
      <c r="W20" s="799"/>
      <c r="X20" s="799"/>
      <c r="Y20" s="606"/>
      <c r="Z20" s="606"/>
      <c r="AA20" s="606"/>
      <c r="AB20" s="606"/>
      <c r="AC20" s="606"/>
      <c r="AD20" s="606"/>
      <c r="AE20" s="430"/>
      <c r="AF20" s="267"/>
      <c r="AG20" s="267"/>
      <c r="AH20" s="267"/>
      <c r="AI20" s="267"/>
      <c r="AJ20" s="267"/>
      <c r="AK20" s="267"/>
      <c r="AL20" s="267"/>
      <c r="AM20" s="267"/>
    </row>
    <row r="21" spans="2:39" ht="37.5" hidden="1" customHeight="1">
      <c r="B21" s="275"/>
      <c r="C21" s="799" t="s">
        <v>642</v>
      </c>
      <c r="D21" s="799"/>
      <c r="E21" s="799"/>
      <c r="F21" s="799"/>
      <c r="G21" s="799"/>
      <c r="H21" s="799"/>
      <c r="I21" s="799"/>
      <c r="J21" s="799"/>
      <c r="K21" s="799"/>
      <c r="L21" s="799"/>
      <c r="M21" s="799"/>
      <c r="N21" s="799"/>
      <c r="O21" s="799"/>
      <c r="P21" s="799"/>
      <c r="Q21" s="799"/>
      <c r="R21" s="799"/>
      <c r="S21" s="799"/>
      <c r="T21" s="799"/>
      <c r="U21" s="799"/>
      <c r="V21" s="799"/>
      <c r="W21" s="799"/>
      <c r="X21" s="799"/>
      <c r="Y21" s="606"/>
      <c r="Z21" s="606"/>
      <c r="AA21" s="606"/>
      <c r="AB21" s="606"/>
      <c r="AC21" s="606"/>
      <c r="AD21" s="606"/>
      <c r="AE21" s="278"/>
      <c r="AF21" s="267"/>
      <c r="AG21" s="267"/>
      <c r="AH21" s="267"/>
      <c r="AI21" s="267"/>
      <c r="AJ21" s="267"/>
      <c r="AK21" s="267"/>
      <c r="AL21" s="267"/>
      <c r="AM21" s="267"/>
    </row>
    <row r="22" spans="2:39" ht="54.75" hidden="1" customHeight="1">
      <c r="B22" s="275"/>
      <c r="C22" s="799" t="s">
        <v>624</v>
      </c>
      <c r="D22" s="799"/>
      <c r="E22" s="799"/>
      <c r="F22" s="799"/>
      <c r="G22" s="799"/>
      <c r="H22" s="799"/>
      <c r="I22" s="799"/>
      <c r="J22" s="799"/>
      <c r="K22" s="799"/>
      <c r="L22" s="799"/>
      <c r="M22" s="799"/>
      <c r="N22" s="799"/>
      <c r="O22" s="799"/>
      <c r="P22" s="799"/>
      <c r="Q22" s="799"/>
      <c r="R22" s="799"/>
      <c r="S22" s="799"/>
      <c r="T22" s="799"/>
      <c r="U22" s="799"/>
      <c r="V22" s="799"/>
      <c r="W22" s="799"/>
      <c r="X22" s="799"/>
      <c r="Y22" s="606"/>
      <c r="Z22" s="606"/>
      <c r="AA22" s="606"/>
      <c r="AB22" s="606"/>
      <c r="AC22" s="606"/>
      <c r="AD22" s="606"/>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798" t="s">
        <v>528</v>
      </c>
      <c r="C24" s="596" t="s">
        <v>530</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798"/>
      <c r="C25" s="596" t="s">
        <v>531</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39"/>
      <c r="C26" s="596" t="s">
        <v>532</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39"/>
      <c r="C27" s="596" t="s">
        <v>533</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39"/>
      <c r="C28" s="596" t="s">
        <v>534</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39"/>
      <c r="C29" s="596" t="s">
        <v>535</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39"/>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39"/>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267</v>
      </c>
      <c r="C33" s="283"/>
      <c r="D33" s="590"/>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0" t="s">
        <v>212</v>
      </c>
      <c r="C34" s="802" t="s">
        <v>33</v>
      </c>
      <c r="D34" s="286" t="s">
        <v>423</v>
      </c>
      <c r="E34" s="804" t="s">
        <v>210</v>
      </c>
      <c r="F34" s="805"/>
      <c r="G34" s="805"/>
      <c r="H34" s="805"/>
      <c r="I34" s="805"/>
      <c r="J34" s="805"/>
      <c r="K34" s="805"/>
      <c r="L34" s="805"/>
      <c r="M34" s="806"/>
      <c r="N34" s="810" t="s">
        <v>214</v>
      </c>
      <c r="O34" s="286" t="s">
        <v>424</v>
      </c>
      <c r="P34" s="804" t="s">
        <v>213</v>
      </c>
      <c r="Q34" s="805"/>
      <c r="R34" s="805"/>
      <c r="S34" s="805"/>
      <c r="T34" s="805"/>
      <c r="U34" s="805"/>
      <c r="V34" s="805"/>
      <c r="W34" s="805"/>
      <c r="X34" s="806"/>
      <c r="Y34" s="807" t="s">
        <v>244</v>
      </c>
      <c r="Z34" s="808"/>
      <c r="AA34" s="808"/>
      <c r="AB34" s="808"/>
      <c r="AC34" s="808"/>
      <c r="AD34" s="808"/>
      <c r="AE34" s="808"/>
      <c r="AF34" s="808"/>
      <c r="AG34" s="808"/>
      <c r="AH34" s="808"/>
      <c r="AI34" s="808"/>
      <c r="AJ34" s="808"/>
      <c r="AK34" s="808"/>
      <c r="AL34" s="808"/>
      <c r="AM34" s="809"/>
    </row>
    <row r="35" spans="1:39" ht="65.25" customHeight="1">
      <c r="B35" s="801"/>
      <c r="C35" s="803"/>
      <c r="D35" s="287">
        <v>2015</v>
      </c>
      <c r="E35" s="287">
        <v>2016</v>
      </c>
      <c r="F35" s="287">
        <v>2017</v>
      </c>
      <c r="G35" s="287">
        <v>2018</v>
      </c>
      <c r="H35" s="287">
        <v>2019</v>
      </c>
      <c r="I35" s="287">
        <v>2020</v>
      </c>
      <c r="J35" s="287">
        <v>2021</v>
      </c>
      <c r="K35" s="287">
        <v>2022</v>
      </c>
      <c r="L35" s="287">
        <v>2023</v>
      </c>
      <c r="M35" s="431">
        <v>2024</v>
      </c>
      <c r="N35" s="811"/>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 kW</v>
      </c>
      <c r="AB35" s="287" t="str">
        <f>'1.  LRAMVA Summary'!G50</f>
        <v>Streetlights</v>
      </c>
      <c r="AC35" s="287" t="str">
        <f>'1.  LRAMVA Summary'!H50</f>
        <v>Unmetered Scattered Load</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18" t="s">
        <v>505</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KWh</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290" t="s">
        <v>498</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idden="1" outlineLevel="1">
      <c r="A38" s="522">
        <v>1</v>
      </c>
      <c r="B38" s="520" t="s">
        <v>95</v>
      </c>
      <c r="C38" s="293" t="s">
        <v>25</v>
      </c>
      <c r="D38" s="297">
        <v>40747.337863877547</v>
      </c>
      <c r="E38" s="297">
        <v>40384.400594547857</v>
      </c>
      <c r="F38" s="297">
        <v>40384.400594547857</v>
      </c>
      <c r="G38" s="297">
        <v>40384.400594547857</v>
      </c>
      <c r="H38" s="297">
        <v>40384.400594547857</v>
      </c>
      <c r="I38" s="297">
        <v>40384.400594547857</v>
      </c>
      <c r="J38" s="297">
        <v>40384.400594547857</v>
      </c>
      <c r="K38" s="297">
        <v>40373.426301891013</v>
      </c>
      <c r="L38" s="297">
        <v>40373.426301891013</v>
      </c>
      <c r="M38" s="297">
        <v>40373.426301891013</v>
      </c>
      <c r="N38" s="293"/>
      <c r="O38" s="297">
        <v>2.5955452843775797</v>
      </c>
      <c r="P38" s="297">
        <v>2.5727610628853381</v>
      </c>
      <c r="Q38" s="297">
        <v>2.5727610628853381</v>
      </c>
      <c r="R38" s="297">
        <v>2.5727610628853381</v>
      </c>
      <c r="S38" s="297">
        <v>2.5727610628853381</v>
      </c>
      <c r="T38" s="297">
        <v>2.5727610628853381</v>
      </c>
      <c r="U38" s="297">
        <v>2.5727610628853381</v>
      </c>
      <c r="V38" s="297">
        <v>2.5715082897509949</v>
      </c>
      <c r="W38" s="297">
        <v>2.5715082897509949</v>
      </c>
      <c r="X38" s="297">
        <v>2.5715082897509949</v>
      </c>
      <c r="Y38" s="412">
        <v>1</v>
      </c>
      <c r="Z38" s="412">
        <v>0</v>
      </c>
      <c r="AA38" s="412">
        <v>0</v>
      </c>
      <c r="AB38" s="412"/>
      <c r="AC38" s="412"/>
      <c r="AD38" s="412"/>
      <c r="AE38" s="412"/>
      <c r="AF38" s="412"/>
      <c r="AG38" s="412"/>
      <c r="AH38" s="412"/>
      <c r="AI38" s="412"/>
      <c r="AJ38" s="412"/>
      <c r="AK38" s="412"/>
      <c r="AL38" s="412"/>
      <c r="AM38" s="298">
        <f>SUM(Y38:AL38)</f>
        <v>1</v>
      </c>
    </row>
    <row r="39" spans="1:39" hidden="1" outlineLevel="1">
      <c r="B39" s="296" t="s">
        <v>268</v>
      </c>
      <c r="C39" s="293" t="s">
        <v>164</v>
      </c>
      <c r="D39" s="297">
        <v>0</v>
      </c>
      <c r="E39" s="297">
        <v>0</v>
      </c>
      <c r="F39" s="297">
        <v>0</v>
      </c>
      <c r="G39" s="297">
        <v>0</v>
      </c>
      <c r="H39" s="297">
        <v>0</v>
      </c>
      <c r="I39" s="297">
        <v>0</v>
      </c>
      <c r="J39" s="297">
        <v>0</v>
      </c>
      <c r="K39" s="297">
        <v>0</v>
      </c>
      <c r="L39" s="297">
        <v>0</v>
      </c>
      <c r="M39" s="297">
        <v>0</v>
      </c>
      <c r="N39" s="469"/>
      <c r="O39" s="297">
        <v>0</v>
      </c>
      <c r="P39" s="297">
        <v>0</v>
      </c>
      <c r="Q39" s="297">
        <v>0</v>
      </c>
      <c r="R39" s="297">
        <v>0</v>
      </c>
      <c r="S39" s="297">
        <v>0</v>
      </c>
      <c r="T39" s="297">
        <v>0</v>
      </c>
      <c r="U39" s="297">
        <v>0</v>
      </c>
      <c r="V39" s="297">
        <v>0</v>
      </c>
      <c r="W39" s="297">
        <v>0</v>
      </c>
      <c r="X39" s="297">
        <v>0</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hidden="1"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hidden="1" outlineLevel="1">
      <c r="A41" s="522">
        <v>2</v>
      </c>
      <c r="B41" s="520" t="s">
        <v>96</v>
      </c>
      <c r="C41" s="293" t="s">
        <v>25</v>
      </c>
      <c r="D41" s="297">
        <v>96163.765526452582</v>
      </c>
      <c r="E41" s="297">
        <v>92853.364846757977</v>
      </c>
      <c r="F41" s="297">
        <v>92853.364846757977</v>
      </c>
      <c r="G41" s="297">
        <v>92853.364846757977</v>
      </c>
      <c r="H41" s="297">
        <v>92853.364846757977</v>
      </c>
      <c r="I41" s="297">
        <v>92853.364846757977</v>
      </c>
      <c r="J41" s="297">
        <v>92853.364846757977</v>
      </c>
      <c r="K41" s="297">
        <v>92853.364846757977</v>
      </c>
      <c r="L41" s="297">
        <v>92853.364846757977</v>
      </c>
      <c r="M41" s="297">
        <v>92853.364846757977</v>
      </c>
      <c r="N41" s="293"/>
      <c r="O41" s="297">
        <v>7.1498504523071205</v>
      </c>
      <c r="P41" s="297">
        <v>6.9420324388704344</v>
      </c>
      <c r="Q41" s="297">
        <v>6.9420324388704344</v>
      </c>
      <c r="R41" s="297">
        <v>6.9420324388704344</v>
      </c>
      <c r="S41" s="297">
        <v>6.9420324388704344</v>
      </c>
      <c r="T41" s="297">
        <v>6.9420324388704344</v>
      </c>
      <c r="U41" s="297">
        <v>6.9420324388704344</v>
      </c>
      <c r="V41" s="297">
        <v>6.9420324388704344</v>
      </c>
      <c r="W41" s="297">
        <v>6.9420324388704344</v>
      </c>
      <c r="X41" s="297">
        <v>6.9420324388704344</v>
      </c>
      <c r="Y41" s="412">
        <v>1</v>
      </c>
      <c r="Z41" s="412">
        <v>0</v>
      </c>
      <c r="AA41" s="412">
        <v>0</v>
      </c>
      <c r="AB41" s="412"/>
      <c r="AC41" s="412"/>
      <c r="AD41" s="412"/>
      <c r="AE41" s="412"/>
      <c r="AF41" s="412"/>
      <c r="AG41" s="412"/>
      <c r="AH41" s="412"/>
      <c r="AI41" s="412"/>
      <c r="AJ41" s="412"/>
      <c r="AK41" s="412"/>
      <c r="AL41" s="412"/>
      <c r="AM41" s="298">
        <f>SUM(Y41:AL41)</f>
        <v>1</v>
      </c>
    </row>
    <row r="42" spans="1:39" hidden="1" outlineLevel="1">
      <c r="B42" s="296" t="s">
        <v>268</v>
      </c>
      <c r="C42" s="293" t="s">
        <v>164</v>
      </c>
      <c r="D42" s="297">
        <v>0</v>
      </c>
      <c r="E42" s="297">
        <v>0</v>
      </c>
      <c r="F42" s="297">
        <v>0</v>
      </c>
      <c r="G42" s="297">
        <v>0</v>
      </c>
      <c r="H42" s="297">
        <v>0</v>
      </c>
      <c r="I42" s="297">
        <v>0</v>
      </c>
      <c r="J42" s="297">
        <v>0</v>
      </c>
      <c r="K42" s="297">
        <v>0</v>
      </c>
      <c r="L42" s="297">
        <v>0</v>
      </c>
      <c r="M42" s="297">
        <v>0</v>
      </c>
      <c r="N42" s="469"/>
      <c r="O42" s="297">
        <v>0</v>
      </c>
      <c r="P42" s="297">
        <v>0</v>
      </c>
      <c r="Q42" s="297">
        <v>0</v>
      </c>
      <c r="R42" s="297">
        <v>0</v>
      </c>
      <c r="S42" s="297">
        <v>0</v>
      </c>
      <c r="T42" s="297">
        <v>0</v>
      </c>
      <c r="U42" s="297">
        <v>0</v>
      </c>
      <c r="V42" s="297">
        <v>0</v>
      </c>
      <c r="W42" s="297">
        <v>0</v>
      </c>
      <c r="X42" s="297">
        <v>0</v>
      </c>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hidden="1"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hidden="1" outlineLevel="1">
      <c r="A44" s="522">
        <v>3</v>
      </c>
      <c r="B44" s="520" t="s">
        <v>97</v>
      </c>
      <c r="C44" s="293" t="s">
        <v>25</v>
      </c>
      <c r="D44" s="297">
        <v>11615.871880481795</v>
      </c>
      <c r="E44" s="297">
        <v>11615.871880481795</v>
      </c>
      <c r="F44" s="297">
        <v>11615.871880481795</v>
      </c>
      <c r="G44" s="297">
        <v>11511.463833874126</v>
      </c>
      <c r="H44" s="297">
        <v>6104.6264729110871</v>
      </c>
      <c r="I44" s="297">
        <v>0</v>
      </c>
      <c r="J44" s="297">
        <v>0</v>
      </c>
      <c r="K44" s="297">
        <v>0</v>
      </c>
      <c r="L44" s="297">
        <v>0</v>
      </c>
      <c r="M44" s="297">
        <v>0</v>
      </c>
      <c r="N44" s="293"/>
      <c r="O44" s="297">
        <v>1.8940619853286125</v>
      </c>
      <c r="P44" s="297">
        <v>1.8940619853286125</v>
      </c>
      <c r="Q44" s="297">
        <v>1.8940619853286125</v>
      </c>
      <c r="R44" s="297">
        <v>1.7773076878544234</v>
      </c>
      <c r="S44" s="297">
        <v>0.89716125641366173</v>
      </c>
      <c r="T44" s="297">
        <v>0</v>
      </c>
      <c r="U44" s="297">
        <v>0</v>
      </c>
      <c r="V44" s="297">
        <v>0</v>
      </c>
      <c r="W44" s="297">
        <v>0</v>
      </c>
      <c r="X44" s="297">
        <v>0</v>
      </c>
      <c r="Y44" s="412">
        <v>1</v>
      </c>
      <c r="Z44" s="412">
        <v>0</v>
      </c>
      <c r="AA44" s="412">
        <v>0</v>
      </c>
      <c r="AB44" s="412"/>
      <c r="AC44" s="412"/>
      <c r="AD44" s="412"/>
      <c r="AE44" s="412"/>
      <c r="AF44" s="412"/>
      <c r="AG44" s="412"/>
      <c r="AH44" s="412"/>
      <c r="AI44" s="412"/>
      <c r="AJ44" s="412"/>
      <c r="AK44" s="412"/>
      <c r="AL44" s="412"/>
      <c r="AM44" s="298">
        <f>SUM(Y44:AL44)</f>
        <v>1</v>
      </c>
    </row>
    <row r="45" spans="1:39" hidden="1" outlineLevel="1">
      <c r="B45" s="296" t="s">
        <v>268</v>
      </c>
      <c r="C45" s="293" t="s">
        <v>164</v>
      </c>
      <c r="D45" s="297">
        <v>0</v>
      </c>
      <c r="E45" s="297">
        <v>0</v>
      </c>
      <c r="F45" s="297">
        <v>0</v>
      </c>
      <c r="G45" s="297">
        <v>0</v>
      </c>
      <c r="H45" s="297">
        <v>0</v>
      </c>
      <c r="I45" s="297">
        <v>0</v>
      </c>
      <c r="J45" s="297">
        <v>0</v>
      </c>
      <c r="K45" s="297">
        <v>0</v>
      </c>
      <c r="L45" s="297">
        <v>0</v>
      </c>
      <c r="M45" s="297">
        <v>0</v>
      </c>
      <c r="N45" s="469"/>
      <c r="O45" s="297">
        <v>0</v>
      </c>
      <c r="P45" s="297">
        <v>0</v>
      </c>
      <c r="Q45" s="297">
        <v>0</v>
      </c>
      <c r="R45" s="297">
        <v>0</v>
      </c>
      <c r="S45" s="297">
        <v>0</v>
      </c>
      <c r="T45" s="297">
        <v>0</v>
      </c>
      <c r="U45" s="297">
        <v>0</v>
      </c>
      <c r="V45" s="297">
        <v>0</v>
      </c>
      <c r="W45" s="297">
        <v>0</v>
      </c>
      <c r="X45" s="297">
        <v>0</v>
      </c>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hidden="1"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hidden="1" outlineLevel="1">
      <c r="A47" s="522">
        <v>4</v>
      </c>
      <c r="B47" s="520" t="s">
        <v>98</v>
      </c>
      <c r="C47" s="293" t="s">
        <v>25</v>
      </c>
      <c r="D47" s="297">
        <v>52366.549910811154</v>
      </c>
      <c r="E47" s="297">
        <v>52366.549910811154</v>
      </c>
      <c r="F47" s="297">
        <v>52366.549910811154</v>
      </c>
      <c r="G47" s="297">
        <v>52366.549910811154</v>
      </c>
      <c r="H47" s="297">
        <v>52366.549910811154</v>
      </c>
      <c r="I47" s="297">
        <v>52366.549910811154</v>
      </c>
      <c r="J47" s="297">
        <v>52366.549910811154</v>
      </c>
      <c r="K47" s="297">
        <v>52366.549910811154</v>
      </c>
      <c r="L47" s="297">
        <v>52366.549910811154</v>
      </c>
      <c r="M47" s="297">
        <v>52366.549910811154</v>
      </c>
      <c r="N47" s="293"/>
      <c r="O47" s="297">
        <v>26.938317740945855</v>
      </c>
      <c r="P47" s="297">
        <v>26.938317740945855</v>
      </c>
      <c r="Q47" s="297">
        <v>26.938317740945855</v>
      </c>
      <c r="R47" s="297">
        <v>26.938317740945855</v>
      </c>
      <c r="S47" s="297">
        <v>26.938317740945855</v>
      </c>
      <c r="T47" s="297">
        <v>26.938317740945855</v>
      </c>
      <c r="U47" s="297">
        <v>26.938317740945855</v>
      </c>
      <c r="V47" s="297">
        <v>26.938317740945855</v>
      </c>
      <c r="W47" s="297">
        <v>26.938317740945855</v>
      </c>
      <c r="X47" s="297">
        <v>26.938317740945855</v>
      </c>
      <c r="Y47" s="412">
        <v>1</v>
      </c>
      <c r="Z47" s="412">
        <v>0</v>
      </c>
      <c r="AA47" s="412">
        <v>0</v>
      </c>
      <c r="AB47" s="412"/>
      <c r="AC47" s="412"/>
      <c r="AD47" s="412"/>
      <c r="AE47" s="412"/>
      <c r="AF47" s="412"/>
      <c r="AG47" s="412"/>
      <c r="AH47" s="412"/>
      <c r="AI47" s="412"/>
      <c r="AJ47" s="412"/>
      <c r="AK47" s="412"/>
      <c r="AL47" s="412"/>
      <c r="AM47" s="298">
        <f>SUM(Y47:AL47)</f>
        <v>1</v>
      </c>
    </row>
    <row r="48" spans="1:39" hidden="1" outlineLevel="1">
      <c r="B48" s="296" t="s">
        <v>268</v>
      </c>
      <c r="C48" s="293" t="s">
        <v>164</v>
      </c>
      <c r="D48" s="297">
        <v>0</v>
      </c>
      <c r="E48" s="297">
        <v>0</v>
      </c>
      <c r="F48" s="297">
        <v>0</v>
      </c>
      <c r="G48" s="297">
        <v>0</v>
      </c>
      <c r="H48" s="297">
        <v>0</v>
      </c>
      <c r="I48" s="297">
        <v>0</v>
      </c>
      <c r="J48" s="297">
        <v>0</v>
      </c>
      <c r="K48" s="297">
        <v>0</v>
      </c>
      <c r="L48" s="297">
        <v>0</v>
      </c>
      <c r="M48" s="297">
        <v>0</v>
      </c>
      <c r="N48" s="469"/>
      <c r="O48" s="297">
        <v>0</v>
      </c>
      <c r="P48" s="297">
        <v>0</v>
      </c>
      <c r="Q48" s="297">
        <v>0</v>
      </c>
      <c r="R48" s="297">
        <v>0</v>
      </c>
      <c r="S48" s="297">
        <v>0</v>
      </c>
      <c r="T48" s="297">
        <v>0</v>
      </c>
      <c r="U48" s="297">
        <v>0</v>
      </c>
      <c r="V48" s="297">
        <v>0</v>
      </c>
      <c r="W48" s="297">
        <v>0</v>
      </c>
      <c r="X48" s="297">
        <v>0</v>
      </c>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hidden="1"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hidden="1" customHeight="1" outlineLevel="1">
      <c r="A50" s="522">
        <v>5</v>
      </c>
      <c r="B50" s="520" t="s">
        <v>99</v>
      </c>
      <c r="C50" s="293" t="s">
        <v>25</v>
      </c>
      <c r="D50" s="297" t="s">
        <v>701</v>
      </c>
      <c r="E50" s="297" t="s">
        <v>701</v>
      </c>
      <c r="F50" s="297" t="s">
        <v>701</v>
      </c>
      <c r="G50" s="297" t="s">
        <v>701</v>
      </c>
      <c r="H50" s="297" t="s">
        <v>701</v>
      </c>
      <c r="I50" s="297" t="s">
        <v>701</v>
      </c>
      <c r="J50" s="297" t="s">
        <v>701</v>
      </c>
      <c r="K50" s="297" t="s">
        <v>701</v>
      </c>
      <c r="L50" s="297" t="s">
        <v>701</v>
      </c>
      <c r="M50" s="297" t="s">
        <v>701</v>
      </c>
      <c r="N50" s="293"/>
      <c r="O50" s="297" t="s">
        <v>701</v>
      </c>
      <c r="P50" s="297" t="s">
        <v>701</v>
      </c>
      <c r="Q50" s="297" t="s">
        <v>701</v>
      </c>
      <c r="R50" s="297" t="s">
        <v>701</v>
      </c>
      <c r="S50" s="297" t="s">
        <v>701</v>
      </c>
      <c r="T50" s="297" t="s">
        <v>701</v>
      </c>
      <c r="U50" s="297" t="s">
        <v>701</v>
      </c>
      <c r="V50" s="297" t="s">
        <v>701</v>
      </c>
      <c r="W50" s="297" t="s">
        <v>701</v>
      </c>
      <c r="X50" s="297" t="s">
        <v>701</v>
      </c>
      <c r="Y50" s="412"/>
      <c r="Z50" s="412"/>
      <c r="AA50" s="412"/>
      <c r="AB50" s="412"/>
      <c r="AC50" s="412"/>
      <c r="AD50" s="412"/>
      <c r="AE50" s="412"/>
      <c r="AF50" s="412"/>
      <c r="AG50" s="412"/>
      <c r="AH50" s="412"/>
      <c r="AI50" s="412"/>
      <c r="AJ50" s="412"/>
      <c r="AK50" s="412"/>
      <c r="AL50" s="412"/>
      <c r="AM50" s="298">
        <f>SUM(Y50:AL50)</f>
        <v>0</v>
      </c>
    </row>
    <row r="51" spans="1:39" hidden="1" outlineLevel="1">
      <c r="B51" s="296" t="s">
        <v>268</v>
      </c>
      <c r="C51" s="293" t="s">
        <v>164</v>
      </c>
      <c r="D51" s="297" t="s">
        <v>701</v>
      </c>
      <c r="E51" s="297" t="s">
        <v>701</v>
      </c>
      <c r="F51" s="297" t="s">
        <v>701</v>
      </c>
      <c r="G51" s="297" t="s">
        <v>701</v>
      </c>
      <c r="H51" s="297" t="s">
        <v>701</v>
      </c>
      <c r="I51" s="297" t="s">
        <v>701</v>
      </c>
      <c r="J51" s="297" t="s">
        <v>701</v>
      </c>
      <c r="K51" s="297" t="s">
        <v>701</v>
      </c>
      <c r="L51" s="297" t="s">
        <v>701</v>
      </c>
      <c r="M51" s="297" t="s">
        <v>701</v>
      </c>
      <c r="N51" s="469"/>
      <c r="O51" s="297" t="s">
        <v>701</v>
      </c>
      <c r="P51" s="297" t="s">
        <v>701</v>
      </c>
      <c r="Q51" s="297" t="s">
        <v>701</v>
      </c>
      <c r="R51" s="297" t="s">
        <v>701</v>
      </c>
      <c r="S51" s="297" t="s">
        <v>701</v>
      </c>
      <c r="T51" s="297" t="s">
        <v>701</v>
      </c>
      <c r="U51" s="297" t="s">
        <v>701</v>
      </c>
      <c r="V51" s="297" t="s">
        <v>701</v>
      </c>
      <c r="W51" s="297" t="s">
        <v>701</v>
      </c>
      <c r="X51" s="297" t="s">
        <v>701</v>
      </c>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hidden="1"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hidden="1" customHeight="1" outlineLevel="1">
      <c r="B53" s="321" t="s">
        <v>499</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hidden="1" outlineLevel="1">
      <c r="A54" s="522">
        <v>6</v>
      </c>
      <c r="B54" s="520" t="s">
        <v>100</v>
      </c>
      <c r="C54" s="293" t="s">
        <v>25</v>
      </c>
      <c r="D54" s="297" t="s">
        <v>701</v>
      </c>
      <c r="E54" s="297" t="s">
        <v>701</v>
      </c>
      <c r="F54" s="297" t="s">
        <v>701</v>
      </c>
      <c r="G54" s="297" t="s">
        <v>701</v>
      </c>
      <c r="H54" s="297" t="s">
        <v>701</v>
      </c>
      <c r="I54" s="297" t="s">
        <v>701</v>
      </c>
      <c r="J54" s="297" t="s">
        <v>701</v>
      </c>
      <c r="K54" s="297" t="s">
        <v>701</v>
      </c>
      <c r="L54" s="297" t="s">
        <v>701</v>
      </c>
      <c r="M54" s="297" t="s">
        <v>701</v>
      </c>
      <c r="N54" s="297">
        <v>12</v>
      </c>
      <c r="O54" s="297" t="s">
        <v>701</v>
      </c>
      <c r="P54" s="297" t="s">
        <v>701</v>
      </c>
      <c r="Q54" s="297" t="s">
        <v>701</v>
      </c>
      <c r="R54" s="297" t="s">
        <v>701</v>
      </c>
      <c r="S54" s="297" t="s">
        <v>701</v>
      </c>
      <c r="T54" s="297" t="s">
        <v>701</v>
      </c>
      <c r="U54" s="297" t="s">
        <v>701</v>
      </c>
      <c r="V54" s="297" t="s">
        <v>701</v>
      </c>
      <c r="W54" s="297" t="s">
        <v>701</v>
      </c>
      <c r="X54" s="297" t="s">
        <v>701</v>
      </c>
      <c r="Y54" s="417"/>
      <c r="Z54" s="412"/>
      <c r="AA54" s="412"/>
      <c r="AB54" s="412"/>
      <c r="AC54" s="412"/>
      <c r="AD54" s="412"/>
      <c r="AE54" s="412"/>
      <c r="AF54" s="417"/>
      <c r="AG54" s="417"/>
      <c r="AH54" s="417"/>
      <c r="AI54" s="417"/>
      <c r="AJ54" s="417"/>
      <c r="AK54" s="417"/>
      <c r="AL54" s="417"/>
      <c r="AM54" s="298">
        <f>SUM(Y54:AL54)</f>
        <v>0</v>
      </c>
    </row>
    <row r="55" spans="1:39" hidden="1" outlineLevel="1">
      <c r="B55" s="296" t="s">
        <v>268</v>
      </c>
      <c r="C55" s="293" t="s">
        <v>164</v>
      </c>
      <c r="D55" s="297" t="s">
        <v>701</v>
      </c>
      <c r="E55" s="297" t="s">
        <v>701</v>
      </c>
      <c r="F55" s="297" t="s">
        <v>701</v>
      </c>
      <c r="G55" s="297" t="s">
        <v>701</v>
      </c>
      <c r="H55" s="297" t="s">
        <v>701</v>
      </c>
      <c r="I55" s="297" t="s">
        <v>701</v>
      </c>
      <c r="J55" s="297" t="s">
        <v>701</v>
      </c>
      <c r="K55" s="297" t="s">
        <v>701</v>
      </c>
      <c r="L55" s="297" t="s">
        <v>701</v>
      </c>
      <c r="M55" s="297" t="s">
        <v>701</v>
      </c>
      <c r="N55" s="297">
        <f>N54</f>
        <v>12</v>
      </c>
      <c r="O55" s="297" t="s">
        <v>701</v>
      </c>
      <c r="P55" s="297" t="s">
        <v>701</v>
      </c>
      <c r="Q55" s="297" t="s">
        <v>701</v>
      </c>
      <c r="R55" s="297" t="s">
        <v>701</v>
      </c>
      <c r="S55" s="297" t="s">
        <v>701</v>
      </c>
      <c r="T55" s="297" t="s">
        <v>701</v>
      </c>
      <c r="U55" s="297" t="s">
        <v>701</v>
      </c>
      <c r="V55" s="297" t="s">
        <v>701</v>
      </c>
      <c r="W55" s="297" t="s">
        <v>701</v>
      </c>
      <c r="X55" s="297" t="s">
        <v>701</v>
      </c>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hidden="1"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hidden="1" customHeight="1" outlineLevel="1">
      <c r="A57" s="522">
        <v>7</v>
      </c>
      <c r="B57" s="520" t="s">
        <v>101</v>
      </c>
      <c r="C57" s="293" t="s">
        <v>25</v>
      </c>
      <c r="D57" s="297">
        <v>801847.3259499995</v>
      </c>
      <c r="E57" s="297">
        <v>801847.3259499995</v>
      </c>
      <c r="F57" s="297">
        <v>799670.01598279923</v>
      </c>
      <c r="G57" s="297">
        <v>799670.01598279923</v>
      </c>
      <c r="H57" s="297">
        <v>799670.01598279923</v>
      </c>
      <c r="I57" s="297">
        <v>799670.01598279923</v>
      </c>
      <c r="J57" s="297">
        <v>783510.8875092424</v>
      </c>
      <c r="K57" s="297">
        <v>783510.8875092424</v>
      </c>
      <c r="L57" s="297">
        <v>781455.09473812906</v>
      </c>
      <c r="M57" s="297">
        <v>728631.79417189478</v>
      </c>
      <c r="N57" s="297">
        <v>12</v>
      </c>
      <c r="O57" s="297">
        <v>113.76993635507789</v>
      </c>
      <c r="P57" s="297">
        <v>113.76993635507789</v>
      </c>
      <c r="Q57" s="297">
        <v>113.08365536187307</v>
      </c>
      <c r="R57" s="297">
        <v>113.08365536187307</v>
      </c>
      <c r="S57" s="297">
        <v>113.08365536187307</v>
      </c>
      <c r="T57" s="297">
        <v>113.08365536187307</v>
      </c>
      <c r="U57" s="297">
        <v>111.2609443725302</v>
      </c>
      <c r="V57" s="297">
        <v>111.2609443725302</v>
      </c>
      <c r="W57" s="297">
        <v>110.61038169804115</v>
      </c>
      <c r="X57" s="297">
        <v>104.65436060010042</v>
      </c>
      <c r="Y57" s="412">
        <v>0</v>
      </c>
      <c r="Z57" s="412">
        <v>0.48154125825683458</v>
      </c>
      <c r="AA57" s="412">
        <v>0.51845874174316542</v>
      </c>
      <c r="AB57" s="412"/>
      <c r="AC57" s="533"/>
      <c r="AD57" s="412"/>
      <c r="AE57" s="412"/>
      <c r="AF57" s="417"/>
      <c r="AG57" s="417"/>
      <c r="AH57" s="417"/>
      <c r="AI57" s="417"/>
      <c r="AJ57" s="417"/>
      <c r="AK57" s="417"/>
      <c r="AL57" s="417"/>
      <c r="AM57" s="298">
        <f>SUM(Y57:AL57)</f>
        <v>1</v>
      </c>
    </row>
    <row r="58" spans="1:39" hidden="1" outlineLevel="1">
      <c r="B58" s="296" t="s">
        <v>268</v>
      </c>
      <c r="C58" s="293" t="s">
        <v>164</v>
      </c>
      <c r="D58" s="297">
        <v>0</v>
      </c>
      <c r="E58" s="297">
        <v>0</v>
      </c>
      <c r="F58" s="297">
        <v>0</v>
      </c>
      <c r="G58" s="297">
        <v>0</v>
      </c>
      <c r="H58" s="297">
        <v>0</v>
      </c>
      <c r="I58" s="297">
        <v>0</v>
      </c>
      <c r="J58" s="297">
        <v>0</v>
      </c>
      <c r="K58" s="297">
        <v>0</v>
      </c>
      <c r="L58" s="297">
        <v>0</v>
      </c>
      <c r="M58" s="297">
        <v>0</v>
      </c>
      <c r="N58" s="297">
        <f>N57</f>
        <v>12</v>
      </c>
      <c r="O58" s="297">
        <v>0</v>
      </c>
      <c r="P58" s="297">
        <v>0</v>
      </c>
      <c r="Q58" s="297">
        <v>0</v>
      </c>
      <c r="R58" s="297">
        <v>0</v>
      </c>
      <c r="S58" s="297">
        <v>0</v>
      </c>
      <c r="T58" s="297">
        <v>0</v>
      </c>
      <c r="U58" s="297">
        <v>0</v>
      </c>
      <c r="V58" s="297">
        <v>0</v>
      </c>
      <c r="W58" s="297">
        <v>0</v>
      </c>
      <c r="X58" s="297">
        <v>0</v>
      </c>
      <c r="Y58" s="413">
        <f>Y57</f>
        <v>0</v>
      </c>
      <c r="Z58" s="413">
        <f>Z57</f>
        <v>0.48154125825683458</v>
      </c>
      <c r="AA58" s="413">
        <f t="shared" ref="AA58" si="66">AA57</f>
        <v>0.51845874174316542</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hidden="1"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hidden="1" outlineLevel="1">
      <c r="A60" s="522">
        <v>8</v>
      </c>
      <c r="B60" s="520" t="s">
        <v>102</v>
      </c>
      <c r="C60" s="293" t="s">
        <v>25</v>
      </c>
      <c r="D60" s="297">
        <v>200344.6889512011</v>
      </c>
      <c r="E60" s="297">
        <v>173753.35174323231</v>
      </c>
      <c r="F60" s="297">
        <v>145101.00694457217</v>
      </c>
      <c r="G60" s="297">
        <v>145101.00694457217</v>
      </c>
      <c r="H60" s="297">
        <v>145101.00694457217</v>
      </c>
      <c r="I60" s="297">
        <v>145101.00694457217</v>
      </c>
      <c r="J60" s="297">
        <v>145101.00694457217</v>
      </c>
      <c r="K60" s="297">
        <v>145101.00694457217</v>
      </c>
      <c r="L60" s="297">
        <v>145101.00694457217</v>
      </c>
      <c r="M60" s="297">
        <v>145101.00694457217</v>
      </c>
      <c r="N60" s="297">
        <v>12</v>
      </c>
      <c r="O60" s="297">
        <v>45.679438952716225</v>
      </c>
      <c r="P60" s="297">
        <v>39.856493080140012</v>
      </c>
      <c r="Q60" s="297">
        <v>32.922001418597183</v>
      </c>
      <c r="R60" s="297">
        <v>32.922001418597183</v>
      </c>
      <c r="S60" s="297">
        <v>32.922001418597183</v>
      </c>
      <c r="T60" s="297">
        <v>32.922001418597183</v>
      </c>
      <c r="U60" s="297">
        <v>32.922001418597183</v>
      </c>
      <c r="V60" s="297">
        <v>32.922001418597183</v>
      </c>
      <c r="W60" s="297">
        <v>32.922001418597183</v>
      </c>
      <c r="X60" s="297">
        <v>32.922001418597183</v>
      </c>
      <c r="Y60" s="412">
        <v>0</v>
      </c>
      <c r="Z60" s="412">
        <v>1</v>
      </c>
      <c r="AA60" s="412">
        <v>0</v>
      </c>
      <c r="AB60" s="412"/>
      <c r="AC60" s="412"/>
      <c r="AD60" s="412"/>
      <c r="AE60" s="412"/>
      <c r="AF60" s="417"/>
      <c r="AG60" s="417"/>
      <c r="AH60" s="417"/>
      <c r="AI60" s="417"/>
      <c r="AJ60" s="417"/>
      <c r="AK60" s="417"/>
      <c r="AL60" s="417"/>
      <c r="AM60" s="298">
        <f>SUM(Y60:AL60)</f>
        <v>1</v>
      </c>
    </row>
    <row r="61" spans="1:39" hidden="1" outlineLevel="1">
      <c r="B61" s="296" t="s">
        <v>268</v>
      </c>
      <c r="C61" s="293" t="s">
        <v>164</v>
      </c>
      <c r="D61" s="297">
        <v>0</v>
      </c>
      <c r="E61" s="297">
        <v>0</v>
      </c>
      <c r="F61" s="297">
        <v>0</v>
      </c>
      <c r="G61" s="297">
        <v>0</v>
      </c>
      <c r="H61" s="297">
        <v>0</v>
      </c>
      <c r="I61" s="297">
        <v>0</v>
      </c>
      <c r="J61" s="297">
        <v>0</v>
      </c>
      <c r="K61" s="297">
        <v>0</v>
      </c>
      <c r="L61" s="297">
        <v>0</v>
      </c>
      <c r="M61" s="297">
        <v>0</v>
      </c>
      <c r="N61" s="297">
        <f>N60</f>
        <v>12</v>
      </c>
      <c r="O61" s="297">
        <v>0</v>
      </c>
      <c r="P61" s="297">
        <v>0</v>
      </c>
      <c r="Q61" s="297">
        <v>0</v>
      </c>
      <c r="R61" s="297">
        <v>0</v>
      </c>
      <c r="S61" s="297">
        <v>0</v>
      </c>
      <c r="T61" s="297">
        <v>0</v>
      </c>
      <c r="U61" s="297">
        <v>0</v>
      </c>
      <c r="V61" s="297">
        <v>0</v>
      </c>
      <c r="W61" s="297">
        <v>0</v>
      </c>
      <c r="X61" s="297">
        <v>0</v>
      </c>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hidden="1"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hidden="1" outlineLevel="1">
      <c r="A63" s="522">
        <v>9</v>
      </c>
      <c r="B63" s="520" t="s">
        <v>103</v>
      </c>
      <c r="C63" s="293" t="s">
        <v>25</v>
      </c>
      <c r="D63" s="297" t="s">
        <v>701</v>
      </c>
      <c r="E63" s="297" t="s">
        <v>701</v>
      </c>
      <c r="F63" s="297" t="s">
        <v>701</v>
      </c>
      <c r="G63" s="297" t="s">
        <v>701</v>
      </c>
      <c r="H63" s="297" t="s">
        <v>701</v>
      </c>
      <c r="I63" s="297" t="s">
        <v>701</v>
      </c>
      <c r="J63" s="297" t="s">
        <v>701</v>
      </c>
      <c r="K63" s="297" t="s">
        <v>701</v>
      </c>
      <c r="L63" s="297" t="s">
        <v>701</v>
      </c>
      <c r="M63" s="297" t="s">
        <v>701</v>
      </c>
      <c r="N63" s="297">
        <v>12</v>
      </c>
      <c r="O63" s="297" t="s">
        <v>701</v>
      </c>
      <c r="P63" s="297" t="s">
        <v>701</v>
      </c>
      <c r="Q63" s="297" t="s">
        <v>701</v>
      </c>
      <c r="R63" s="297" t="s">
        <v>701</v>
      </c>
      <c r="S63" s="297" t="s">
        <v>701</v>
      </c>
      <c r="T63" s="297" t="s">
        <v>701</v>
      </c>
      <c r="U63" s="297" t="s">
        <v>701</v>
      </c>
      <c r="V63" s="297" t="s">
        <v>701</v>
      </c>
      <c r="W63" s="297" t="s">
        <v>701</v>
      </c>
      <c r="X63" s="297" t="s">
        <v>701</v>
      </c>
      <c r="Y63" s="417"/>
      <c r="Z63" s="412"/>
      <c r="AA63" s="412"/>
      <c r="AB63" s="412"/>
      <c r="AC63" s="412"/>
      <c r="AD63" s="412"/>
      <c r="AE63" s="412"/>
      <c r="AF63" s="417"/>
      <c r="AG63" s="417"/>
      <c r="AH63" s="417"/>
      <c r="AI63" s="417"/>
      <c r="AJ63" s="417"/>
      <c r="AK63" s="417"/>
      <c r="AL63" s="417"/>
      <c r="AM63" s="298">
        <f>SUM(Y63:AL63)</f>
        <v>0</v>
      </c>
    </row>
    <row r="64" spans="1:39" hidden="1" outlineLevel="1">
      <c r="B64" s="296" t="s">
        <v>268</v>
      </c>
      <c r="C64" s="293" t="s">
        <v>164</v>
      </c>
      <c r="D64" s="297" t="s">
        <v>701</v>
      </c>
      <c r="E64" s="297" t="s">
        <v>701</v>
      </c>
      <c r="F64" s="297" t="s">
        <v>701</v>
      </c>
      <c r="G64" s="297" t="s">
        <v>701</v>
      </c>
      <c r="H64" s="297" t="s">
        <v>701</v>
      </c>
      <c r="I64" s="297" t="s">
        <v>701</v>
      </c>
      <c r="J64" s="297" t="s">
        <v>701</v>
      </c>
      <c r="K64" s="297" t="s">
        <v>701</v>
      </c>
      <c r="L64" s="297" t="s">
        <v>701</v>
      </c>
      <c r="M64" s="297" t="s">
        <v>701</v>
      </c>
      <c r="N64" s="297">
        <f>N63</f>
        <v>12</v>
      </c>
      <c r="O64" s="297" t="s">
        <v>701</v>
      </c>
      <c r="P64" s="297" t="s">
        <v>701</v>
      </c>
      <c r="Q64" s="297" t="s">
        <v>701</v>
      </c>
      <c r="R64" s="297" t="s">
        <v>701</v>
      </c>
      <c r="S64" s="297" t="s">
        <v>701</v>
      </c>
      <c r="T64" s="297" t="s">
        <v>701</v>
      </c>
      <c r="U64" s="297" t="s">
        <v>701</v>
      </c>
      <c r="V64" s="297" t="s">
        <v>701</v>
      </c>
      <c r="W64" s="297" t="s">
        <v>701</v>
      </c>
      <c r="X64" s="297" t="s">
        <v>701</v>
      </c>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hidden="1"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hidden="1" outlineLevel="1">
      <c r="A66" s="522">
        <v>10</v>
      </c>
      <c r="B66" s="520" t="s">
        <v>104</v>
      </c>
      <c r="C66" s="293" t="s">
        <v>25</v>
      </c>
      <c r="D66" s="297" t="s">
        <v>701</v>
      </c>
      <c r="E66" s="297" t="s">
        <v>701</v>
      </c>
      <c r="F66" s="297" t="s">
        <v>701</v>
      </c>
      <c r="G66" s="297" t="s">
        <v>701</v>
      </c>
      <c r="H66" s="297" t="s">
        <v>701</v>
      </c>
      <c r="I66" s="297" t="s">
        <v>701</v>
      </c>
      <c r="J66" s="297" t="s">
        <v>701</v>
      </c>
      <c r="K66" s="297" t="s">
        <v>701</v>
      </c>
      <c r="L66" s="297" t="s">
        <v>701</v>
      </c>
      <c r="M66" s="297" t="s">
        <v>701</v>
      </c>
      <c r="N66" s="297">
        <v>3</v>
      </c>
      <c r="O66" s="297" t="s">
        <v>701</v>
      </c>
      <c r="P66" s="297" t="s">
        <v>701</v>
      </c>
      <c r="Q66" s="297" t="s">
        <v>701</v>
      </c>
      <c r="R66" s="297" t="s">
        <v>701</v>
      </c>
      <c r="S66" s="297" t="s">
        <v>701</v>
      </c>
      <c r="T66" s="297" t="s">
        <v>701</v>
      </c>
      <c r="U66" s="297" t="s">
        <v>701</v>
      </c>
      <c r="V66" s="297" t="s">
        <v>701</v>
      </c>
      <c r="W66" s="297" t="s">
        <v>701</v>
      </c>
      <c r="X66" s="297" t="s">
        <v>701</v>
      </c>
      <c r="Y66" s="417"/>
      <c r="Z66" s="412"/>
      <c r="AA66" s="412"/>
      <c r="AB66" s="412"/>
      <c r="AC66" s="412"/>
      <c r="AD66" s="412"/>
      <c r="AE66" s="412"/>
      <c r="AF66" s="417"/>
      <c r="AG66" s="417"/>
      <c r="AH66" s="417"/>
      <c r="AI66" s="417"/>
      <c r="AJ66" s="417"/>
      <c r="AK66" s="417"/>
      <c r="AL66" s="417"/>
      <c r="AM66" s="298">
        <f>SUM(Y66:AL66)</f>
        <v>0</v>
      </c>
    </row>
    <row r="67" spans="1:39" hidden="1" outlineLevel="1">
      <c r="B67" s="296" t="s">
        <v>268</v>
      </c>
      <c r="C67" s="293" t="s">
        <v>164</v>
      </c>
      <c r="D67" s="297" t="s">
        <v>701</v>
      </c>
      <c r="E67" s="297" t="s">
        <v>701</v>
      </c>
      <c r="F67" s="297" t="s">
        <v>701</v>
      </c>
      <c r="G67" s="297" t="s">
        <v>701</v>
      </c>
      <c r="H67" s="297" t="s">
        <v>701</v>
      </c>
      <c r="I67" s="297" t="s">
        <v>701</v>
      </c>
      <c r="J67" s="297" t="s">
        <v>701</v>
      </c>
      <c r="K67" s="297" t="s">
        <v>701</v>
      </c>
      <c r="L67" s="297" t="s">
        <v>701</v>
      </c>
      <c r="M67" s="297" t="s">
        <v>701</v>
      </c>
      <c r="N67" s="297">
        <f>N66</f>
        <v>3</v>
      </c>
      <c r="O67" s="297" t="s">
        <v>701</v>
      </c>
      <c r="P67" s="297" t="s">
        <v>701</v>
      </c>
      <c r="Q67" s="297" t="s">
        <v>701</v>
      </c>
      <c r="R67" s="297" t="s">
        <v>701</v>
      </c>
      <c r="S67" s="297" t="s">
        <v>701</v>
      </c>
      <c r="T67" s="297" t="s">
        <v>701</v>
      </c>
      <c r="U67" s="297" t="s">
        <v>701</v>
      </c>
      <c r="V67" s="297" t="s">
        <v>701</v>
      </c>
      <c r="W67" s="297" t="s">
        <v>701</v>
      </c>
      <c r="X67" s="297" t="s">
        <v>701</v>
      </c>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hidden="1"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hidden="1"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hidden="1" outlineLevel="1">
      <c r="A70" s="522">
        <v>11</v>
      </c>
      <c r="B70" s="520" t="s">
        <v>105</v>
      </c>
      <c r="C70" s="293" t="s">
        <v>25</v>
      </c>
      <c r="D70" s="297" t="s">
        <v>701</v>
      </c>
      <c r="E70" s="297" t="s">
        <v>701</v>
      </c>
      <c r="F70" s="297" t="s">
        <v>701</v>
      </c>
      <c r="G70" s="297" t="s">
        <v>701</v>
      </c>
      <c r="H70" s="297" t="s">
        <v>701</v>
      </c>
      <c r="I70" s="297" t="s">
        <v>701</v>
      </c>
      <c r="J70" s="297" t="s">
        <v>701</v>
      </c>
      <c r="K70" s="297" t="s">
        <v>701</v>
      </c>
      <c r="L70" s="297" t="s">
        <v>701</v>
      </c>
      <c r="M70" s="297" t="s">
        <v>701</v>
      </c>
      <c r="N70" s="297">
        <v>12</v>
      </c>
      <c r="O70" s="297" t="s">
        <v>701</v>
      </c>
      <c r="P70" s="297" t="s">
        <v>701</v>
      </c>
      <c r="Q70" s="297" t="s">
        <v>701</v>
      </c>
      <c r="R70" s="297" t="s">
        <v>701</v>
      </c>
      <c r="S70" s="297" t="s">
        <v>701</v>
      </c>
      <c r="T70" s="297" t="s">
        <v>701</v>
      </c>
      <c r="U70" s="297" t="s">
        <v>701</v>
      </c>
      <c r="V70" s="297" t="s">
        <v>701</v>
      </c>
      <c r="W70" s="297" t="s">
        <v>701</v>
      </c>
      <c r="X70" s="297" t="s">
        <v>701</v>
      </c>
      <c r="Y70" s="428"/>
      <c r="Z70" s="412"/>
      <c r="AA70" s="412"/>
      <c r="AB70" s="412"/>
      <c r="AC70" s="412"/>
      <c r="AD70" s="412"/>
      <c r="AE70" s="412"/>
      <c r="AF70" s="417"/>
      <c r="AG70" s="417"/>
      <c r="AH70" s="417"/>
      <c r="AI70" s="417"/>
      <c r="AJ70" s="417"/>
      <c r="AK70" s="417"/>
      <c r="AL70" s="417"/>
      <c r="AM70" s="298">
        <f>SUM(Y70:AL70)</f>
        <v>0</v>
      </c>
    </row>
    <row r="71" spans="1:39" hidden="1" outlineLevel="1">
      <c r="B71" s="296" t="s">
        <v>268</v>
      </c>
      <c r="C71" s="293" t="s">
        <v>164</v>
      </c>
      <c r="D71" s="297" t="s">
        <v>701</v>
      </c>
      <c r="E71" s="297" t="s">
        <v>701</v>
      </c>
      <c r="F71" s="297" t="s">
        <v>701</v>
      </c>
      <c r="G71" s="297" t="s">
        <v>701</v>
      </c>
      <c r="H71" s="297" t="s">
        <v>701</v>
      </c>
      <c r="I71" s="297" t="s">
        <v>701</v>
      </c>
      <c r="J71" s="297" t="s">
        <v>701</v>
      </c>
      <c r="K71" s="297" t="s">
        <v>701</v>
      </c>
      <c r="L71" s="297" t="s">
        <v>701</v>
      </c>
      <c r="M71" s="297" t="s">
        <v>701</v>
      </c>
      <c r="N71" s="297">
        <f>N70</f>
        <v>12</v>
      </c>
      <c r="O71" s="297" t="s">
        <v>701</v>
      </c>
      <c r="P71" s="297" t="s">
        <v>701</v>
      </c>
      <c r="Q71" s="297" t="s">
        <v>701</v>
      </c>
      <c r="R71" s="297" t="s">
        <v>701</v>
      </c>
      <c r="S71" s="297" t="s">
        <v>701</v>
      </c>
      <c r="T71" s="297" t="s">
        <v>701</v>
      </c>
      <c r="U71" s="297" t="s">
        <v>701</v>
      </c>
      <c r="V71" s="297" t="s">
        <v>701</v>
      </c>
      <c r="W71" s="297" t="s">
        <v>701</v>
      </c>
      <c r="X71" s="297" t="s">
        <v>701</v>
      </c>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hidden="1"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hidden="1" outlineLevel="1">
      <c r="A73" s="522">
        <v>12</v>
      </c>
      <c r="B73" s="520" t="s">
        <v>106</v>
      </c>
      <c r="C73" s="293" t="s">
        <v>25</v>
      </c>
      <c r="D73" s="297" t="s">
        <v>701</v>
      </c>
      <c r="E73" s="297" t="s">
        <v>701</v>
      </c>
      <c r="F73" s="297" t="s">
        <v>701</v>
      </c>
      <c r="G73" s="297" t="s">
        <v>701</v>
      </c>
      <c r="H73" s="297" t="s">
        <v>701</v>
      </c>
      <c r="I73" s="297" t="s">
        <v>701</v>
      </c>
      <c r="J73" s="297" t="s">
        <v>701</v>
      </c>
      <c r="K73" s="297" t="s">
        <v>701</v>
      </c>
      <c r="L73" s="297" t="s">
        <v>701</v>
      </c>
      <c r="M73" s="297" t="s">
        <v>701</v>
      </c>
      <c r="N73" s="297">
        <v>12</v>
      </c>
      <c r="O73" s="297" t="s">
        <v>701</v>
      </c>
      <c r="P73" s="297" t="s">
        <v>701</v>
      </c>
      <c r="Q73" s="297" t="s">
        <v>701</v>
      </c>
      <c r="R73" s="297" t="s">
        <v>701</v>
      </c>
      <c r="S73" s="297" t="s">
        <v>701</v>
      </c>
      <c r="T73" s="297" t="s">
        <v>701</v>
      </c>
      <c r="U73" s="297" t="s">
        <v>701</v>
      </c>
      <c r="V73" s="297" t="s">
        <v>701</v>
      </c>
      <c r="W73" s="297" t="s">
        <v>701</v>
      </c>
      <c r="X73" s="297" t="s">
        <v>701</v>
      </c>
      <c r="Y73" s="412"/>
      <c r="Z73" s="412"/>
      <c r="AA73" s="412"/>
      <c r="AB73" s="412"/>
      <c r="AC73" s="412"/>
      <c r="AD73" s="412"/>
      <c r="AE73" s="412"/>
      <c r="AF73" s="417"/>
      <c r="AG73" s="417"/>
      <c r="AH73" s="417"/>
      <c r="AI73" s="417"/>
      <c r="AJ73" s="417"/>
      <c r="AK73" s="417"/>
      <c r="AL73" s="417"/>
      <c r="AM73" s="298">
        <f>SUM(Y73:AL73)</f>
        <v>0</v>
      </c>
    </row>
    <row r="74" spans="1:39" hidden="1" outlineLevel="1">
      <c r="B74" s="520" t="s">
        <v>268</v>
      </c>
      <c r="C74" s="293" t="s">
        <v>164</v>
      </c>
      <c r="D74" s="297" t="s">
        <v>701</v>
      </c>
      <c r="E74" s="297" t="s">
        <v>701</v>
      </c>
      <c r="F74" s="297" t="s">
        <v>701</v>
      </c>
      <c r="G74" s="297" t="s">
        <v>701</v>
      </c>
      <c r="H74" s="297" t="s">
        <v>701</v>
      </c>
      <c r="I74" s="297" t="s">
        <v>701</v>
      </c>
      <c r="J74" s="297" t="s">
        <v>701</v>
      </c>
      <c r="K74" s="297" t="s">
        <v>701</v>
      </c>
      <c r="L74" s="297" t="s">
        <v>701</v>
      </c>
      <c r="M74" s="297" t="s">
        <v>701</v>
      </c>
      <c r="N74" s="297">
        <f>N73</f>
        <v>12</v>
      </c>
      <c r="O74" s="297" t="s">
        <v>701</v>
      </c>
      <c r="P74" s="297" t="s">
        <v>701</v>
      </c>
      <c r="Q74" s="297" t="s">
        <v>701</v>
      </c>
      <c r="R74" s="297" t="s">
        <v>701</v>
      </c>
      <c r="S74" s="297" t="s">
        <v>701</v>
      </c>
      <c r="T74" s="297" t="s">
        <v>701</v>
      </c>
      <c r="U74" s="297" t="s">
        <v>701</v>
      </c>
      <c r="V74" s="297" t="s">
        <v>701</v>
      </c>
      <c r="W74" s="297" t="s">
        <v>701</v>
      </c>
      <c r="X74" s="297" t="s">
        <v>701</v>
      </c>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hidden="1" outlineLevel="1">
      <c r="B75" s="520"/>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hidden="1" outlineLevel="1">
      <c r="A76" s="522">
        <v>13</v>
      </c>
      <c r="B76" s="520" t="s">
        <v>107</v>
      </c>
      <c r="C76" s="293" t="s">
        <v>25</v>
      </c>
      <c r="D76" s="297">
        <v>16371.3635256915</v>
      </c>
      <c r="E76" s="297">
        <v>16371.3635256915</v>
      </c>
      <c r="F76" s="297">
        <v>16371.3635256915</v>
      </c>
      <c r="G76" s="297">
        <v>16371.3635256915</v>
      </c>
      <c r="H76" s="297">
        <v>16371.3635256915</v>
      </c>
      <c r="I76" s="297">
        <v>16371.3635256915</v>
      </c>
      <c r="J76" s="297">
        <v>16371.3635256915</v>
      </c>
      <c r="K76" s="297">
        <v>16371.3635256915</v>
      </c>
      <c r="L76" s="297">
        <v>16371.3635256915</v>
      </c>
      <c r="M76" s="297">
        <v>16371.3635256915</v>
      </c>
      <c r="N76" s="297">
        <v>12</v>
      </c>
      <c r="O76" s="297">
        <v>5.1296895000000005</v>
      </c>
      <c r="P76" s="297">
        <v>5.1296895000000005</v>
      </c>
      <c r="Q76" s="297">
        <v>5.1296895000000005</v>
      </c>
      <c r="R76" s="297">
        <v>5.1296895000000005</v>
      </c>
      <c r="S76" s="297">
        <v>5.1296895000000005</v>
      </c>
      <c r="T76" s="297">
        <v>5.1296895000000005</v>
      </c>
      <c r="U76" s="297">
        <v>5.1296895000000005</v>
      </c>
      <c r="V76" s="297">
        <v>5.1296895000000005</v>
      </c>
      <c r="W76" s="297">
        <v>5.1296895000000005</v>
      </c>
      <c r="X76" s="297">
        <v>5.1296895000000005</v>
      </c>
      <c r="Y76" s="412">
        <v>0</v>
      </c>
      <c r="Z76" s="412">
        <v>0</v>
      </c>
      <c r="AA76" s="412">
        <v>1</v>
      </c>
      <c r="AB76" s="412"/>
      <c r="AC76" s="412"/>
      <c r="AD76" s="412"/>
      <c r="AE76" s="412"/>
      <c r="AF76" s="417"/>
      <c r="AG76" s="417"/>
      <c r="AH76" s="417"/>
      <c r="AI76" s="417"/>
      <c r="AJ76" s="417"/>
      <c r="AK76" s="417"/>
      <c r="AL76" s="417"/>
      <c r="AM76" s="298">
        <f>SUM(Y76:AL76)</f>
        <v>1</v>
      </c>
    </row>
    <row r="77" spans="1:39" hidden="1" outlineLevel="1">
      <c r="B77" s="520" t="s">
        <v>268</v>
      </c>
      <c r="C77" s="293" t="s">
        <v>164</v>
      </c>
      <c r="D77" s="297">
        <v>0</v>
      </c>
      <c r="E77" s="297">
        <v>0</v>
      </c>
      <c r="F77" s="297">
        <v>0</v>
      </c>
      <c r="G77" s="297">
        <v>0</v>
      </c>
      <c r="H77" s="297">
        <v>0</v>
      </c>
      <c r="I77" s="297">
        <v>0</v>
      </c>
      <c r="J77" s="297">
        <v>0</v>
      </c>
      <c r="K77" s="297">
        <v>0</v>
      </c>
      <c r="L77" s="297">
        <v>0</v>
      </c>
      <c r="M77" s="297">
        <v>0</v>
      </c>
      <c r="N77" s="297">
        <f>N76</f>
        <v>12</v>
      </c>
      <c r="O77" s="297">
        <v>0</v>
      </c>
      <c r="P77" s="297">
        <v>0</v>
      </c>
      <c r="Q77" s="297">
        <v>0</v>
      </c>
      <c r="R77" s="297">
        <v>0</v>
      </c>
      <c r="S77" s="297">
        <v>0</v>
      </c>
      <c r="T77" s="297">
        <v>0</v>
      </c>
      <c r="U77" s="297">
        <v>0</v>
      </c>
      <c r="V77" s="297">
        <v>0</v>
      </c>
      <c r="W77" s="297">
        <v>0</v>
      </c>
      <c r="X77" s="297">
        <v>0</v>
      </c>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hidden="1" outlineLevel="1">
      <c r="B78" s="520"/>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hidden="1"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hidden="1" outlineLevel="1">
      <c r="A80" s="522">
        <v>14</v>
      </c>
      <c r="B80" s="317" t="s">
        <v>109</v>
      </c>
      <c r="C80" s="293" t="s">
        <v>25</v>
      </c>
      <c r="D80" s="297">
        <v>10324.690811157227</v>
      </c>
      <c r="E80" s="297">
        <v>7074.1198806762695</v>
      </c>
      <c r="F80" s="297">
        <v>6461.8127899169922</v>
      </c>
      <c r="G80" s="297">
        <v>5849.505199432373</v>
      </c>
      <c r="H80" s="297">
        <v>5849.505199432373</v>
      </c>
      <c r="I80" s="297">
        <v>5849.505199432373</v>
      </c>
      <c r="J80" s="297">
        <v>5213.6168785095215</v>
      </c>
      <c r="K80" s="297">
        <v>5213.6168785095215</v>
      </c>
      <c r="L80" s="297">
        <v>620.58732604980469</v>
      </c>
      <c r="M80" s="297">
        <v>620.58732604980469</v>
      </c>
      <c r="N80" s="297">
        <v>12</v>
      </c>
      <c r="O80" s="297">
        <v>0.67962809698656201</v>
      </c>
      <c r="P80" s="297">
        <v>0.51077296514995396</v>
      </c>
      <c r="Q80" s="297">
        <v>0.47896587220020592</v>
      </c>
      <c r="R80" s="297">
        <v>0.44715875689871609</v>
      </c>
      <c r="S80" s="297">
        <v>0.44715875689871609</v>
      </c>
      <c r="T80" s="297">
        <v>0.44715875689871609</v>
      </c>
      <c r="U80" s="297">
        <v>0.41412671213038266</v>
      </c>
      <c r="V80" s="297">
        <v>0.41412671213038266</v>
      </c>
      <c r="W80" s="297">
        <v>0.17553582321852446</v>
      </c>
      <c r="X80" s="297">
        <v>0.17553582321852446</v>
      </c>
      <c r="Y80" s="412">
        <v>1</v>
      </c>
      <c r="Z80" s="412">
        <v>0</v>
      </c>
      <c r="AA80" s="412">
        <v>0</v>
      </c>
      <c r="AB80" s="412"/>
      <c r="AC80" s="412"/>
      <c r="AD80" s="412"/>
      <c r="AE80" s="412"/>
      <c r="AF80" s="412"/>
      <c r="AG80" s="412"/>
      <c r="AH80" s="412"/>
      <c r="AI80" s="412"/>
      <c r="AJ80" s="412"/>
      <c r="AK80" s="412"/>
      <c r="AL80" s="412"/>
      <c r="AM80" s="298">
        <f>SUM(Y80:AL80)</f>
        <v>1</v>
      </c>
    </row>
    <row r="81" spans="1:40" hidden="1" outlineLevel="1">
      <c r="B81" s="296" t="s">
        <v>268</v>
      </c>
      <c r="C81" s="293" t="s">
        <v>164</v>
      </c>
      <c r="D81" s="297">
        <v>0</v>
      </c>
      <c r="E81" s="297">
        <v>0</v>
      </c>
      <c r="F81" s="297">
        <v>0</v>
      </c>
      <c r="G81" s="297">
        <v>0</v>
      </c>
      <c r="H81" s="297">
        <v>0</v>
      </c>
      <c r="I81" s="297">
        <v>0</v>
      </c>
      <c r="J81" s="297">
        <v>0</v>
      </c>
      <c r="K81" s="297">
        <v>0</v>
      </c>
      <c r="L81" s="297">
        <v>0</v>
      </c>
      <c r="M81" s="297">
        <v>0</v>
      </c>
      <c r="N81" s="297">
        <f>N80</f>
        <v>12</v>
      </c>
      <c r="O81" s="297">
        <v>0</v>
      </c>
      <c r="P81" s="297">
        <v>0</v>
      </c>
      <c r="Q81" s="297">
        <v>0</v>
      </c>
      <c r="R81" s="297">
        <v>0</v>
      </c>
      <c r="S81" s="297">
        <v>0</v>
      </c>
      <c r="T81" s="297">
        <v>0</v>
      </c>
      <c r="U81" s="297">
        <v>0</v>
      </c>
      <c r="V81" s="297">
        <v>0</v>
      </c>
      <c r="W81" s="297">
        <v>0</v>
      </c>
      <c r="X81" s="297">
        <v>0</v>
      </c>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5" customFormat="1" hidden="1" outlineLevel="1">
      <c r="A82" s="523"/>
      <c r="B82" s="296"/>
      <c r="C82" s="293"/>
      <c r="D82" s="293"/>
      <c r="E82" s="293"/>
      <c r="F82" s="293"/>
      <c r="G82" s="293"/>
      <c r="H82" s="293"/>
      <c r="I82" s="293"/>
      <c r="J82" s="293"/>
      <c r="K82" s="293"/>
      <c r="L82" s="293"/>
      <c r="M82" s="293"/>
      <c r="N82" s="469"/>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6"/>
      <c r="AN82" s="630"/>
    </row>
    <row r="83" spans="1:40" s="311" customFormat="1" ht="15.75" hidden="1" outlineLevel="1">
      <c r="A83" s="523"/>
      <c r="B83" s="290" t="s">
        <v>491</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7"/>
      <c r="AN83" s="631"/>
    </row>
    <row r="84" spans="1:40" hidden="1" outlineLevel="1">
      <c r="A84" s="522">
        <v>15</v>
      </c>
      <c r="B84" s="296" t="s">
        <v>496</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hidden="1" outlineLevel="1">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hidden="1"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hidden="1" outlineLevel="1">
      <c r="A87" s="522">
        <v>16</v>
      </c>
      <c r="B87" s="326" t="s">
        <v>492</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hidden="1" outlineLevel="1">
      <c r="A88" s="522"/>
      <c r="B88" s="326"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hidden="1" outlineLevel="1">
      <c r="A89" s="522"/>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hidden="1" outlineLevel="1">
      <c r="B90" s="519" t="s">
        <v>497</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hidden="1" outlineLevel="1">
      <c r="A91" s="522">
        <v>17</v>
      </c>
      <c r="B91" s="520"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hidden="1" outlineLevel="1">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hidden="1"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hidden="1" outlineLevel="1">
      <c r="A94" s="522">
        <v>18</v>
      </c>
      <c r="B94" s="520"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hidden="1" outlineLevel="1">
      <c r="B95" s="296" t="s">
        <v>268</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hidden="1"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hidden="1" outlineLevel="1">
      <c r="A97" s="522">
        <v>19</v>
      </c>
      <c r="B97" s="520"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hidden="1" outlineLevel="1">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hidden="1"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hidden="1" outlineLevel="1">
      <c r="A100" s="522">
        <v>20</v>
      </c>
      <c r="B100" s="520"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hidden="1" outlineLevel="1">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hidden="1"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hidden="1" outlineLevel="1">
      <c r="B103" s="518" t="s">
        <v>504</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hidden="1" outlineLevel="1">
      <c r="B104" s="290" t="s">
        <v>500</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hidden="1" outlineLevel="1">
      <c r="A105" s="522">
        <v>21</v>
      </c>
      <c r="B105" s="520" t="s">
        <v>114</v>
      </c>
      <c r="C105" s="293" t="s">
        <v>25</v>
      </c>
      <c r="D105" s="297">
        <v>272095.77218870498</v>
      </c>
      <c r="E105" s="297">
        <v>269742.49965404742</v>
      </c>
      <c r="F105" s="297">
        <v>269742.49965404742</v>
      </c>
      <c r="G105" s="297">
        <v>269742.49965404742</v>
      </c>
      <c r="H105" s="297">
        <v>269742.49965404742</v>
      </c>
      <c r="I105" s="297">
        <v>269742.49965404742</v>
      </c>
      <c r="J105" s="297">
        <v>269742.49965404742</v>
      </c>
      <c r="K105" s="297">
        <v>269587.08950964885</v>
      </c>
      <c r="L105" s="297">
        <v>269587.08950964885</v>
      </c>
      <c r="M105" s="297">
        <v>269587.08950964885</v>
      </c>
      <c r="N105" s="293"/>
      <c r="O105" s="297">
        <v>17.469951173617591</v>
      </c>
      <c r="P105" s="297">
        <v>17.322219079968804</v>
      </c>
      <c r="Q105" s="297">
        <v>17.322219079968804</v>
      </c>
      <c r="R105" s="297">
        <v>17.322219079968804</v>
      </c>
      <c r="S105" s="297">
        <v>17.322219079968804</v>
      </c>
      <c r="T105" s="297">
        <v>17.322219079968804</v>
      </c>
      <c r="U105" s="297">
        <v>17.322219079968804</v>
      </c>
      <c r="V105" s="297">
        <v>17.304478195905041</v>
      </c>
      <c r="W105" s="297">
        <v>17.304478195905041</v>
      </c>
      <c r="X105" s="297">
        <v>17.304478195905041</v>
      </c>
      <c r="Y105" s="412">
        <v>1</v>
      </c>
      <c r="Z105" s="412">
        <v>0</v>
      </c>
      <c r="AA105" s="412">
        <v>0</v>
      </c>
      <c r="AB105" s="412"/>
      <c r="AC105" s="412"/>
      <c r="AD105" s="412"/>
      <c r="AE105" s="412"/>
      <c r="AF105" s="412"/>
      <c r="AG105" s="412"/>
      <c r="AH105" s="412"/>
      <c r="AI105" s="412"/>
      <c r="AJ105" s="412"/>
      <c r="AK105" s="412"/>
      <c r="AL105" s="412"/>
      <c r="AM105" s="298">
        <f>SUM(Y105:AL105)</f>
        <v>1</v>
      </c>
    </row>
    <row r="106" spans="1:39" hidden="1" outlineLevel="1">
      <c r="B106" s="296" t="s">
        <v>268</v>
      </c>
      <c r="C106" s="293" t="s">
        <v>164</v>
      </c>
      <c r="D106" s="297">
        <v>26760.271340875115</v>
      </c>
      <c r="E106" s="297">
        <v>26378.216193615201</v>
      </c>
      <c r="F106" s="297">
        <v>26378.216193615201</v>
      </c>
      <c r="G106" s="297">
        <v>26378.216193615201</v>
      </c>
      <c r="H106" s="297">
        <v>26378.216193615201</v>
      </c>
      <c r="I106" s="297">
        <v>26378.216193615201</v>
      </c>
      <c r="J106" s="297">
        <v>26378.216193615201</v>
      </c>
      <c r="K106" s="297">
        <v>26363.350989739421</v>
      </c>
      <c r="L106" s="297">
        <v>26363.350989739421</v>
      </c>
      <c r="M106" s="297">
        <v>26363.350989739421</v>
      </c>
      <c r="N106" s="293"/>
      <c r="O106" s="297">
        <v>1.7198925793966857</v>
      </c>
      <c r="P106" s="297">
        <v>1.6959081891644612</v>
      </c>
      <c r="Q106" s="297">
        <v>1.6959081891644612</v>
      </c>
      <c r="R106" s="297">
        <v>1.6959081891644612</v>
      </c>
      <c r="S106" s="297">
        <v>1.6959081891644612</v>
      </c>
      <c r="T106" s="297">
        <v>1.6959081891644612</v>
      </c>
      <c r="U106" s="297">
        <v>1.6959081891644612</v>
      </c>
      <c r="V106" s="297">
        <v>1.6942112480827509</v>
      </c>
      <c r="W106" s="297">
        <v>1.6942112480827509</v>
      </c>
      <c r="X106" s="297">
        <v>1.6942112480827509</v>
      </c>
      <c r="Y106" s="413">
        <f>Y105</f>
        <v>1</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hidden="1"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hidden="1" outlineLevel="1">
      <c r="A108" s="522">
        <v>22</v>
      </c>
      <c r="B108" s="520" t="s">
        <v>115</v>
      </c>
      <c r="C108" s="293" t="s">
        <v>25</v>
      </c>
      <c r="D108" s="297">
        <v>71915.795361629906</v>
      </c>
      <c r="E108" s="297">
        <v>71915.795361629906</v>
      </c>
      <c r="F108" s="297">
        <v>71915.795361629906</v>
      </c>
      <c r="G108" s="297">
        <v>71915.795361629906</v>
      </c>
      <c r="H108" s="297">
        <v>71915.795361629906</v>
      </c>
      <c r="I108" s="297">
        <v>71915.795361629906</v>
      </c>
      <c r="J108" s="297">
        <v>71915.795361629906</v>
      </c>
      <c r="K108" s="297">
        <v>71915.795361629906</v>
      </c>
      <c r="L108" s="297">
        <v>71915.795361629906</v>
      </c>
      <c r="M108" s="297">
        <v>71915.795361629906</v>
      </c>
      <c r="N108" s="293"/>
      <c r="O108" s="297">
        <v>36.793749923419099</v>
      </c>
      <c r="P108" s="297">
        <v>36.793749923419099</v>
      </c>
      <c r="Q108" s="297">
        <v>36.793749923419099</v>
      </c>
      <c r="R108" s="297">
        <v>36.793749923419099</v>
      </c>
      <c r="S108" s="297">
        <v>36.793749923419099</v>
      </c>
      <c r="T108" s="297">
        <v>36.793749923419099</v>
      </c>
      <c r="U108" s="297">
        <v>36.793749923419099</v>
      </c>
      <c r="V108" s="297">
        <v>36.793749923419099</v>
      </c>
      <c r="W108" s="297">
        <v>36.793749923419099</v>
      </c>
      <c r="X108" s="297">
        <v>36.793749923419099</v>
      </c>
      <c r="Y108" s="412">
        <v>1</v>
      </c>
      <c r="Z108" s="412">
        <v>0</v>
      </c>
      <c r="AA108" s="412">
        <v>0</v>
      </c>
      <c r="AB108" s="412"/>
      <c r="AC108" s="412"/>
      <c r="AD108" s="412"/>
      <c r="AE108" s="412"/>
      <c r="AF108" s="412"/>
      <c r="AG108" s="412"/>
      <c r="AH108" s="412"/>
      <c r="AI108" s="412"/>
      <c r="AJ108" s="412"/>
      <c r="AK108" s="412"/>
      <c r="AL108" s="412"/>
      <c r="AM108" s="298">
        <f>SUM(Y108:AL108)</f>
        <v>1</v>
      </c>
    </row>
    <row r="109" spans="1:39" hidden="1" outlineLevel="1">
      <c r="B109" s="296" t="s">
        <v>268</v>
      </c>
      <c r="C109" s="293" t="s">
        <v>164</v>
      </c>
      <c r="D109" s="297">
        <v>6658.9999999999991</v>
      </c>
      <c r="E109" s="297">
        <v>6658.9999999999991</v>
      </c>
      <c r="F109" s="297">
        <v>6658.9999999999991</v>
      </c>
      <c r="G109" s="297">
        <v>6658.9999999999991</v>
      </c>
      <c r="H109" s="297">
        <v>6658.9999999999991</v>
      </c>
      <c r="I109" s="297">
        <v>6658.9999999999991</v>
      </c>
      <c r="J109" s="297">
        <v>6658.9999999999991</v>
      </c>
      <c r="K109" s="297">
        <v>6658.9999999999991</v>
      </c>
      <c r="L109" s="297">
        <v>6658.9999999999991</v>
      </c>
      <c r="M109" s="297">
        <v>6658.9999999999991</v>
      </c>
      <c r="N109" s="293"/>
      <c r="O109" s="297">
        <v>3.4535000000000005</v>
      </c>
      <c r="P109" s="297">
        <v>3.4535000000000005</v>
      </c>
      <c r="Q109" s="297">
        <v>3.4535000000000005</v>
      </c>
      <c r="R109" s="297">
        <v>3.4535000000000005</v>
      </c>
      <c r="S109" s="297">
        <v>3.4535000000000005</v>
      </c>
      <c r="T109" s="297">
        <v>3.4535000000000005</v>
      </c>
      <c r="U109" s="297">
        <v>3.4535000000000005</v>
      </c>
      <c r="V109" s="297">
        <v>3.4535000000000005</v>
      </c>
      <c r="W109" s="297">
        <v>3.4535000000000005</v>
      </c>
      <c r="X109" s="297">
        <v>3.4535000000000005</v>
      </c>
      <c r="Y109" s="413">
        <f>Y108</f>
        <v>1</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hidden="1"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hidden="1" outlineLevel="1">
      <c r="A111" s="522">
        <v>23</v>
      </c>
      <c r="B111" s="520"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hidden="1" outlineLevel="1">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hidden="1"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hidden="1" outlineLevel="1">
      <c r="A114" s="522">
        <v>24</v>
      </c>
      <c r="B114" s="520"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hidden="1" outlineLevel="1">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hidden="1"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hidden="1" outlineLevel="1">
      <c r="B117" s="290" t="s">
        <v>501</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hidden="1" outlineLevel="1">
      <c r="A118" s="522">
        <v>25</v>
      </c>
      <c r="B118" s="520"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hidden="1" outlineLevel="1">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hidden="1"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hidden="1" outlineLevel="1">
      <c r="A121" s="522">
        <v>26</v>
      </c>
      <c r="B121" s="520" t="s">
        <v>119</v>
      </c>
      <c r="C121" s="293" t="s">
        <v>25</v>
      </c>
      <c r="D121" s="297">
        <v>157549.14323282012</v>
      </c>
      <c r="E121" s="297">
        <v>157549.14323282012</v>
      </c>
      <c r="F121" s="297">
        <v>157549.14323282012</v>
      </c>
      <c r="G121" s="297">
        <v>157549.14323282012</v>
      </c>
      <c r="H121" s="297">
        <v>157549.14323282012</v>
      </c>
      <c r="I121" s="297">
        <v>157549.14323282012</v>
      </c>
      <c r="J121" s="297">
        <v>155886.90356597977</v>
      </c>
      <c r="K121" s="297">
        <v>155886.90356597977</v>
      </c>
      <c r="L121" s="297">
        <v>155886.90356597977</v>
      </c>
      <c r="M121" s="297">
        <v>150468.82516639068</v>
      </c>
      <c r="N121" s="297">
        <v>12</v>
      </c>
      <c r="O121" s="297">
        <v>11.253497362931158</v>
      </c>
      <c r="P121" s="297">
        <v>11.253497362931158</v>
      </c>
      <c r="Q121" s="297">
        <v>11.253497362931158</v>
      </c>
      <c r="R121" s="297">
        <v>11.253497362931158</v>
      </c>
      <c r="S121" s="297">
        <v>11.253497362931158</v>
      </c>
      <c r="T121" s="297">
        <v>11.253497362931158</v>
      </c>
      <c r="U121" s="297">
        <v>11.091711208972992</v>
      </c>
      <c r="V121" s="297">
        <v>11.091711208972992</v>
      </c>
      <c r="W121" s="297">
        <v>11.091711208972992</v>
      </c>
      <c r="X121" s="297">
        <v>10.564368441500994</v>
      </c>
      <c r="Y121" s="412">
        <v>0</v>
      </c>
      <c r="Z121" s="412">
        <v>0.12492258518672122</v>
      </c>
      <c r="AA121" s="412">
        <v>0.87507741481327883</v>
      </c>
      <c r="AB121" s="412"/>
      <c r="AC121" s="533"/>
      <c r="AD121" s="412"/>
      <c r="AE121" s="412"/>
      <c r="AF121" s="417"/>
      <c r="AG121" s="417"/>
      <c r="AH121" s="417"/>
      <c r="AI121" s="417"/>
      <c r="AJ121" s="417"/>
      <c r="AK121" s="417"/>
      <c r="AL121" s="417"/>
      <c r="AM121" s="298">
        <f>SUM(Y121:AL121)</f>
        <v>1</v>
      </c>
    </row>
    <row r="122" spans="1:39" hidden="1" outlineLevel="1">
      <c r="B122" s="296" t="s">
        <v>268</v>
      </c>
      <c r="C122" s="293" t="s">
        <v>164</v>
      </c>
      <c r="D122" s="297">
        <v>339035.14020330296</v>
      </c>
      <c r="E122" s="297">
        <v>339035.14020330296</v>
      </c>
      <c r="F122" s="297">
        <v>339035.14020330296</v>
      </c>
      <c r="G122" s="297">
        <v>339035.14020330296</v>
      </c>
      <c r="H122" s="297">
        <v>339035.14020330296</v>
      </c>
      <c r="I122" s="297">
        <v>339035.14020330296</v>
      </c>
      <c r="J122" s="297">
        <v>334126.66464447579</v>
      </c>
      <c r="K122" s="297">
        <v>334126.66464447579</v>
      </c>
      <c r="L122" s="297">
        <v>334126.66464447579</v>
      </c>
      <c r="M122" s="297">
        <v>318625.86269657878</v>
      </c>
      <c r="N122" s="297">
        <f>N121</f>
        <v>12</v>
      </c>
      <c r="O122" s="297">
        <v>53.619570761560993</v>
      </c>
      <c r="P122" s="297">
        <v>53.619570761560993</v>
      </c>
      <c r="Q122" s="297">
        <v>53.619570761560993</v>
      </c>
      <c r="R122" s="297">
        <v>53.619570761560993</v>
      </c>
      <c r="S122" s="297">
        <v>53.619570761560993</v>
      </c>
      <c r="T122" s="297">
        <v>53.619570761560993</v>
      </c>
      <c r="U122" s="297">
        <v>52.863186143468724</v>
      </c>
      <c r="V122" s="297">
        <v>52.863186143468724</v>
      </c>
      <c r="W122" s="297">
        <v>52.863186143468724</v>
      </c>
      <c r="X122" s="297">
        <v>50.474548771036652</v>
      </c>
      <c r="Y122" s="413">
        <f>Y121</f>
        <v>0</v>
      </c>
      <c r="Z122" s="413">
        <f t="shared" ref="Z122" si="241">Z121</f>
        <v>0.12492258518672122</v>
      </c>
      <c r="AA122" s="413">
        <f t="shared" ref="AA122" si="242">AA121</f>
        <v>0.87507741481327883</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hidden="1"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hidden="1" outlineLevel="1">
      <c r="A124" s="522">
        <v>27</v>
      </c>
      <c r="B124" s="520"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hidden="1" outlineLevel="1">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hidden="1"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hidden="1" outlineLevel="1">
      <c r="A127" s="522">
        <v>28</v>
      </c>
      <c r="B127" s="520"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hidden="1" outlineLevel="1">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hidden="1"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hidden="1" outlineLevel="1">
      <c r="A130" s="522">
        <v>29</v>
      </c>
      <c r="B130" s="520"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hidden="1" outlineLevel="1">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hidden="1"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hidden="1" outlineLevel="1">
      <c r="A133" s="522">
        <v>30</v>
      </c>
      <c r="B133" s="520"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hidden="1" outlineLevel="1">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hidden="1"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hidden="1" outlineLevel="1">
      <c r="A136" s="522">
        <v>31</v>
      </c>
      <c r="B136" s="520"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hidden="1" outlineLevel="1">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hidden="1" outlineLevel="1">
      <c r="B138" s="520"/>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hidden="1" customHeight="1" outlineLevel="1">
      <c r="A139" s="522">
        <v>32</v>
      </c>
      <c r="B139" s="520"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hidden="1" outlineLevel="1">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hidden="1" outlineLevel="1">
      <c r="B141" s="52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hidden="1" outlineLevel="1">
      <c r="B142" s="290" t="s">
        <v>502</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hidden="1" outlineLevel="1">
      <c r="A143" s="522">
        <v>33</v>
      </c>
      <c r="B143" s="520"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hidden="1" outlineLevel="1">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hidden="1" outlineLevel="1">
      <c r="B145" s="520"/>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hidden="1" outlineLevel="1">
      <c r="A146" s="522">
        <v>34</v>
      </c>
      <c r="B146" s="520"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hidden="1" outlineLevel="1">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hidden="1" outlineLevel="1">
      <c r="B148" s="520"/>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hidden="1" outlineLevel="1">
      <c r="A149" s="522">
        <v>35</v>
      </c>
      <c r="B149" s="520"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hidden="1" outlineLevel="1">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hidden="1"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hidden="1" outlineLevel="1">
      <c r="B152" s="290" t="s">
        <v>503</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hidden="1" outlineLevel="1">
      <c r="A153" s="522">
        <v>36</v>
      </c>
      <c r="B153" s="520"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hidden="1" outlineLevel="1">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hidden="1" outlineLevel="1">
      <c r="B155" s="520"/>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hidden="1" outlineLevel="1">
      <c r="A156" s="522">
        <v>37</v>
      </c>
      <c r="B156" s="520"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hidden="1" outlineLevel="1">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hidden="1" outlineLevel="1">
      <c r="B158" s="520"/>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hidden="1" outlineLevel="1">
      <c r="A159" s="522">
        <v>38</v>
      </c>
      <c r="B159" s="520"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hidden="1" outlineLevel="1">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hidden="1" outlineLevel="1">
      <c r="B161" s="520"/>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hidden="1" outlineLevel="1">
      <c r="A162" s="522">
        <v>39</v>
      </c>
      <c r="B162" s="520"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hidden="1" outlineLevel="1">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hidden="1" outlineLevel="1">
      <c r="B164" s="520"/>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hidden="1" outlineLevel="1">
      <c r="A165" s="522">
        <v>40</v>
      </c>
      <c r="B165" s="520"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hidden="1" outlineLevel="1">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hidden="1" outlineLevel="1">
      <c r="B167" s="520"/>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hidden="1" outlineLevel="1">
      <c r="A168" s="522">
        <v>41</v>
      </c>
      <c r="B168" s="520"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hidden="1" outlineLevel="1">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hidden="1" outlineLevel="1">
      <c r="B170" s="520"/>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hidden="1" outlineLevel="1">
      <c r="A171" s="522">
        <v>42</v>
      </c>
      <c r="B171" s="520"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hidden="1" outlineLevel="1">
      <c r="B172" s="296" t="s">
        <v>268</v>
      </c>
      <c r="C172" s="293" t="s">
        <v>164</v>
      </c>
      <c r="D172" s="297"/>
      <c r="E172" s="297"/>
      <c r="F172" s="297"/>
      <c r="G172" s="297"/>
      <c r="H172" s="297"/>
      <c r="I172" s="297"/>
      <c r="J172" s="297"/>
      <c r="K172" s="297"/>
      <c r="L172" s="297"/>
      <c r="M172" s="297"/>
      <c r="N172" s="469"/>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hidden="1" outlineLevel="1">
      <c r="B173" s="520"/>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hidden="1" outlineLevel="1">
      <c r="A174" s="522">
        <v>43</v>
      </c>
      <c r="B174" s="520"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hidden="1" outlineLevel="1">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hidden="1" outlineLevel="1">
      <c r="B176" s="520"/>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hidden="1" outlineLevel="1">
      <c r="A177" s="522">
        <v>44</v>
      </c>
      <c r="B177" s="520"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hidden="1" outlineLevel="1">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hidden="1" outlineLevel="1">
      <c r="B179" s="520"/>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hidden="1" outlineLevel="1">
      <c r="A180" s="522">
        <v>45</v>
      </c>
      <c r="B180" s="520"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hidden="1" outlineLevel="1">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hidden="1" outlineLevel="1">
      <c r="B182" s="520"/>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hidden="1" outlineLevel="1">
      <c r="A183" s="522">
        <v>46</v>
      </c>
      <c r="B183" s="520"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hidden="1" outlineLevel="1">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hidden="1" outlineLevel="1">
      <c r="B185" s="520"/>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hidden="1" outlineLevel="1">
      <c r="A186" s="522">
        <v>47</v>
      </c>
      <c r="B186" s="520"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hidden="1" outlineLevel="1">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hidden="1" outlineLevel="1">
      <c r="B188" s="520"/>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hidden="1" outlineLevel="1">
      <c r="A189" s="522">
        <v>48</v>
      </c>
      <c r="B189" s="520"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hidden="1" outlineLevel="1">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hidden="1" outlineLevel="1">
      <c r="B191" s="520"/>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hidden="1" outlineLevel="1">
      <c r="A192" s="522">
        <v>49</v>
      </c>
      <c r="B192" s="520"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hidden="1" outlineLevel="1">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hidden="1"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ollapsed="1">
      <c r="B195" s="329" t="s">
        <v>272</v>
      </c>
      <c r="C195" s="331"/>
      <c r="D195" s="331">
        <f>SUM(D38:D193)</f>
        <v>2103796.7167470055</v>
      </c>
      <c r="E195" s="331"/>
      <c r="F195" s="331"/>
      <c r="G195" s="331"/>
      <c r="H195" s="331"/>
      <c r="I195" s="331"/>
      <c r="J195" s="331"/>
      <c r="K195" s="331"/>
      <c r="L195" s="331"/>
      <c r="M195" s="331"/>
      <c r="N195" s="331"/>
      <c r="O195" s="331">
        <f>SUM(O38:O193)</f>
        <v>328.14663016866541</v>
      </c>
      <c r="P195" s="331"/>
      <c r="Q195" s="331"/>
      <c r="R195" s="331"/>
      <c r="S195" s="331"/>
      <c r="T195" s="331"/>
      <c r="U195" s="331"/>
      <c r="V195" s="331"/>
      <c r="W195" s="331"/>
      <c r="X195" s="331"/>
      <c r="Y195" s="331">
        <f>IF(Y36="kWh",SUMPRODUCT(D38:D193,Y38:Y193))</f>
        <v>588649.05488399032</v>
      </c>
      <c r="Z195" s="331">
        <f>IF(Z36="kWh",SUMPRODUCT(D38:D193,Z38:Z193))</f>
        <v>648501.85166897799</v>
      </c>
      <c r="AA195" s="331">
        <f>IF(AA36="kw",SUMPRODUCT(N38:N193,O38:O193,AA38:AA193),SUMPRODUCT(D38:D193,AA38:AA193))</f>
        <v>1450.60397155488</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273</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1345003</v>
      </c>
      <c r="Z196" s="394">
        <f>HLOOKUP(Z35,'2. LRAMVA Threshold'!$B$42:$Q$53,7,FALSE)</f>
        <v>543085</v>
      </c>
      <c r="AA196" s="394">
        <f>HLOOKUP(AA35,'2. LRAMVA Threshold'!$B$42:$Q$53,7,FALSE)</f>
        <v>10671</v>
      </c>
      <c r="AB196" s="394">
        <f>HLOOKUP(AB35,'2. LRAMVA Threshold'!$B$42:$Q$53,7,FALSE)</f>
        <v>196</v>
      </c>
      <c r="AC196" s="394">
        <f>HLOOKUP(AC35,'2. LRAMVA Threshold'!$B$42:$Q$53,7,FALSE)</f>
        <v>4684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1"/>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1.9800000000000002E-2</v>
      </c>
      <c r="Z198" s="343">
        <f>HLOOKUP(Z$35,'3.  Distribution Rates'!$C$122:$P$133,7,FALSE)</f>
        <v>1.34E-2</v>
      </c>
      <c r="AA198" s="343">
        <f>HLOOKUP(AA$35,'3.  Distribution Rates'!$C$122:$P$133,7,FALSE)</f>
        <v>3.1553</v>
      </c>
      <c r="AB198" s="343">
        <f>HLOOKUP(AB$35,'3.  Distribution Rates'!$C$122:$P$133,7,FALSE)</f>
        <v>14.715299999999999</v>
      </c>
      <c r="AC198" s="343">
        <f>HLOOKUP(AC$35,'3.  Distribution Rates'!$C$122:$P$133,7,FALSE)</f>
        <v>1.1599999999999999E-2</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4620.5087774989552</v>
      </c>
      <c r="Z199" s="380">
        <f>'4.  2011-2014 LRAM'!Z138*Z198</f>
        <v>2458.5409414719547</v>
      </c>
      <c r="AA199" s="380">
        <f>'4.  2011-2014 LRAM'!AA138*AA198</f>
        <v>1904.1893547714626</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29">
        <f>SUM(Y199:AL199)</f>
        <v>8983.2390737423721</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3602.747318375657</v>
      </c>
      <c r="Z200" s="380">
        <f>'4.  2011-2014 LRAM'!Z267*Z198</f>
        <v>7410.5036671540493</v>
      </c>
      <c r="AA200" s="380">
        <f>'4.  2011-2014 LRAM'!AA267*AA198</f>
        <v>6054.5011957144388</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29">
        <f>SUM(Y200:AL200)</f>
        <v>17067.752181244145</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3516.0847836333292</v>
      </c>
      <c r="Z201" s="380">
        <f>'4.  2011-2014 LRAM'!Z396*Z198</f>
        <v>10709.111400860476</v>
      </c>
      <c r="AA201" s="380">
        <f>'4.  2011-2014 LRAM'!AA396*AA198</f>
        <v>4096.6820875461353</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29">
        <f>SUM(Y201:AL201)</f>
        <v>18321.878272039939</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11457.021600468599</v>
      </c>
      <c r="Z202" s="380">
        <f>'4.  2011-2014 LRAM'!Z526*Z198</f>
        <v>16227.057812603247</v>
      </c>
      <c r="AA202" s="380">
        <f>'4.  2011-2014 LRAM'!AA526*AA198</f>
        <v>3395.9079888845722</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29">
        <f>SUM(Y202:AL202)</f>
        <v>31079.987401956419</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11655.251286703009</v>
      </c>
      <c r="Z203" s="380">
        <f t="shared" ref="Z203:AL203" si="553">Z195*Z198</f>
        <v>8689.9248123643047</v>
      </c>
      <c r="AA203" s="380">
        <f t="shared" si="553"/>
        <v>4577.0907114471129</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29">
        <f>SUM(Y203:AL203)</f>
        <v>24922.266810514426</v>
      </c>
    </row>
    <row r="204" spans="2:39" ht="15.75">
      <c r="B204" s="351" t="s">
        <v>269</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34851.613766679548</v>
      </c>
      <c r="Z204" s="348">
        <f>SUM(Z199:Z203)</f>
        <v>45495.13863445403</v>
      </c>
      <c r="AA204" s="348">
        <f t="shared" ref="AA204:AE204" si="554">SUM(AA199:AA203)</f>
        <v>20028.371338363722</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100375.1237394973</v>
      </c>
    </row>
    <row r="205" spans="2:39" ht="15.75">
      <c r="B205" s="351" t="s">
        <v>270</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26631.059400000002</v>
      </c>
      <c r="Z205" s="349">
        <f t="shared" ref="Z205:AE205" si="556">Z196*Z198</f>
        <v>7277.3389999999999</v>
      </c>
      <c r="AA205" s="349">
        <f>AA196*AA198</f>
        <v>33670.206299999998</v>
      </c>
      <c r="AB205" s="349">
        <f t="shared" si="556"/>
        <v>2884.1987999999997</v>
      </c>
      <c r="AC205" s="349">
        <f t="shared" si="556"/>
        <v>54.334399999999995</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70517.137900000002</v>
      </c>
    </row>
    <row r="206" spans="2:39" ht="15.75">
      <c r="B206" s="351" t="s">
        <v>271</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29857.985839497298</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578989.81832256762</v>
      </c>
      <c r="Z208" s="293">
        <f>SUMPRODUCT(E38:E193,Z38:Z193)</f>
        <v>621910.51446100918</v>
      </c>
      <c r="AA208" s="293">
        <f>IF(AA36="kw",SUMPRODUCT(N38:N193,P38:P193,AA38:AA193),SUMPRODUCT(E38:E193,AA38:AA193))</f>
        <v>1450.60397155488</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578377.51123180834</v>
      </c>
      <c r="Z209" s="293">
        <f>SUMPRODUCT(F38:F193,Z38:Z193)</f>
        <v>592209.70508112828</v>
      </c>
      <c r="AA209" s="293">
        <f>IF(AA36="kw",SUMPRODUCT(N38:N193,Q38:Q193,AA38:AA193),SUMPRODUCT(F38:F193,AA38:AA193))</f>
        <v>1446.3342709922495</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577660.79559471598</v>
      </c>
      <c r="Z210" s="293">
        <f>SUMPRODUCT(G38:G193,Z38:Z193)</f>
        <v>592209.70508112828</v>
      </c>
      <c r="AA210" s="293">
        <f>IF(AA36="kw",SUMPRODUCT(N38:N193,R38:R193,AA38:AA193),SUMPRODUCT(G38:G193,AA38:AA193))</f>
        <v>1446.3342709922495</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572253.95823375299</v>
      </c>
      <c r="Z211" s="293">
        <f>SUMPRODUCT(H38:H193,Z38:Z193)</f>
        <v>592209.70508112828</v>
      </c>
      <c r="AA211" s="293">
        <f>IF(AA36="kw",SUMPRODUCT(N38:N193,S38:S193,AA38:AA193),SUMPRODUCT(H38:H193,AA38:AA193))</f>
        <v>1446.3342709922495</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566149.33176084189</v>
      </c>
      <c r="Z212" s="328">
        <f>SUMPRODUCT(I38:I193,Z38:Z193)</f>
        <v>592209.70508112828</v>
      </c>
      <c r="AA212" s="328">
        <f>IF(AA36="kw",SUMPRODUCT(N38:N193,T38:T193,AA38:AA193),SUMPRODUCT(I38:I193,AA38:AA193))</f>
        <v>1446.3342709922495</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591</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274</v>
      </c>
      <c r="C216" s="283"/>
      <c r="D216" s="590" t="s">
        <v>527</v>
      </c>
      <c r="E216" s="255"/>
      <c r="F216" s="590"/>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0" t="s">
        <v>212</v>
      </c>
      <c r="C217" s="802" t="s">
        <v>33</v>
      </c>
      <c r="D217" s="286" t="s">
        <v>423</v>
      </c>
      <c r="E217" s="804" t="s">
        <v>210</v>
      </c>
      <c r="F217" s="805"/>
      <c r="G217" s="805"/>
      <c r="H217" s="805"/>
      <c r="I217" s="805"/>
      <c r="J217" s="805"/>
      <c r="K217" s="805"/>
      <c r="L217" s="805"/>
      <c r="M217" s="806"/>
      <c r="N217" s="810" t="s">
        <v>214</v>
      </c>
      <c r="O217" s="286" t="s">
        <v>424</v>
      </c>
      <c r="P217" s="804" t="s">
        <v>213</v>
      </c>
      <c r="Q217" s="805"/>
      <c r="R217" s="805"/>
      <c r="S217" s="805"/>
      <c r="T217" s="805"/>
      <c r="U217" s="805"/>
      <c r="V217" s="805"/>
      <c r="W217" s="805"/>
      <c r="X217" s="806"/>
      <c r="Y217" s="807" t="s">
        <v>244</v>
      </c>
      <c r="Z217" s="808"/>
      <c r="AA217" s="808"/>
      <c r="AB217" s="808"/>
      <c r="AC217" s="808"/>
      <c r="AD217" s="808"/>
      <c r="AE217" s="808"/>
      <c r="AF217" s="808"/>
      <c r="AG217" s="808"/>
      <c r="AH217" s="808"/>
      <c r="AI217" s="808"/>
      <c r="AJ217" s="808"/>
      <c r="AK217" s="808"/>
      <c r="AL217" s="808"/>
      <c r="AM217" s="809"/>
    </row>
    <row r="218" spans="1:39" ht="60.75" customHeight="1">
      <c r="B218" s="801"/>
      <c r="C218" s="803"/>
      <c r="D218" s="287">
        <v>2016</v>
      </c>
      <c r="E218" s="287">
        <v>2017</v>
      </c>
      <c r="F218" s="287">
        <v>2018</v>
      </c>
      <c r="G218" s="287">
        <v>2019</v>
      </c>
      <c r="H218" s="287">
        <v>2020</v>
      </c>
      <c r="I218" s="287">
        <v>2021</v>
      </c>
      <c r="J218" s="287">
        <v>2022</v>
      </c>
      <c r="K218" s="287">
        <v>2023</v>
      </c>
      <c r="L218" s="287">
        <v>2024</v>
      </c>
      <c r="M218" s="287">
        <v>2025</v>
      </c>
      <c r="N218" s="811"/>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 kW</v>
      </c>
      <c r="AB218" s="287" t="str">
        <f>'1.  LRAMVA Summary'!G50</f>
        <v>Streetlights</v>
      </c>
      <c r="AC218" s="287" t="str">
        <f>'1.  LRAMVA Summary'!H50</f>
        <v>Unmetered Scattered Load</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18" t="s">
        <v>505</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KWh</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hidden="1" outlineLevel="1">
      <c r="B220" s="290" t="s">
        <v>498</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idden="1" outlineLevel="1">
      <c r="A221" s="522">
        <v>1</v>
      </c>
      <c r="B221" s="520" t="s">
        <v>95</v>
      </c>
      <c r="C221" s="293" t="s">
        <v>25</v>
      </c>
      <c r="D221" s="297" t="s">
        <v>701</v>
      </c>
      <c r="E221" s="297" t="s">
        <v>701</v>
      </c>
      <c r="F221" s="297" t="s">
        <v>701</v>
      </c>
      <c r="G221" s="297" t="s">
        <v>701</v>
      </c>
      <c r="H221" s="297" t="s">
        <v>701</v>
      </c>
      <c r="I221" s="297" t="s">
        <v>701</v>
      </c>
      <c r="J221" s="297" t="s">
        <v>701</v>
      </c>
      <c r="K221" s="297" t="s">
        <v>701</v>
      </c>
      <c r="L221" s="297" t="s">
        <v>701</v>
      </c>
      <c r="M221" s="297" t="s">
        <v>701</v>
      </c>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hidden="1" outlineLevel="1">
      <c r="B222" s="296" t="s">
        <v>290</v>
      </c>
      <c r="C222" s="293" t="s">
        <v>164</v>
      </c>
      <c r="D222" s="297" t="s">
        <v>701</v>
      </c>
      <c r="E222" s="297" t="s">
        <v>701</v>
      </c>
      <c r="F222" s="297" t="s">
        <v>701</v>
      </c>
      <c r="G222" s="297" t="s">
        <v>701</v>
      </c>
      <c r="H222" s="297" t="s">
        <v>701</v>
      </c>
      <c r="I222" s="297" t="s">
        <v>701</v>
      </c>
      <c r="J222" s="297" t="s">
        <v>701</v>
      </c>
      <c r="K222" s="297" t="s">
        <v>701</v>
      </c>
      <c r="L222" s="297" t="s">
        <v>701</v>
      </c>
      <c r="M222" s="297" t="s">
        <v>701</v>
      </c>
      <c r="N222" s="469"/>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hidden="1"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hidden="1" outlineLevel="1">
      <c r="A224" s="522">
        <v>2</v>
      </c>
      <c r="B224" s="520"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hidden="1" outlineLevel="1">
      <c r="B225" s="296" t="s">
        <v>290</v>
      </c>
      <c r="C225" s="293" t="s">
        <v>164</v>
      </c>
      <c r="D225" s="297"/>
      <c r="E225" s="297"/>
      <c r="F225" s="297"/>
      <c r="G225" s="297"/>
      <c r="H225" s="297"/>
      <c r="I225" s="297"/>
      <c r="J225" s="297"/>
      <c r="K225" s="297"/>
      <c r="L225" s="297"/>
      <c r="M225" s="297"/>
      <c r="N225" s="469"/>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hidden="1"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hidden="1" outlineLevel="1">
      <c r="A227" s="522">
        <v>3</v>
      </c>
      <c r="B227" s="520"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hidden="1" outlineLevel="1">
      <c r="B228" s="296" t="s">
        <v>290</v>
      </c>
      <c r="C228" s="293" t="s">
        <v>164</v>
      </c>
      <c r="D228" s="297"/>
      <c r="E228" s="297"/>
      <c r="F228" s="297"/>
      <c r="G228" s="297"/>
      <c r="H228" s="297"/>
      <c r="I228" s="297"/>
      <c r="J228" s="297"/>
      <c r="K228" s="297"/>
      <c r="L228" s="297"/>
      <c r="M228" s="297"/>
      <c r="N228" s="469"/>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hidden="1"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hidden="1" outlineLevel="1">
      <c r="A230" s="522">
        <v>4</v>
      </c>
      <c r="B230" s="520"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hidden="1" outlineLevel="1">
      <c r="B231" s="296" t="s">
        <v>290</v>
      </c>
      <c r="C231" s="293" t="s">
        <v>164</v>
      </c>
      <c r="D231" s="297"/>
      <c r="E231" s="297"/>
      <c r="F231" s="297"/>
      <c r="G231" s="297"/>
      <c r="H231" s="297"/>
      <c r="I231" s="297"/>
      <c r="J231" s="297"/>
      <c r="K231" s="297"/>
      <c r="L231" s="297"/>
      <c r="M231" s="297"/>
      <c r="N231" s="469"/>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hidden="1"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hidden="1" outlineLevel="1">
      <c r="A233" s="522">
        <v>5</v>
      </c>
      <c r="B233" s="520"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hidden="1" outlineLevel="1">
      <c r="B234" s="296" t="s">
        <v>290</v>
      </c>
      <c r="C234" s="293" t="s">
        <v>164</v>
      </c>
      <c r="D234" s="297"/>
      <c r="E234" s="297"/>
      <c r="F234" s="297"/>
      <c r="G234" s="297"/>
      <c r="H234" s="297"/>
      <c r="I234" s="297"/>
      <c r="J234" s="297"/>
      <c r="K234" s="297"/>
      <c r="L234" s="297"/>
      <c r="M234" s="297"/>
      <c r="N234" s="469"/>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hidden="1"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hidden="1" outlineLevel="1">
      <c r="B236" s="321" t="s">
        <v>499</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hidden="1" outlineLevel="1">
      <c r="A237" s="522">
        <v>6</v>
      </c>
      <c r="B237" s="520"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hidden="1" outlineLevel="1">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hidden="1"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hidden="1" outlineLevel="1">
      <c r="A240" s="522">
        <v>7</v>
      </c>
      <c r="B240" s="520"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hidden="1" outlineLevel="1">
      <c r="B241" s="296" t="s">
        <v>290</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hidden="1"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hidden="1" outlineLevel="1">
      <c r="A243" s="522">
        <v>8</v>
      </c>
      <c r="B243" s="520"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hidden="1" outlineLevel="1">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hidden="1"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hidden="1" outlineLevel="1">
      <c r="A246" s="522">
        <v>9</v>
      </c>
      <c r="B246" s="520"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hidden="1" outlineLevel="1">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hidden="1"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hidden="1" outlineLevel="1">
      <c r="A249" s="522">
        <v>10</v>
      </c>
      <c r="B249" s="520"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hidden="1" outlineLevel="1">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hidden="1"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hidden="1"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hidden="1" outlineLevel="1">
      <c r="A253" s="522">
        <v>11</v>
      </c>
      <c r="B253" s="520"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hidden="1" outlineLevel="1">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hidden="1"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hidden="1" outlineLevel="1">
      <c r="A256" s="522">
        <v>12</v>
      </c>
      <c r="B256" s="520"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hidden="1" outlineLevel="1">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hidden="1"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hidden="1" outlineLevel="1">
      <c r="A259" s="522">
        <v>13</v>
      </c>
      <c r="B259" s="520"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hidden="1" outlineLevel="1">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hidden="1"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hidden="1"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hidden="1" outlineLevel="1">
      <c r="A263" s="522">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hidden="1" outlineLevel="1">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hidden="1" outlineLevel="1">
      <c r="A265" s="523"/>
      <c r="B265" s="317"/>
      <c r="C265" s="307"/>
      <c r="D265" s="293"/>
      <c r="E265" s="293"/>
      <c r="F265" s="293"/>
      <c r="G265" s="293"/>
      <c r="H265" s="293"/>
      <c r="I265" s="293"/>
      <c r="J265" s="293"/>
      <c r="K265" s="293"/>
      <c r="L265" s="293"/>
      <c r="M265" s="293"/>
      <c r="N265" s="469"/>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0"/>
    </row>
    <row r="266" spans="1:40" s="311" customFormat="1" ht="15.75" hidden="1" outlineLevel="1">
      <c r="A266" s="523"/>
      <c r="B266" s="290" t="s">
        <v>491</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7"/>
      <c r="AN266" s="631"/>
    </row>
    <row r="267" spans="1:40" hidden="1" outlineLevel="1">
      <c r="A267" s="522">
        <v>15</v>
      </c>
      <c r="B267" s="296" t="s">
        <v>496</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hidden="1" outlineLevel="1">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hidden="1"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hidden="1" outlineLevel="1">
      <c r="A270" s="522">
        <v>16</v>
      </c>
      <c r="B270" s="326" t="s">
        <v>492</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hidden="1" outlineLevel="1">
      <c r="A271" s="522"/>
      <c r="B271" s="326"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hidden="1" outlineLevel="1">
      <c r="A272" s="522"/>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hidden="1" outlineLevel="1">
      <c r="B273" s="519" t="s">
        <v>497</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hidden="1" outlineLevel="1">
      <c r="A274" s="522">
        <v>17</v>
      </c>
      <c r="B274" s="520"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hidden="1" outlineLevel="1">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hidden="1"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idden="1" outlineLevel="1">
      <c r="A277" s="522">
        <v>18</v>
      </c>
      <c r="B277" s="520"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hidden="1" outlineLevel="1">
      <c r="B278" s="296" t="s">
        <v>290</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hidden="1"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hidden="1" outlineLevel="1">
      <c r="A280" s="522">
        <v>19</v>
      </c>
      <c r="B280" s="520"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hidden="1" outlineLevel="1">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hidden="1"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hidden="1" outlineLevel="1">
      <c r="A283" s="522">
        <v>20</v>
      </c>
      <c r="B283" s="520"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hidden="1" outlineLevel="1">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hidden="1"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hidden="1" outlineLevel="1">
      <c r="B286" s="518" t="s">
        <v>504</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hidden="1" outlineLevel="1">
      <c r="B287" s="290" t="s">
        <v>500</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hidden="1" outlineLevel="1">
      <c r="A288" s="522">
        <v>21</v>
      </c>
      <c r="B288" s="520" t="s">
        <v>114</v>
      </c>
      <c r="C288" s="293" t="s">
        <v>25</v>
      </c>
      <c r="D288" s="297"/>
      <c r="E288" s="297">
        <v>1213321.5909365378</v>
      </c>
      <c r="F288" s="297">
        <v>1213321.5909365378</v>
      </c>
      <c r="G288" s="297">
        <v>1213321.5909365378</v>
      </c>
      <c r="H288" s="297">
        <v>1213321.5909365378</v>
      </c>
      <c r="I288" s="297">
        <v>1213321.5909365378</v>
      </c>
      <c r="J288" s="297">
        <v>1213321.5909365378</v>
      </c>
      <c r="K288" s="297">
        <v>1213158.4068729002</v>
      </c>
      <c r="L288" s="297">
        <v>1213158.4068729002</v>
      </c>
      <c r="M288" s="297">
        <v>1208247.2430350757</v>
      </c>
      <c r="N288" s="293"/>
      <c r="O288" s="297"/>
      <c r="P288" s="297">
        <v>78.899288230727407</v>
      </c>
      <c r="Q288" s="297">
        <v>78.899288230727407</v>
      </c>
      <c r="R288" s="297">
        <v>78.899288230727407</v>
      </c>
      <c r="S288" s="297">
        <v>78.899288230727407</v>
      </c>
      <c r="T288" s="297">
        <v>78.899288230727407</v>
      </c>
      <c r="U288" s="297">
        <v>78.899288230727407</v>
      </c>
      <c r="V288" s="297">
        <v>78.897821942814602</v>
      </c>
      <c r="W288" s="297">
        <v>78.897821942814602</v>
      </c>
      <c r="X288" s="297">
        <v>78.589512341895571</v>
      </c>
      <c r="Y288" s="412">
        <v>1</v>
      </c>
      <c r="Z288" s="412">
        <v>0</v>
      </c>
      <c r="AA288" s="412">
        <v>0</v>
      </c>
      <c r="AB288" s="412"/>
      <c r="AC288" s="412"/>
      <c r="AD288" s="412"/>
      <c r="AE288" s="412"/>
      <c r="AF288" s="412"/>
      <c r="AG288" s="412"/>
      <c r="AH288" s="412"/>
      <c r="AI288" s="412"/>
      <c r="AJ288" s="412"/>
      <c r="AK288" s="412"/>
      <c r="AL288" s="412"/>
      <c r="AM288" s="298">
        <f>SUM(Y288:AL288)</f>
        <v>1</v>
      </c>
    </row>
    <row r="289" spans="1:39" hidden="1" outlineLevel="1">
      <c r="B289" s="296" t="s">
        <v>290</v>
      </c>
      <c r="C289" s="293" t="s">
        <v>164</v>
      </c>
      <c r="D289" s="297" t="s">
        <v>701</v>
      </c>
      <c r="E289" s="297" t="s">
        <v>701</v>
      </c>
      <c r="F289" s="297" t="s">
        <v>701</v>
      </c>
      <c r="G289" s="297" t="s">
        <v>701</v>
      </c>
      <c r="H289" s="297" t="s">
        <v>701</v>
      </c>
      <c r="I289" s="297" t="s">
        <v>701</v>
      </c>
      <c r="J289" s="297" t="s">
        <v>701</v>
      </c>
      <c r="K289" s="297" t="s">
        <v>701</v>
      </c>
      <c r="L289" s="297" t="s">
        <v>701</v>
      </c>
      <c r="M289" s="297" t="s">
        <v>701</v>
      </c>
      <c r="N289" s="293"/>
      <c r="O289" s="297">
        <v>0</v>
      </c>
      <c r="P289" s="297">
        <v>0</v>
      </c>
      <c r="Q289" s="297">
        <v>0</v>
      </c>
      <c r="R289" s="297">
        <v>0</v>
      </c>
      <c r="S289" s="297">
        <v>0</v>
      </c>
      <c r="T289" s="297">
        <v>0</v>
      </c>
      <c r="U289" s="297">
        <v>0</v>
      </c>
      <c r="V289" s="297">
        <v>0</v>
      </c>
      <c r="W289" s="297">
        <v>0</v>
      </c>
      <c r="X289" s="297">
        <v>0</v>
      </c>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hidden="1"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hidden="1" outlineLevel="1">
      <c r="A291" s="522">
        <v>22</v>
      </c>
      <c r="B291" s="520" t="s">
        <v>115</v>
      </c>
      <c r="C291" s="293" t="s">
        <v>25</v>
      </c>
      <c r="D291" s="297"/>
      <c r="E291" s="297">
        <v>165327.2000000001</v>
      </c>
      <c r="F291" s="297">
        <v>165327.2000000001</v>
      </c>
      <c r="G291" s="297">
        <v>165327.2000000001</v>
      </c>
      <c r="H291" s="297">
        <v>165327.2000000001</v>
      </c>
      <c r="I291" s="297">
        <v>165327.2000000001</v>
      </c>
      <c r="J291" s="297">
        <v>165327.2000000001</v>
      </c>
      <c r="K291" s="297">
        <v>165327.2000000001</v>
      </c>
      <c r="L291" s="297">
        <v>165327.2000000001</v>
      </c>
      <c r="M291" s="297">
        <v>165327.2000000001</v>
      </c>
      <c r="N291" s="293"/>
      <c r="O291" s="297"/>
      <c r="P291" s="297">
        <v>47.836400000000062</v>
      </c>
      <c r="Q291" s="297">
        <v>47.836400000000062</v>
      </c>
      <c r="R291" s="297">
        <v>47.836400000000062</v>
      </c>
      <c r="S291" s="297">
        <v>47.836400000000062</v>
      </c>
      <c r="T291" s="297">
        <v>47.836400000000062</v>
      </c>
      <c r="U291" s="297">
        <v>47.836400000000062</v>
      </c>
      <c r="V291" s="297">
        <v>47.836400000000062</v>
      </c>
      <c r="W291" s="297">
        <v>47.836400000000062</v>
      </c>
      <c r="X291" s="297">
        <v>47.836400000000062</v>
      </c>
      <c r="Y291" s="412">
        <v>1</v>
      </c>
      <c r="Z291" s="412">
        <v>0</v>
      </c>
      <c r="AA291" s="412">
        <v>0</v>
      </c>
      <c r="AB291" s="412"/>
      <c r="AC291" s="412"/>
      <c r="AD291" s="412"/>
      <c r="AE291" s="412"/>
      <c r="AF291" s="412"/>
      <c r="AG291" s="412"/>
      <c r="AH291" s="412"/>
      <c r="AI291" s="412"/>
      <c r="AJ291" s="412"/>
      <c r="AK291" s="412"/>
      <c r="AL291" s="412"/>
      <c r="AM291" s="298">
        <f>SUM(Y291:AL291)</f>
        <v>1</v>
      </c>
    </row>
    <row r="292" spans="1:39" hidden="1" outlineLevel="1">
      <c r="B292" s="296" t="s">
        <v>290</v>
      </c>
      <c r="C292" s="293" t="s">
        <v>164</v>
      </c>
      <c r="D292" s="297" t="s">
        <v>701</v>
      </c>
      <c r="E292" s="297" t="s">
        <v>701</v>
      </c>
      <c r="F292" s="297" t="s">
        <v>701</v>
      </c>
      <c r="G292" s="297" t="s">
        <v>701</v>
      </c>
      <c r="H292" s="297" t="s">
        <v>701</v>
      </c>
      <c r="I292" s="297" t="s">
        <v>701</v>
      </c>
      <c r="J292" s="297" t="s">
        <v>701</v>
      </c>
      <c r="K292" s="297" t="s">
        <v>701</v>
      </c>
      <c r="L292" s="297" t="s">
        <v>701</v>
      </c>
      <c r="M292" s="297" t="s">
        <v>701</v>
      </c>
      <c r="N292" s="293"/>
      <c r="O292" s="297">
        <v>0</v>
      </c>
      <c r="P292" s="297">
        <v>0</v>
      </c>
      <c r="Q292" s="297">
        <v>0</v>
      </c>
      <c r="R292" s="297">
        <v>0</v>
      </c>
      <c r="S292" s="297">
        <v>0</v>
      </c>
      <c r="T292" s="297">
        <v>0</v>
      </c>
      <c r="U292" s="297">
        <v>0</v>
      </c>
      <c r="V292" s="297">
        <v>0</v>
      </c>
      <c r="W292" s="297">
        <v>0</v>
      </c>
      <c r="X292" s="297">
        <v>0</v>
      </c>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hidden="1"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hidden="1" outlineLevel="1">
      <c r="A294" s="522">
        <v>23</v>
      </c>
      <c r="B294" s="520"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idden="1" outlineLevel="1">
      <c r="B295" s="296" t="s">
        <v>290</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hidden="1"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hidden="1" outlineLevel="1">
      <c r="A297" s="522">
        <v>24</v>
      </c>
      <c r="B297" s="520" t="s">
        <v>117</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idden="1" outlineLevel="1">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hidden="1"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hidden="1" outlineLevel="1">
      <c r="B300" s="290" t="s">
        <v>501</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hidden="1" outlineLevel="1">
      <c r="A301" s="522">
        <v>25</v>
      </c>
      <c r="B301" s="520" t="s">
        <v>118</v>
      </c>
      <c r="C301" s="293" t="s">
        <v>25</v>
      </c>
      <c r="D301" s="297"/>
      <c r="E301" s="297">
        <v>13142.640539737338</v>
      </c>
      <c r="F301" s="297">
        <v>13142.640539737338</v>
      </c>
      <c r="G301" s="297">
        <v>13142.640539737338</v>
      </c>
      <c r="H301" s="297">
        <v>13142.640539737338</v>
      </c>
      <c r="I301" s="297">
        <v>13142.640539737338</v>
      </c>
      <c r="J301" s="297">
        <v>13142.640539737338</v>
      </c>
      <c r="K301" s="297">
        <v>13142.640539737338</v>
      </c>
      <c r="L301" s="297">
        <v>13142.640539737338</v>
      </c>
      <c r="M301" s="297">
        <v>13142.640539737338</v>
      </c>
      <c r="N301" s="297">
        <v>12</v>
      </c>
      <c r="O301" s="297"/>
      <c r="P301" s="297">
        <v>1.7149847194239736</v>
      </c>
      <c r="Q301" s="297">
        <v>1.7149847194239736</v>
      </c>
      <c r="R301" s="297">
        <v>1.7149847194239736</v>
      </c>
      <c r="S301" s="297">
        <v>1.7149847194239736</v>
      </c>
      <c r="T301" s="297">
        <v>1.7149847194239736</v>
      </c>
      <c r="U301" s="297">
        <v>1.7149847194239736</v>
      </c>
      <c r="V301" s="297">
        <v>1.7149847194239736</v>
      </c>
      <c r="W301" s="297">
        <v>1.7149847194239736</v>
      </c>
      <c r="X301" s="297">
        <v>1.7149847194239736</v>
      </c>
      <c r="Y301" s="412">
        <v>0</v>
      </c>
      <c r="Z301" s="412">
        <v>1</v>
      </c>
      <c r="AA301" s="412">
        <v>0</v>
      </c>
      <c r="AB301" s="412"/>
      <c r="AC301" s="412"/>
      <c r="AD301" s="412"/>
      <c r="AE301" s="412"/>
      <c r="AF301" s="412"/>
      <c r="AG301" s="417"/>
      <c r="AH301" s="417"/>
      <c r="AI301" s="417"/>
      <c r="AJ301" s="417"/>
      <c r="AK301" s="417"/>
      <c r="AL301" s="417"/>
      <c r="AM301" s="298">
        <f>SUM(Y301:AL301)</f>
        <v>1</v>
      </c>
    </row>
    <row r="302" spans="1:39" hidden="1" outlineLevel="1">
      <c r="B302" s="296" t="s">
        <v>290</v>
      </c>
      <c r="C302" s="293" t="s">
        <v>164</v>
      </c>
      <c r="D302" s="297" t="s">
        <v>701</v>
      </c>
      <c r="E302" s="297" t="s">
        <v>701</v>
      </c>
      <c r="F302" s="297" t="s">
        <v>701</v>
      </c>
      <c r="G302" s="297" t="s">
        <v>701</v>
      </c>
      <c r="H302" s="297" t="s">
        <v>701</v>
      </c>
      <c r="I302" s="297" t="s">
        <v>701</v>
      </c>
      <c r="J302" s="297" t="s">
        <v>701</v>
      </c>
      <c r="K302" s="297" t="s">
        <v>701</v>
      </c>
      <c r="L302" s="297" t="s">
        <v>701</v>
      </c>
      <c r="M302" s="297" t="s">
        <v>701</v>
      </c>
      <c r="N302" s="297">
        <f>N301</f>
        <v>12</v>
      </c>
      <c r="O302" s="297">
        <v>0</v>
      </c>
      <c r="P302" s="297">
        <v>0</v>
      </c>
      <c r="Q302" s="297">
        <v>0</v>
      </c>
      <c r="R302" s="297">
        <v>0</v>
      </c>
      <c r="S302" s="297">
        <v>0</v>
      </c>
      <c r="T302" s="297">
        <v>0</v>
      </c>
      <c r="U302" s="297">
        <v>0</v>
      </c>
      <c r="V302" s="297">
        <v>0</v>
      </c>
      <c r="W302" s="297">
        <v>0</v>
      </c>
      <c r="X302" s="297">
        <v>0</v>
      </c>
      <c r="Y302" s="413">
        <f>Y301</f>
        <v>0</v>
      </c>
      <c r="Z302" s="413">
        <f t="shared" ref="Z302" si="798">Z301</f>
        <v>1</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hidden="1"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hidden="1" outlineLevel="1">
      <c r="A304" s="522">
        <v>26</v>
      </c>
      <c r="B304" s="520" t="s">
        <v>119</v>
      </c>
      <c r="C304" s="293" t="s">
        <v>25</v>
      </c>
      <c r="D304" s="297"/>
      <c r="E304" s="297">
        <v>678724.47254545765</v>
      </c>
      <c r="F304" s="297">
        <v>678724.47254545765</v>
      </c>
      <c r="G304" s="297">
        <v>678724.47254545765</v>
      </c>
      <c r="H304" s="297">
        <v>678724.47254545765</v>
      </c>
      <c r="I304" s="297">
        <v>644707.39801255171</v>
      </c>
      <c r="J304" s="297">
        <v>644707.39801255171</v>
      </c>
      <c r="K304" s="297">
        <v>644707.39801255171</v>
      </c>
      <c r="L304" s="297">
        <v>644707.39801255171</v>
      </c>
      <c r="M304" s="297">
        <v>644707.39801255171</v>
      </c>
      <c r="N304" s="297">
        <v>12</v>
      </c>
      <c r="O304" s="297"/>
      <c r="P304" s="297">
        <v>86.977191344639024</v>
      </c>
      <c r="Q304" s="297">
        <v>86.977191344639024</v>
      </c>
      <c r="R304" s="297">
        <v>86.977191344639024</v>
      </c>
      <c r="S304" s="297">
        <v>86.977191344639024</v>
      </c>
      <c r="T304" s="297">
        <v>81.484276454079136</v>
      </c>
      <c r="U304" s="297">
        <v>81.484276454079136</v>
      </c>
      <c r="V304" s="297">
        <v>81.484276454079136</v>
      </c>
      <c r="W304" s="297">
        <v>81.484276454079136</v>
      </c>
      <c r="X304" s="297">
        <v>81.484276454079136</v>
      </c>
      <c r="Y304" s="412">
        <v>0</v>
      </c>
      <c r="Z304" s="412">
        <v>0.38343414452057756</v>
      </c>
      <c r="AA304" s="412">
        <v>0.61656585547942244</v>
      </c>
      <c r="AB304" s="412"/>
      <c r="AC304" s="412"/>
      <c r="AD304" s="412"/>
      <c r="AE304" s="412"/>
      <c r="AF304" s="412"/>
      <c r="AG304" s="417"/>
      <c r="AH304" s="417"/>
      <c r="AI304" s="417"/>
      <c r="AJ304" s="417"/>
      <c r="AK304" s="417"/>
      <c r="AL304" s="417"/>
      <c r="AM304" s="298">
        <f>SUM(Y304:AL304)</f>
        <v>1</v>
      </c>
    </row>
    <row r="305" spans="1:39" hidden="1" outlineLevel="1">
      <c r="B305" s="296" t="s">
        <v>290</v>
      </c>
      <c r="C305" s="293" t="s">
        <v>164</v>
      </c>
      <c r="D305" s="297" t="s">
        <v>701</v>
      </c>
      <c r="E305" s="297" t="s">
        <v>701</v>
      </c>
      <c r="F305" s="297" t="s">
        <v>701</v>
      </c>
      <c r="G305" s="297" t="s">
        <v>701</v>
      </c>
      <c r="H305" s="297" t="s">
        <v>701</v>
      </c>
      <c r="I305" s="297" t="s">
        <v>701</v>
      </c>
      <c r="J305" s="297" t="s">
        <v>701</v>
      </c>
      <c r="K305" s="297" t="s">
        <v>701</v>
      </c>
      <c r="L305" s="297" t="s">
        <v>701</v>
      </c>
      <c r="M305" s="297" t="s">
        <v>701</v>
      </c>
      <c r="N305" s="297">
        <f>N304</f>
        <v>12</v>
      </c>
      <c r="O305" s="297">
        <v>0</v>
      </c>
      <c r="P305" s="297">
        <v>0</v>
      </c>
      <c r="Q305" s="297">
        <v>0</v>
      </c>
      <c r="R305" s="297">
        <v>0</v>
      </c>
      <c r="S305" s="297">
        <v>0</v>
      </c>
      <c r="T305" s="297">
        <v>0</v>
      </c>
      <c r="U305" s="297">
        <v>0</v>
      </c>
      <c r="V305" s="297">
        <v>0</v>
      </c>
      <c r="W305" s="297">
        <v>0</v>
      </c>
      <c r="X305" s="297">
        <v>0</v>
      </c>
      <c r="Y305" s="413">
        <f>Y304</f>
        <v>0</v>
      </c>
      <c r="Z305" s="413">
        <f t="shared" ref="Z305" si="811">Z304</f>
        <v>0.38343414452057756</v>
      </c>
      <c r="AA305" s="413">
        <f t="shared" ref="AA305" si="812">AA304</f>
        <v>0.61656585547942244</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hidden="1"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hidden="1" outlineLevel="1">
      <c r="A307" s="522">
        <v>27</v>
      </c>
      <c r="B307" s="520"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hidden="1" outlineLevel="1">
      <c r="B308" s="296" t="s">
        <v>290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hidden="1"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hidden="1" outlineLevel="1">
      <c r="A310" s="522">
        <v>28</v>
      </c>
      <c r="B310" s="520"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hidden="1" outlineLevel="1">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hidden="1"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hidden="1" outlineLevel="1">
      <c r="A313" s="522">
        <v>29</v>
      </c>
      <c r="B313" s="520"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hidden="1" outlineLevel="1">
      <c r="B314" s="296" t="s">
        <v>290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hidden="1"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hidden="1" outlineLevel="1">
      <c r="A316" s="522">
        <v>30</v>
      </c>
      <c r="B316" s="520"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hidden="1" outlineLevel="1">
      <c r="B317" s="296" t="s">
        <v>290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hidden="1"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hidden="1" outlineLevel="1">
      <c r="A319" s="522">
        <v>31</v>
      </c>
      <c r="B319" s="520"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hidden="1" outlineLevel="1">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hidden="1" outlineLevel="1">
      <c r="B321" s="520"/>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hidden="1" outlineLevel="1">
      <c r="A322" s="522">
        <v>32</v>
      </c>
      <c r="B322" s="520"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hidden="1" outlineLevel="1">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hidden="1" outlineLevel="1">
      <c r="B324" s="520"/>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hidden="1" outlineLevel="1">
      <c r="B325" s="290" t="s">
        <v>502</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hidden="1" outlineLevel="1">
      <c r="A326" s="522">
        <v>33</v>
      </c>
      <c r="B326" s="520" t="s">
        <v>126</v>
      </c>
      <c r="C326" s="293" t="s">
        <v>25</v>
      </c>
      <c r="D326" s="297"/>
      <c r="E326" s="297">
        <v>160024.5185555107</v>
      </c>
      <c r="F326" s="297">
        <v>160024.5185555107</v>
      </c>
      <c r="G326" s="297">
        <v>138828.02697156524</v>
      </c>
      <c r="H326" s="297">
        <v>123298.61035753973</v>
      </c>
      <c r="I326" s="297">
        <v>123298.61035753973</v>
      </c>
      <c r="J326" s="297">
        <v>123298.61035753973</v>
      </c>
      <c r="K326" s="297">
        <v>123298.61035753973</v>
      </c>
      <c r="L326" s="297">
        <v>123298.61035753973</v>
      </c>
      <c r="M326" s="297">
        <v>123298.61035753973</v>
      </c>
      <c r="N326" s="297">
        <v>0</v>
      </c>
      <c r="O326" s="297"/>
      <c r="P326" s="297">
        <v>22.003026268235267</v>
      </c>
      <c r="Q326" s="297">
        <v>22.003026268235267</v>
      </c>
      <c r="R326" s="297">
        <v>18.360034843558086</v>
      </c>
      <c r="S326" s="297">
        <v>15.776239163500703</v>
      </c>
      <c r="T326" s="297">
        <v>15.776239163500703</v>
      </c>
      <c r="U326" s="297">
        <v>15.776239163500703</v>
      </c>
      <c r="V326" s="297">
        <v>15.776239163500703</v>
      </c>
      <c r="W326" s="297">
        <v>15.776239163500703</v>
      </c>
      <c r="X326" s="297">
        <v>15.776239163500703</v>
      </c>
      <c r="Y326" s="412">
        <v>0</v>
      </c>
      <c r="Z326" s="412">
        <v>0.82691569635474349</v>
      </c>
      <c r="AA326" s="412">
        <v>0.17308430364525643</v>
      </c>
      <c r="AB326" s="412"/>
      <c r="AC326" s="412"/>
      <c r="AD326" s="412"/>
      <c r="AE326" s="412"/>
      <c r="AF326" s="412"/>
      <c r="AG326" s="417"/>
      <c r="AH326" s="417"/>
      <c r="AI326" s="417"/>
      <c r="AJ326" s="417"/>
      <c r="AK326" s="417"/>
      <c r="AL326" s="417"/>
      <c r="AM326" s="298">
        <f>SUM(Y326:AL326)</f>
        <v>0.99999999999999989</v>
      </c>
    </row>
    <row r="327" spans="1:39" hidden="1" outlineLevel="1">
      <c r="B327" s="296" t="s">
        <v>290</v>
      </c>
      <c r="C327" s="293" t="s">
        <v>164</v>
      </c>
      <c r="D327" s="297" t="s">
        <v>701</v>
      </c>
      <c r="E327" s="297" t="s">
        <v>701</v>
      </c>
      <c r="F327" s="297" t="s">
        <v>701</v>
      </c>
      <c r="G327" s="297" t="s">
        <v>701</v>
      </c>
      <c r="H327" s="297" t="s">
        <v>701</v>
      </c>
      <c r="I327" s="297" t="s">
        <v>701</v>
      </c>
      <c r="J327" s="297" t="s">
        <v>701</v>
      </c>
      <c r="K327" s="297" t="s">
        <v>701</v>
      </c>
      <c r="L327" s="297" t="s">
        <v>701</v>
      </c>
      <c r="M327" s="297" t="s">
        <v>701</v>
      </c>
      <c r="N327" s="297">
        <f>N326</f>
        <v>0</v>
      </c>
      <c r="O327" s="297">
        <v>0</v>
      </c>
      <c r="P327" s="297">
        <v>0</v>
      </c>
      <c r="Q327" s="297">
        <v>0</v>
      </c>
      <c r="R327" s="297">
        <v>0</v>
      </c>
      <c r="S327" s="297">
        <v>0</v>
      </c>
      <c r="T327" s="297">
        <v>0</v>
      </c>
      <c r="U327" s="297">
        <v>0</v>
      </c>
      <c r="V327" s="297">
        <v>0</v>
      </c>
      <c r="W327" s="297">
        <v>0</v>
      </c>
      <c r="X327" s="297">
        <v>0</v>
      </c>
      <c r="Y327" s="413">
        <f>Y326</f>
        <v>0</v>
      </c>
      <c r="Z327" s="413">
        <f t="shared" ref="Z327" si="902">Z326</f>
        <v>0.82691569635474349</v>
      </c>
      <c r="AA327" s="413">
        <f t="shared" ref="AA327" si="903">AA326</f>
        <v>0.17308430364525643</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hidden="1" outlineLevel="1">
      <c r="B328" s="520"/>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hidden="1" outlineLevel="1">
      <c r="A329" s="522">
        <v>34</v>
      </c>
      <c r="B329" s="520"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hidden="1" outlineLevel="1">
      <c r="B330" s="296" t="s">
        <v>290</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hidden="1" outlineLevel="1">
      <c r="B331" s="520"/>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hidden="1" outlineLevel="1">
      <c r="A332" s="522">
        <v>35</v>
      </c>
      <c r="B332" s="520"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hidden="1" outlineLevel="1">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hidden="1"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hidden="1" outlineLevel="1">
      <c r="B335" s="290" t="s">
        <v>503</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hidden="1" outlineLevel="1">
      <c r="A336" s="522">
        <v>36</v>
      </c>
      <c r="B336" s="520"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hidden="1" outlineLevel="1">
      <c r="B337" s="296" t="s">
        <v>290</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hidden="1" outlineLevel="1">
      <c r="B338" s="520"/>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hidden="1" outlineLevel="1">
      <c r="A339" s="522">
        <v>37</v>
      </c>
      <c r="B339" s="520"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hidden="1" outlineLevel="1">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hidden="1" outlineLevel="1">
      <c r="B341" s="520"/>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hidden="1" outlineLevel="1">
      <c r="A342" s="522">
        <v>38</v>
      </c>
      <c r="B342" s="520"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hidden="1" outlineLevel="1">
      <c r="B343" s="296" t="s">
        <v>290</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hidden="1" outlineLevel="1">
      <c r="B344" s="520"/>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hidden="1" outlineLevel="1">
      <c r="A345" s="522">
        <v>39</v>
      </c>
      <c r="B345" s="520"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hidden="1" outlineLevel="1">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hidden="1" outlineLevel="1">
      <c r="B347" s="520"/>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hidden="1" outlineLevel="1">
      <c r="A348" s="522">
        <v>40</v>
      </c>
      <c r="B348" s="520"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hidden="1" outlineLevel="1">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hidden="1" outlineLevel="1">
      <c r="B350" s="520"/>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hidden="1" outlineLevel="1">
      <c r="A351" s="522">
        <v>41</v>
      </c>
      <c r="B351" s="520"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hidden="1" outlineLevel="1">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hidden="1" outlineLevel="1">
      <c r="B353" s="520"/>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hidden="1" outlineLevel="1">
      <c r="A354" s="522">
        <v>42</v>
      </c>
      <c r="B354" s="520"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hidden="1" outlineLevel="1">
      <c r="B355" s="296" t="s">
        <v>290</v>
      </c>
      <c r="C355" s="293" t="s">
        <v>164</v>
      </c>
      <c r="D355" s="297"/>
      <c r="E355" s="297"/>
      <c r="F355" s="297"/>
      <c r="G355" s="297"/>
      <c r="H355" s="297"/>
      <c r="I355" s="297"/>
      <c r="J355" s="297"/>
      <c r="K355" s="297"/>
      <c r="L355" s="297"/>
      <c r="M355" s="297"/>
      <c r="N355" s="469"/>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hidden="1" outlineLevel="1">
      <c r="B356" s="520"/>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hidden="1" outlineLevel="1">
      <c r="A357" s="522">
        <v>43</v>
      </c>
      <c r="B357" s="520"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hidden="1" outlineLevel="1">
      <c r="B358" s="296" t="s">
        <v>290</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hidden="1" outlineLevel="1">
      <c r="B359" s="520"/>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hidden="1" outlineLevel="1">
      <c r="A360" s="522">
        <v>44</v>
      </c>
      <c r="B360" s="520"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hidden="1" outlineLevel="1">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hidden="1" outlineLevel="1">
      <c r="B362" s="520"/>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hidden="1" outlineLevel="1">
      <c r="A363" s="522">
        <v>45</v>
      </c>
      <c r="B363" s="520"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hidden="1" outlineLevel="1">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hidden="1" outlineLevel="1">
      <c r="B365" s="520"/>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hidden="1" outlineLevel="1">
      <c r="A366" s="522">
        <v>46</v>
      </c>
      <c r="B366" s="520"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hidden="1" outlineLevel="1">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hidden="1" outlineLevel="1">
      <c r="B368" s="520"/>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hidden="1" outlineLevel="1">
      <c r="A369" s="522">
        <v>47</v>
      </c>
      <c r="B369" s="520"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hidden="1" outlineLevel="1">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hidden="1" outlineLevel="1">
      <c r="B371" s="520"/>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hidden="1" outlineLevel="1">
      <c r="A372" s="522">
        <v>48</v>
      </c>
      <c r="B372" s="520"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hidden="1" outlineLevel="1">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hidden="1" outlineLevel="1">
      <c r="B374" s="520"/>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hidden="1" outlineLevel="1">
      <c r="A375" s="522">
        <v>49</v>
      </c>
      <c r="B375" s="520"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hidden="1" outlineLevel="1">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hidden="1"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ollapsed="1">
      <c r="B378" s="329" t="s">
        <v>275</v>
      </c>
      <c r="C378" s="331"/>
      <c r="D378" s="331">
        <f>SUM(D221:D376)</f>
        <v>0</v>
      </c>
      <c r="E378" s="331"/>
      <c r="F378" s="331"/>
      <c r="G378" s="331"/>
      <c r="H378" s="331"/>
      <c r="I378" s="331"/>
      <c r="J378" s="331"/>
      <c r="K378" s="331"/>
      <c r="L378" s="331"/>
      <c r="M378" s="331"/>
      <c r="N378" s="331"/>
      <c r="O378" s="331">
        <f>SUM(O221:O376)</f>
        <v>0</v>
      </c>
      <c r="P378" s="331"/>
      <c r="Q378" s="331"/>
      <c r="R378" s="331"/>
      <c r="S378" s="331"/>
      <c r="T378" s="331"/>
      <c r="U378" s="331"/>
      <c r="V378" s="331"/>
      <c r="W378" s="331"/>
      <c r="X378" s="331"/>
      <c r="Y378" s="331">
        <f>IF(Y219="kWh",SUMPRODUCT(D221:D376,Y221:Y376))</f>
        <v>0</v>
      </c>
      <c r="Z378" s="331">
        <f>IF(Z219="kWh",SUMPRODUCT(D221:D376,Z221:Z376))</f>
        <v>0</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276</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1345003</v>
      </c>
      <c r="Z379" s="394">
        <f>HLOOKUP(Z218,'2. LRAMVA Threshold'!$B$42:$Q$53,8,FALSE)</f>
        <v>543085</v>
      </c>
      <c r="AA379" s="394">
        <f>HLOOKUP(AA218,'2. LRAMVA Threshold'!$B$42:$Q$53,8,FALSE)</f>
        <v>10671</v>
      </c>
      <c r="AB379" s="394">
        <f>HLOOKUP(AB218,'2. LRAMVA Threshold'!$B$42:$Q$53,8,FALSE)</f>
        <v>196</v>
      </c>
      <c r="AC379" s="394">
        <f>HLOOKUP(AC218,'2. LRAMVA Threshold'!$B$42:$Q$53,8,FALSE)</f>
        <v>4684</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277</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1.6899999999999998E-2</v>
      </c>
      <c r="Z381" s="343">
        <f>HLOOKUP(Z$35,'3.  Distribution Rates'!$C$122:$P$133,8,FALSE)</f>
        <v>1.37E-2</v>
      </c>
      <c r="AA381" s="343">
        <f>HLOOKUP(AA$35,'3.  Distribution Rates'!$C$122:$P$133,8,FALSE)</f>
        <v>3.2206000000000001</v>
      </c>
      <c r="AB381" s="343">
        <f>HLOOKUP(AB$35,'3.  Distribution Rates'!$C$122:$P$133,8,FALSE)</f>
        <v>15.076599999999999</v>
      </c>
      <c r="AC381" s="343">
        <f>HLOOKUP(AC$35,'3.  Distribution Rates'!$C$122:$P$133,8,FALSE)</f>
        <v>1.18E-2</v>
      </c>
      <c r="AD381" s="343">
        <f>HLOOKUP(AD$35,'3.  Distribution Rates'!$C$122:$P$133,8,FALSE)</f>
        <v>0</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278</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3052.7077384717682</v>
      </c>
      <c r="Z382" s="380">
        <f>'4.  2011-2014 LRAM'!Z139*Z381</f>
        <v>2513.5829028481926</v>
      </c>
      <c r="AA382" s="380">
        <f>'4.  2011-2014 LRAM'!AA139*AA381</f>
        <v>1943.5971970896501</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29">
        <f t="shared" ref="AM382:AM387" si="1123">SUM(Y382:AL382)</f>
        <v>7509.8878384096106</v>
      </c>
    </row>
    <row r="383" spans="1:42">
      <c r="B383" s="326" t="s">
        <v>279</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2731.0897968211975</v>
      </c>
      <c r="Z383" s="380">
        <f>'4.  2011-2014 LRAM'!Z268*Z381</f>
        <v>7576.4104656724239</v>
      </c>
      <c r="AA383" s="380">
        <f>'4.  2011-2014 LRAM'!AA268*AA381</f>
        <v>6179.8011443976557</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29">
        <f t="shared" si="1123"/>
        <v>16487.301406891274</v>
      </c>
    </row>
    <row r="384" spans="1:42">
      <c r="B384" s="326" t="s">
        <v>280</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2883.6579071001083</v>
      </c>
      <c r="Z384" s="380">
        <f>'4.  2011-2014 LRAM'!Z397*Z381</f>
        <v>9597.4376490482209</v>
      </c>
      <c r="AA384" s="380">
        <f>'4.  2011-2014 LRAM'!AA397*AA381</f>
        <v>4181.4643080376145</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29">
        <f t="shared" si="1123"/>
        <v>16662.559864185943</v>
      </c>
    </row>
    <row r="385" spans="2:39">
      <c r="B385" s="326" t="s">
        <v>281</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9245.1736083323831</v>
      </c>
      <c r="Z385" s="380">
        <f>'4.  2011-2014 LRAM'!Z527*Z381</f>
        <v>12144.010139017673</v>
      </c>
      <c r="AA385" s="380">
        <f>'4.  2011-2014 LRAM'!AA527*AA381</f>
        <v>3466.1874525406943</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29">
        <f t="shared" si="1123"/>
        <v>24855.371199890749</v>
      </c>
    </row>
    <row r="386" spans="2:39">
      <c r="B386" s="326" t="s">
        <v>282</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9784.9279296513923</v>
      </c>
      <c r="Z386" s="380">
        <f t="shared" si="1124"/>
        <v>8520.1740481158267</v>
      </c>
      <c r="AA386" s="380">
        <f t="shared" si="1124"/>
        <v>4671.8151507896464</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29">
        <f t="shared" si="1123"/>
        <v>22976.917128556866</v>
      </c>
    </row>
    <row r="387" spans="2:39">
      <c r="B387" s="326" t="s">
        <v>291</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0</v>
      </c>
      <c r="Z387" s="380">
        <f t="shared" ref="Z387:AL387" si="1125">Z378*Z381</f>
        <v>0</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29">
        <f t="shared" si="1123"/>
        <v>0</v>
      </c>
    </row>
    <row r="388" spans="2:39" ht="15.75">
      <c r="B388" s="351" t="s">
        <v>283</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27697.556980376852</v>
      </c>
      <c r="Z388" s="348">
        <f t="shared" ref="Z388:AE388" si="1126">SUM(Z382:Z387)</f>
        <v>40351.615204702335</v>
      </c>
      <c r="AA388" s="348">
        <f t="shared" si="1126"/>
        <v>20442.865252855259</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88492.037437934458</v>
      </c>
    </row>
    <row r="389" spans="2:39" ht="15.75">
      <c r="B389" s="351" t="s">
        <v>284</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22730.550699999996</v>
      </c>
      <c r="Z389" s="349">
        <f t="shared" ref="Z389:AE389" si="1128">Z379*Z381</f>
        <v>7440.2645000000002</v>
      </c>
      <c r="AA389" s="349">
        <f t="shared" si="1128"/>
        <v>34367.022600000004</v>
      </c>
      <c r="AB389" s="349">
        <f t="shared" si="1128"/>
        <v>2955.0135999999998</v>
      </c>
      <c r="AC389" s="349">
        <f t="shared" si="1128"/>
        <v>55.2712</v>
      </c>
      <c r="AD389" s="349">
        <f t="shared" si="1128"/>
        <v>0</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67548.122600000002</v>
      </c>
    </row>
    <row r="390" spans="2:39" ht="15.75">
      <c r="B390" s="351" t="s">
        <v>285</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20943.914837934455</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286</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1378648.790936538</v>
      </c>
      <c r="Z392" s="293">
        <f>SUMPRODUCT(E221:E376,Z221:Z376)</f>
        <v>405715.56423054787</v>
      </c>
      <c r="AA392" s="293">
        <f t="shared" ref="AA392:AL392" si="1130">IF(AA219="kw",SUMPRODUCT($N$221:$N$376,$P$221:$P$376,AA221:AA376),SUMPRODUCT($E$221:$E$376,AA221:AA376))</f>
        <v>643.52599666325727</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287</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1378648.790936538</v>
      </c>
      <c r="Z393" s="293">
        <f>SUMPRODUCT(F221:F376,Z221:Z376)</f>
        <v>405715.56423054787</v>
      </c>
      <c r="AA393" s="293">
        <f t="shared" ref="AA393:AL393" si="1131">IF(AA219="kw",SUMPRODUCT($N$221:$N$376,$Q$221:$Q$376,AA221:AA376),SUMPRODUCT($F$221:$F$376,AA221:AA376))</f>
        <v>643.52599666325727</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288</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1378648.790936538</v>
      </c>
      <c r="Z394" s="293">
        <f>SUMPRODUCT(G221:G376,Z221:Z376)</f>
        <v>388187.85263213213</v>
      </c>
      <c r="AA394" s="293">
        <f t="shared" ref="AA394:AL394" si="1132">IF(AA219="kw",SUMPRODUCT($N$221:$N$376,$R$221:$R$376,AA221:AA376),SUMPRODUCT($G$221:$G$376,AA221:AA376))</f>
        <v>643.52599666325727</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289</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1378648.790936538</v>
      </c>
      <c r="Z395" s="328">
        <f>SUMPRODUCT(H221:H376,Z221:Z376)</f>
        <v>375346.33427876228</v>
      </c>
      <c r="AA395" s="328">
        <f t="shared" ref="AA395:AL395" si="1133">IF(AA219="kw",SUMPRODUCT($N$221:$N$376,$S$221:$S$376,AA221:AA376),SUMPRODUCT($H$221:$H$376,AA221:AA376))</f>
        <v>643.52599666325727</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591</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292</v>
      </c>
      <c r="C399" s="283"/>
      <c r="D399" s="590" t="s">
        <v>527</v>
      </c>
      <c r="E399" s="255"/>
      <c r="F399" s="592"/>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0" t="s">
        <v>212</v>
      </c>
      <c r="C400" s="802" t="s">
        <v>33</v>
      </c>
      <c r="D400" s="286" t="s">
        <v>423</v>
      </c>
      <c r="E400" s="804" t="s">
        <v>210</v>
      </c>
      <c r="F400" s="805"/>
      <c r="G400" s="805"/>
      <c r="H400" s="805"/>
      <c r="I400" s="805"/>
      <c r="J400" s="805"/>
      <c r="K400" s="805"/>
      <c r="L400" s="805"/>
      <c r="M400" s="806"/>
      <c r="N400" s="810" t="s">
        <v>214</v>
      </c>
      <c r="O400" s="286" t="s">
        <v>424</v>
      </c>
      <c r="P400" s="804" t="s">
        <v>213</v>
      </c>
      <c r="Q400" s="805"/>
      <c r="R400" s="805"/>
      <c r="S400" s="805"/>
      <c r="T400" s="805"/>
      <c r="U400" s="805"/>
      <c r="V400" s="805"/>
      <c r="W400" s="805"/>
      <c r="X400" s="806"/>
      <c r="Y400" s="807" t="s">
        <v>244</v>
      </c>
      <c r="Z400" s="808"/>
      <c r="AA400" s="808"/>
      <c r="AB400" s="808"/>
      <c r="AC400" s="808"/>
      <c r="AD400" s="808"/>
      <c r="AE400" s="808"/>
      <c r="AF400" s="808"/>
      <c r="AG400" s="808"/>
      <c r="AH400" s="808"/>
      <c r="AI400" s="808"/>
      <c r="AJ400" s="808"/>
      <c r="AK400" s="808"/>
      <c r="AL400" s="808"/>
      <c r="AM400" s="809"/>
    </row>
    <row r="401" spans="1:39" ht="61.5" customHeight="1">
      <c r="B401" s="801"/>
      <c r="C401" s="803"/>
      <c r="D401" s="287">
        <v>2017</v>
      </c>
      <c r="E401" s="287">
        <v>2018</v>
      </c>
      <c r="F401" s="287">
        <v>2019</v>
      </c>
      <c r="G401" s="287">
        <v>2020</v>
      </c>
      <c r="H401" s="287">
        <v>2021</v>
      </c>
      <c r="I401" s="287">
        <v>2022</v>
      </c>
      <c r="J401" s="287">
        <v>2023</v>
      </c>
      <c r="K401" s="287">
        <v>2024</v>
      </c>
      <c r="L401" s="287">
        <v>2025</v>
      </c>
      <c r="M401" s="287">
        <v>2026</v>
      </c>
      <c r="N401" s="811"/>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GS&lt;50 kW</v>
      </c>
      <c r="AA401" s="287" t="str">
        <f>'1.  LRAMVA Summary'!F50</f>
        <v>GS&gt;50 kW</v>
      </c>
      <c r="AB401" s="287" t="str">
        <f>'1.  LRAMVA Summary'!G50</f>
        <v>Streetlights</v>
      </c>
      <c r="AC401" s="287" t="str">
        <f>'1.  LRAMVA Summary'!H50</f>
        <v>Unmetered Scattered Load</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2"/>
      <c r="B402" s="524" t="s">
        <v>505</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v>
      </c>
      <c r="AC402" s="293" t="str">
        <f>'1.  LRAMVA Summary'!H51</f>
        <v>KWh</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2"/>
      <c r="B403" s="504" t="s">
        <v>498</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2">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2"/>
      <c r="B405" s="433" t="s">
        <v>309</v>
      </c>
      <c r="C405" s="293" t="s">
        <v>164</v>
      </c>
      <c r="D405" s="297"/>
      <c r="E405" s="297"/>
      <c r="F405" s="297"/>
      <c r="G405" s="297"/>
      <c r="H405" s="297"/>
      <c r="I405" s="297"/>
      <c r="J405" s="297"/>
      <c r="K405" s="297"/>
      <c r="L405" s="297"/>
      <c r="M405" s="297"/>
      <c r="N405" s="469"/>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2"/>
      <c r="B406" s="525"/>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2">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2"/>
      <c r="B408" s="433" t="s">
        <v>309</v>
      </c>
      <c r="C408" s="293" t="s">
        <v>164</v>
      </c>
      <c r="D408" s="297"/>
      <c r="E408" s="297"/>
      <c r="F408" s="297"/>
      <c r="G408" s="297"/>
      <c r="H408" s="297"/>
      <c r="I408" s="297"/>
      <c r="J408" s="297"/>
      <c r="K408" s="297"/>
      <c r="L408" s="297"/>
      <c r="M408" s="297"/>
      <c r="N408" s="469"/>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2"/>
      <c r="B409" s="525"/>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2">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2"/>
      <c r="B411" s="433" t="s">
        <v>309</v>
      </c>
      <c r="C411" s="293" t="s">
        <v>164</v>
      </c>
      <c r="D411" s="297"/>
      <c r="E411" s="297"/>
      <c r="F411" s="297"/>
      <c r="G411" s="297"/>
      <c r="H411" s="297"/>
      <c r="I411" s="297"/>
      <c r="J411" s="297"/>
      <c r="K411" s="297"/>
      <c r="L411" s="297"/>
      <c r="M411" s="297"/>
      <c r="N411" s="469"/>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2"/>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2">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2"/>
      <c r="B414" s="433" t="s">
        <v>309</v>
      </c>
      <c r="C414" s="293" t="s">
        <v>164</v>
      </c>
      <c r="D414" s="297"/>
      <c r="E414" s="297"/>
      <c r="F414" s="297"/>
      <c r="G414" s="297"/>
      <c r="H414" s="297"/>
      <c r="I414" s="297"/>
      <c r="J414" s="297"/>
      <c r="K414" s="297"/>
      <c r="L414" s="297"/>
      <c r="M414" s="297"/>
      <c r="N414" s="469"/>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2"/>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2">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2"/>
      <c r="B417" s="433" t="s">
        <v>309</v>
      </c>
      <c r="C417" s="293" t="s">
        <v>164</v>
      </c>
      <c r="D417" s="297"/>
      <c r="E417" s="297"/>
      <c r="F417" s="297"/>
      <c r="G417" s="297"/>
      <c r="H417" s="297"/>
      <c r="I417" s="297"/>
      <c r="J417" s="297"/>
      <c r="K417" s="297"/>
      <c r="L417" s="297"/>
      <c r="M417" s="297"/>
      <c r="N417" s="469"/>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2"/>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2"/>
      <c r="B419" s="514" t="s">
        <v>499</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2">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2"/>
      <c r="B421" s="433" t="s">
        <v>309</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2"/>
      <c r="B422" s="526"/>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2">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2"/>
      <c r="B424" s="433" t="s">
        <v>309</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2"/>
      <c r="B425" s="527"/>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2">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2"/>
      <c r="B427" s="433"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2"/>
      <c r="B428" s="527"/>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2">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2"/>
      <c r="B430" s="433"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2"/>
      <c r="B431" s="527"/>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2">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2"/>
      <c r="B433" s="433" t="s">
        <v>309</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2"/>
      <c r="B434" s="527"/>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2"/>
      <c r="B435" s="504"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2">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2"/>
      <c r="B437" s="433" t="s">
        <v>309</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2"/>
      <c r="B438" s="528"/>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2">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2"/>
      <c r="B440" s="433" t="s">
        <v>309</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2"/>
      <c r="B441" s="528"/>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2">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2"/>
      <c r="B443" s="433"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2"/>
      <c r="B444" s="528"/>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2"/>
      <c r="B445" s="504"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2">
        <v>14</v>
      </c>
      <c r="B446" s="528"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2"/>
      <c r="B447" s="433" t="s">
        <v>309</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2"/>
      <c r="B448" s="528"/>
      <c r="C448" s="307"/>
      <c r="D448" s="293"/>
      <c r="E448" s="293"/>
      <c r="F448" s="293"/>
      <c r="G448" s="293"/>
      <c r="H448" s="293"/>
      <c r="I448" s="293"/>
      <c r="J448" s="293"/>
      <c r="K448" s="293"/>
      <c r="L448" s="293"/>
      <c r="M448" s="293"/>
      <c r="N448" s="469"/>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0"/>
    </row>
    <row r="449" spans="1:40" s="311" customFormat="1" ht="15.75" hidden="1" outlineLevel="1">
      <c r="A449" s="532"/>
      <c r="B449" s="504" t="s">
        <v>491</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7"/>
      <c r="AN449" s="631"/>
    </row>
    <row r="450" spans="1:40" hidden="1" outlineLevel="1">
      <c r="A450" s="532">
        <v>15</v>
      </c>
      <c r="B450" s="433" t="s">
        <v>496</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2"/>
      <c r="B451" s="433" t="s">
        <v>309</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2"/>
      <c r="B452" s="528"/>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2">
        <v>16</v>
      </c>
      <c r="B453" s="529" t="s">
        <v>492</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2"/>
      <c r="B454" s="529" t="s">
        <v>309</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2"/>
      <c r="B455" s="529"/>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2"/>
      <c r="B456" s="530" t="s">
        <v>497</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2">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2"/>
      <c r="B458" s="433" t="s">
        <v>309</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2"/>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2">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2"/>
      <c r="B461" s="433" t="s">
        <v>309</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2"/>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2">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2"/>
      <c r="B464" s="433"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2"/>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2">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2"/>
      <c r="B467" s="433"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2"/>
      <c r="B468" s="531"/>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2"/>
      <c r="B469" s="524" t="s">
        <v>504</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2"/>
      <c r="B470" s="504" t="s">
        <v>500</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2">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2"/>
      <c r="B472" s="433" t="s">
        <v>309</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2"/>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2">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2"/>
      <c r="B475" s="433" t="s">
        <v>309</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2"/>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2">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2"/>
      <c r="B478" s="433"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2"/>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2">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2"/>
      <c r="B481" s="433"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2"/>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2"/>
      <c r="B483" s="504" t="s">
        <v>501</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2">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2"/>
      <c r="B485" s="433" t="s">
        <v>309</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2"/>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2">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2"/>
      <c r="B488" s="433" t="s">
        <v>309</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2"/>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2">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2"/>
      <c r="B491" s="433"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2"/>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2">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2"/>
      <c r="B494" s="433"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2"/>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2">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2"/>
      <c r="B497" s="433" t="s">
        <v>309</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2"/>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2">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2"/>
      <c r="B500" s="433" t="s">
        <v>309</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2"/>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2">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2"/>
      <c r="B503" s="433" t="s">
        <v>309</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2"/>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2">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2"/>
      <c r="B506" s="433"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2"/>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2"/>
      <c r="B508" s="504" t="s">
        <v>502</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2">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2"/>
      <c r="B510" s="433" t="s">
        <v>309</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2"/>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2">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2"/>
      <c r="B513" s="433" t="s">
        <v>309</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2"/>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2">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2"/>
      <c r="B516" s="433"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2"/>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2"/>
      <c r="B518" s="504" t="s">
        <v>503</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2">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2"/>
      <c r="B520" s="433" t="s">
        <v>309</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2"/>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2">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2"/>
      <c r="B523" s="433" t="s">
        <v>309</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2"/>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2">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2"/>
      <c r="B526" s="433"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2"/>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2">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2"/>
      <c r="B529" s="433"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2"/>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2">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2"/>
      <c r="B532" s="433"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2"/>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2">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2"/>
      <c r="B535" s="433"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2"/>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2">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2"/>
      <c r="B538" s="433" t="s">
        <v>309</v>
      </c>
      <c r="C538" s="293" t="s">
        <v>164</v>
      </c>
      <c r="D538" s="297"/>
      <c r="E538" s="297"/>
      <c r="F538" s="297"/>
      <c r="G538" s="297"/>
      <c r="H538" s="297"/>
      <c r="I538" s="297"/>
      <c r="J538" s="297"/>
      <c r="K538" s="297"/>
      <c r="L538" s="297"/>
      <c r="M538" s="297"/>
      <c r="N538" s="469"/>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2"/>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2">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2"/>
      <c r="B541" s="433" t="s">
        <v>309</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2"/>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2">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2"/>
      <c r="B544" s="433" t="s">
        <v>309</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2"/>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2">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2"/>
      <c r="B547" s="433"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2"/>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2">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2"/>
      <c r="B550" s="433"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2"/>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2">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2"/>
      <c r="B553" s="433"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2"/>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2">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2"/>
      <c r="B556" s="433"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2"/>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2">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2"/>
      <c r="B559" s="433"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2"/>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293</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294</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295</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1.21E-2</v>
      </c>
      <c r="Z564" s="343">
        <f>HLOOKUP(Z$35,'3.  Distribution Rates'!$C$122:$P$133,9,FALSE)</f>
        <v>1.3899999999999999E-2</v>
      </c>
      <c r="AA564" s="343">
        <f>HLOOKUP(AA$35,'3.  Distribution Rates'!$C$122:$P$133,9,FALSE)</f>
        <v>3.2837999999999998</v>
      </c>
      <c r="AB564" s="343">
        <f>HLOOKUP(AB$35,'3.  Distribution Rates'!$C$122:$P$133,9,FALSE)</f>
        <v>15.401</v>
      </c>
      <c r="AC564" s="343">
        <f>HLOOKUP(AC$35,'3.  Distribution Rates'!$C$122:$P$133,9,FALSE)</f>
        <v>1.2E-2</v>
      </c>
      <c r="AD564" s="343">
        <f>HLOOKUP(AD$35,'3.  Distribution Rates'!$C$122:$P$133,9,FALSE)</f>
        <v>0</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296</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1827.672714865249</v>
      </c>
      <c r="Z565" s="380">
        <f>'4.  2011-2014 LRAM'!Z140*Z564</f>
        <v>1684.3194984103418</v>
      </c>
      <c r="AA565" s="380">
        <f>'4.  2011-2014 LRAM'!AA140*AA564</f>
        <v>1981.7377121663642</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29">
        <f t="shared" ref="AM565:AM571" si="1699">SUM(Y565:AL565)</f>
        <v>5493.7299254419549</v>
      </c>
    </row>
    <row r="566" spans="2:39">
      <c r="B566" s="326" t="s">
        <v>297</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1470.214964774083</v>
      </c>
      <c r="Z566" s="380">
        <f>'4.  2011-2014 LRAM'!Z269*Z564</f>
        <v>6354.5634149022471</v>
      </c>
      <c r="AA566" s="380">
        <f>'4.  2011-2014 LRAM'!AA269*AA564</f>
        <v>6271.6313066555413</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29">
        <f t="shared" si="1699"/>
        <v>14096.409686331872</v>
      </c>
    </row>
    <row r="567" spans="2:39">
      <c r="B567" s="326" t="s">
        <v>298</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1849.4883605655368</v>
      </c>
      <c r="Z567" s="380">
        <f>'4.  2011-2014 LRAM'!Z398*Z564</f>
        <v>8522.7065223248392</v>
      </c>
      <c r="AA567" s="380">
        <f>'4.  2011-2014 LRAM'!AA398*AA564</f>
        <v>4112.1548946698776</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29">
        <f t="shared" si="1699"/>
        <v>14484.349777560255</v>
      </c>
    </row>
    <row r="568" spans="2:39">
      <c r="B568" s="326" t="s">
        <v>299</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6595.6515130856824</v>
      </c>
      <c r="Z568" s="380">
        <f>'4.  2011-2014 LRAM'!Z528*Z564</f>
        <v>11435.977390694916</v>
      </c>
      <c r="AA568" s="380">
        <f>'4.  2011-2014 LRAM'!AA528*AA564</f>
        <v>3463.0181429758218</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29">
        <f t="shared" si="1699"/>
        <v>21494.647046756421</v>
      </c>
    </row>
    <row r="569" spans="2:39">
      <c r="B569" s="326" t="s">
        <v>300</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6998.3678859048805</v>
      </c>
      <c r="Z569" s="380">
        <f t="shared" si="1700"/>
        <v>8231.7149006276832</v>
      </c>
      <c r="AA569" s="380">
        <f t="shared" si="1700"/>
        <v>4749.4724790843484</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29">
        <f t="shared" si="1699"/>
        <v>19979.555265616909</v>
      </c>
    </row>
    <row r="570" spans="2:39">
      <c r="B570" s="326" t="s">
        <v>301</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Y392*Y564</f>
        <v>16681.65037033211</v>
      </c>
      <c r="Z570" s="380">
        <f t="shared" ref="Z570:AL570" si="1701">Z392*Z564</f>
        <v>5639.4463428046147</v>
      </c>
      <c r="AA570" s="380">
        <f t="shared" si="1701"/>
        <v>2113.210667842804</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29">
        <f t="shared" si="1699"/>
        <v>24434.307380979528</v>
      </c>
    </row>
    <row r="571" spans="2:39">
      <c r="B571" s="326" t="s">
        <v>302</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29">
        <f t="shared" si="1699"/>
        <v>0</v>
      </c>
    </row>
    <row r="572" spans="2:39" ht="15.75">
      <c r="B572" s="351" t="s">
        <v>303</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35423.045809527539</v>
      </c>
      <c r="Z572" s="348">
        <f>SUM(Z565:Z571)</f>
        <v>41868.728069764642</v>
      </c>
      <c r="AA572" s="348">
        <f t="shared" ref="AA572:AE572" si="1703">SUM(AA565:AA571)</f>
        <v>22691.225203394755</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99982.999082686933</v>
      </c>
    </row>
    <row r="573" spans="2:39" ht="15.75">
      <c r="B573" s="351" t="s">
        <v>304</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305</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99982.999082686933</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306</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307</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308</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591</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hidden="1">
      <c r="B582" s="282" t="s">
        <v>310</v>
      </c>
      <c r="C582" s="283"/>
      <c r="D582" s="590" t="s">
        <v>527</v>
      </c>
      <c r="E582" s="255"/>
      <c r="F582" s="590"/>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hidden="1" customHeight="1">
      <c r="B583" s="800" t="s">
        <v>212</v>
      </c>
      <c r="C583" s="802" t="s">
        <v>33</v>
      </c>
      <c r="D583" s="286" t="s">
        <v>423</v>
      </c>
      <c r="E583" s="804" t="s">
        <v>210</v>
      </c>
      <c r="F583" s="805"/>
      <c r="G583" s="805"/>
      <c r="H583" s="805"/>
      <c r="I583" s="805"/>
      <c r="J583" s="805"/>
      <c r="K583" s="805"/>
      <c r="L583" s="805"/>
      <c r="M583" s="806"/>
      <c r="N583" s="810" t="s">
        <v>214</v>
      </c>
      <c r="O583" s="286" t="s">
        <v>424</v>
      </c>
      <c r="P583" s="804" t="s">
        <v>213</v>
      </c>
      <c r="Q583" s="805"/>
      <c r="R583" s="805"/>
      <c r="S583" s="805"/>
      <c r="T583" s="805"/>
      <c r="U583" s="805"/>
      <c r="V583" s="805"/>
      <c r="W583" s="805"/>
      <c r="X583" s="806"/>
      <c r="Y583" s="807" t="s">
        <v>244</v>
      </c>
      <c r="Z583" s="808"/>
      <c r="AA583" s="808"/>
      <c r="AB583" s="808"/>
      <c r="AC583" s="808"/>
      <c r="AD583" s="808"/>
      <c r="AE583" s="808"/>
      <c r="AF583" s="808"/>
      <c r="AG583" s="808"/>
      <c r="AH583" s="808"/>
      <c r="AI583" s="808"/>
      <c r="AJ583" s="808"/>
      <c r="AK583" s="808"/>
      <c r="AL583" s="808"/>
      <c r="AM583" s="809"/>
    </row>
    <row r="584" spans="1:39" ht="68.25" hidden="1" customHeight="1">
      <c r="B584" s="801"/>
      <c r="C584" s="803"/>
      <c r="D584" s="287">
        <v>2018</v>
      </c>
      <c r="E584" s="287">
        <v>2019</v>
      </c>
      <c r="F584" s="287">
        <v>2020</v>
      </c>
      <c r="G584" s="287">
        <v>2021</v>
      </c>
      <c r="H584" s="287">
        <v>2022</v>
      </c>
      <c r="I584" s="287">
        <v>2023</v>
      </c>
      <c r="J584" s="287">
        <v>2024</v>
      </c>
      <c r="K584" s="287">
        <v>2025</v>
      </c>
      <c r="L584" s="287">
        <v>2026</v>
      </c>
      <c r="M584" s="287">
        <v>2027</v>
      </c>
      <c r="N584" s="811"/>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GS&lt;50 kW</v>
      </c>
      <c r="AA584" s="287" t="str">
        <f>'1.  LRAMVA Summary'!F50</f>
        <v>GS&gt;50 kW</v>
      </c>
      <c r="AB584" s="287" t="str">
        <f>'1.  LRAMVA Summary'!G50</f>
        <v>Streetlights</v>
      </c>
      <c r="AC584" s="287" t="str">
        <f>'1.  LRAMVA Summary'!H50</f>
        <v>Unmetered Scattered Load</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hidden="1" customHeight="1">
      <c r="A585" s="532"/>
      <c r="B585" s="518" t="s">
        <v>505</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v>
      </c>
      <c r="AC585" s="293" t="str">
        <f>'1.  LRAMVA Summary'!H51</f>
        <v>KWh</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2"/>
      <c r="B586" s="504" t="s">
        <v>498</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2">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2"/>
      <c r="B588" s="296" t="s">
        <v>311</v>
      </c>
      <c r="C588" s="293" t="s">
        <v>164</v>
      </c>
      <c r="D588" s="297"/>
      <c r="E588" s="297"/>
      <c r="F588" s="297"/>
      <c r="G588" s="297"/>
      <c r="H588" s="297"/>
      <c r="I588" s="297"/>
      <c r="J588" s="297"/>
      <c r="K588" s="297"/>
      <c r="L588" s="297"/>
      <c r="M588" s="297"/>
      <c r="N588" s="469"/>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2"/>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2">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2"/>
      <c r="B591" s="296" t="s">
        <v>311</v>
      </c>
      <c r="C591" s="293" t="s">
        <v>164</v>
      </c>
      <c r="D591" s="297"/>
      <c r="E591" s="297"/>
      <c r="F591" s="297"/>
      <c r="G591" s="297"/>
      <c r="H591" s="297"/>
      <c r="I591" s="297"/>
      <c r="J591" s="297"/>
      <c r="K591" s="297"/>
      <c r="L591" s="297"/>
      <c r="M591" s="297"/>
      <c r="N591" s="469"/>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2"/>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2">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2"/>
      <c r="B594" s="296" t="s">
        <v>311</v>
      </c>
      <c r="C594" s="293" t="s">
        <v>164</v>
      </c>
      <c r="D594" s="297"/>
      <c r="E594" s="297"/>
      <c r="F594" s="297"/>
      <c r="G594" s="297"/>
      <c r="H594" s="297"/>
      <c r="I594" s="297"/>
      <c r="J594" s="297"/>
      <c r="K594" s="297"/>
      <c r="L594" s="297"/>
      <c r="M594" s="297"/>
      <c r="N594" s="469"/>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2"/>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2">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2"/>
      <c r="B597" s="296" t="s">
        <v>311</v>
      </c>
      <c r="C597" s="293" t="s">
        <v>164</v>
      </c>
      <c r="D597" s="297"/>
      <c r="E597" s="297"/>
      <c r="F597" s="297"/>
      <c r="G597" s="297"/>
      <c r="H597" s="297"/>
      <c r="I597" s="297"/>
      <c r="J597" s="297"/>
      <c r="K597" s="297"/>
      <c r="L597" s="297"/>
      <c r="M597" s="297"/>
      <c r="N597" s="469"/>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2"/>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2">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2"/>
      <c r="B600" s="296" t="s">
        <v>311</v>
      </c>
      <c r="C600" s="293" t="s">
        <v>164</v>
      </c>
      <c r="D600" s="297"/>
      <c r="E600" s="297"/>
      <c r="F600" s="297"/>
      <c r="G600" s="297"/>
      <c r="H600" s="297"/>
      <c r="I600" s="297"/>
      <c r="J600" s="297"/>
      <c r="K600" s="297"/>
      <c r="L600" s="297"/>
      <c r="M600" s="297"/>
      <c r="N600" s="469"/>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2"/>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2"/>
      <c r="B602" s="321" t="s">
        <v>499</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2">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2"/>
      <c r="B604" s="296" t="s">
        <v>311</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2"/>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2">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2"/>
      <c r="B607" s="296" t="s">
        <v>311</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2"/>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2">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2"/>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2"/>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2">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2"/>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2"/>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2">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2"/>
      <c r="B616" s="296" t="s">
        <v>311</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2"/>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2"/>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2">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2"/>
      <c r="B620" s="296" t="s">
        <v>311</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2"/>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2">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2"/>
      <c r="B623" s="296" t="s">
        <v>311</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2"/>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2">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2"/>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2"/>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2"/>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2">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2"/>
      <c r="B630" s="296" t="s">
        <v>311</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6"/>
      <c r="AN630" s="630"/>
    </row>
    <row r="631" spans="1:40" hidden="1" outlineLevel="1">
      <c r="A631" s="532"/>
      <c r="B631" s="317"/>
      <c r="C631" s="307"/>
      <c r="D631" s="293"/>
      <c r="E631" s="293"/>
      <c r="F631" s="293"/>
      <c r="G631" s="293"/>
      <c r="H631" s="293"/>
      <c r="I631" s="293"/>
      <c r="J631" s="293"/>
      <c r="K631" s="293"/>
      <c r="L631" s="293"/>
      <c r="M631" s="293"/>
      <c r="N631" s="469"/>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0"/>
    </row>
    <row r="632" spans="1:40" s="311" customFormat="1" ht="15.75" hidden="1" outlineLevel="1">
      <c r="A632" s="532"/>
      <c r="B632" s="290" t="s">
        <v>491</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7"/>
      <c r="AN632" s="631"/>
    </row>
    <row r="633" spans="1:40" hidden="1" outlineLevel="1">
      <c r="A633" s="532">
        <v>15</v>
      </c>
      <c r="B633" s="296" t="s">
        <v>496</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2"/>
      <c r="B634" s="296" t="s">
        <v>311</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2"/>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2">
        <v>16</v>
      </c>
      <c r="B636" s="326" t="s">
        <v>492</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2"/>
      <c r="B637" s="296" t="s">
        <v>311</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2"/>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2"/>
      <c r="B639" s="519" t="s">
        <v>497</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2">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2"/>
      <c r="B641" s="296" t="s">
        <v>311</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2"/>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2">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2"/>
      <c r="B644" s="296" t="s">
        <v>311</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2"/>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2">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2"/>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2"/>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2">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2"/>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2"/>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2"/>
      <c r="B652" s="518" t="s">
        <v>504</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2"/>
      <c r="B653" s="504" t="s">
        <v>500</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2">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2"/>
      <c r="B655" s="296" t="s">
        <v>311</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2"/>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2">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2"/>
      <c r="B658" s="296" t="s">
        <v>311</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2"/>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2">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2"/>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2"/>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2">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2"/>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2"/>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2"/>
      <c r="B666" s="290" t="s">
        <v>501</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2">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2"/>
      <c r="B668" s="296" t="s">
        <v>311</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2"/>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2">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2"/>
      <c r="B671" s="296" t="s">
        <v>311</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2"/>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2">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2"/>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2"/>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2">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2"/>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2"/>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2">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2"/>
      <c r="B680" s="296" t="s">
        <v>311</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2"/>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2">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2"/>
      <c r="B683" s="296" t="s">
        <v>311</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2"/>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2">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2"/>
      <c r="B686" s="296" t="s">
        <v>311</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2"/>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2">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2"/>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2"/>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2"/>
      <c r="B691" s="290" t="s">
        <v>502</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2">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2"/>
      <c r="B693" s="296" t="s">
        <v>311</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2"/>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2">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2"/>
      <c r="B696" s="296" t="s">
        <v>311</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2"/>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2">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2"/>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2"/>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2"/>
      <c r="B701" s="290" t="s">
        <v>503</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2">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2"/>
      <c r="B703" s="296" t="s">
        <v>311</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2"/>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2">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2"/>
      <c r="B706" s="296" t="s">
        <v>311</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2"/>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2">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2"/>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2"/>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2">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2"/>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2"/>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2">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2"/>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2"/>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2">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2"/>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2"/>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2">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2"/>
      <c r="B721" s="296" t="s">
        <v>311</v>
      </c>
      <c r="C721" s="293" t="s">
        <v>164</v>
      </c>
      <c r="D721" s="297"/>
      <c r="E721" s="297"/>
      <c r="F721" s="297"/>
      <c r="G721" s="297"/>
      <c r="H721" s="297"/>
      <c r="I721" s="297"/>
      <c r="J721" s="297"/>
      <c r="K721" s="297"/>
      <c r="L721" s="297"/>
      <c r="M721" s="297"/>
      <c r="N721" s="469"/>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2"/>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2">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2"/>
      <c r="B724" s="296" t="s">
        <v>311</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2"/>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2">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2"/>
      <c r="B727" s="296" t="s">
        <v>311</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2"/>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2">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2"/>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2"/>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2">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2"/>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2"/>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2">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2"/>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2"/>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2">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2"/>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2"/>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2">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2"/>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2"/>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hidden="1" collapsed="1">
      <c r="B744" s="329" t="s">
        <v>312</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hidden="1">
      <c r="B745" s="393" t="s">
        <v>313</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hidden="1">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hidden="1">
      <c r="B747" s="326" t="s">
        <v>314</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hidden="1">
      <c r="B748" s="326" t="s">
        <v>315</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29">
        <f t="shared" ref="AM748:AM755" si="2275">SUM(Y748:AL748)</f>
        <v>0</v>
      </c>
      <c r="AN748" s="445"/>
    </row>
    <row r="749" spans="1:40" hidden="1">
      <c r="B749" s="326" t="s">
        <v>316</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29">
        <f t="shared" si="2275"/>
        <v>0</v>
      </c>
      <c r="AN749" s="445"/>
    </row>
    <row r="750" spans="1:40" hidden="1">
      <c r="B750" s="326" t="s">
        <v>317</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29">
        <f t="shared" si="2275"/>
        <v>0</v>
      </c>
      <c r="AN750" s="445"/>
    </row>
    <row r="751" spans="1:40" hidden="1">
      <c r="B751" s="326" t="s">
        <v>318</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29">
        <f t="shared" si="2275"/>
        <v>0</v>
      </c>
      <c r="AN751" s="445"/>
    </row>
    <row r="752" spans="1:40" hidden="1">
      <c r="B752" s="326" t="s">
        <v>319</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29">
        <f t="shared" si="2275"/>
        <v>0</v>
      </c>
      <c r="AN752" s="445"/>
    </row>
    <row r="753" spans="1:40" hidden="1">
      <c r="B753" s="326" t="s">
        <v>320</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29">
        <f t="shared" si="2275"/>
        <v>0</v>
      </c>
      <c r="AN753" s="445"/>
    </row>
    <row r="754" spans="1:40" hidden="1">
      <c r="B754" s="326" t="s">
        <v>321</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29">
        <f t="shared" si="2275"/>
        <v>0</v>
      </c>
      <c r="AN754" s="445"/>
    </row>
    <row r="755" spans="1:40" hidden="1">
      <c r="B755" s="326" t="s">
        <v>322</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29">
        <f t="shared" si="2275"/>
        <v>0</v>
      </c>
      <c r="AN755" s="445"/>
    </row>
    <row r="756" spans="1:40" ht="15.75" hidden="1">
      <c r="B756" s="351" t="s">
        <v>323</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hidden="1">
      <c r="B757" s="351" t="s">
        <v>324</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hidden="1">
      <c r="B758" s="351" t="s">
        <v>325</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hidden="1">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hidden="1">
      <c r="B760" s="441" t="s">
        <v>326</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hidden="1">
      <c r="B761" s="442" t="s">
        <v>327</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hidden="1" customHeight="1">
      <c r="B762" s="370" t="s">
        <v>591</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3" spans="1:40" hidden="1"/>
    <row r="764" spans="1:40" hidden="1"/>
    <row r="765" spans="1:40" ht="15.75" hidden="1">
      <c r="B765" s="282" t="s">
        <v>328</v>
      </c>
      <c r="C765" s="283"/>
      <c r="D765" s="590" t="s">
        <v>527</v>
      </c>
      <c r="E765" s="255"/>
      <c r="F765" s="590"/>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hidden="1" customHeight="1">
      <c r="B766" s="800" t="s">
        <v>212</v>
      </c>
      <c r="C766" s="802" t="s">
        <v>33</v>
      </c>
      <c r="D766" s="286" t="s">
        <v>423</v>
      </c>
      <c r="E766" s="804" t="s">
        <v>210</v>
      </c>
      <c r="F766" s="805"/>
      <c r="G766" s="805"/>
      <c r="H766" s="805"/>
      <c r="I766" s="805"/>
      <c r="J766" s="805"/>
      <c r="K766" s="805"/>
      <c r="L766" s="805"/>
      <c r="M766" s="806"/>
      <c r="N766" s="810" t="s">
        <v>214</v>
      </c>
      <c r="O766" s="286" t="s">
        <v>424</v>
      </c>
      <c r="P766" s="804" t="s">
        <v>213</v>
      </c>
      <c r="Q766" s="805"/>
      <c r="R766" s="805"/>
      <c r="S766" s="805"/>
      <c r="T766" s="805"/>
      <c r="U766" s="805"/>
      <c r="V766" s="805"/>
      <c r="W766" s="805"/>
      <c r="X766" s="806"/>
      <c r="Y766" s="807" t="s">
        <v>244</v>
      </c>
      <c r="Z766" s="808"/>
      <c r="AA766" s="808"/>
      <c r="AB766" s="808"/>
      <c r="AC766" s="808"/>
      <c r="AD766" s="808"/>
      <c r="AE766" s="808"/>
      <c r="AF766" s="808"/>
      <c r="AG766" s="808"/>
      <c r="AH766" s="808"/>
      <c r="AI766" s="808"/>
      <c r="AJ766" s="808"/>
      <c r="AK766" s="808"/>
      <c r="AL766" s="808"/>
      <c r="AM766" s="809"/>
    </row>
    <row r="767" spans="1:40" ht="65.25" hidden="1" customHeight="1">
      <c r="B767" s="801"/>
      <c r="C767" s="803"/>
      <c r="D767" s="287">
        <v>2019</v>
      </c>
      <c r="E767" s="287">
        <v>2020</v>
      </c>
      <c r="F767" s="287">
        <v>2021</v>
      </c>
      <c r="G767" s="287">
        <v>2022</v>
      </c>
      <c r="H767" s="287">
        <v>2023</v>
      </c>
      <c r="I767" s="287">
        <v>2024</v>
      </c>
      <c r="J767" s="287">
        <v>2025</v>
      </c>
      <c r="K767" s="287">
        <v>2026</v>
      </c>
      <c r="L767" s="287">
        <v>2027</v>
      </c>
      <c r="M767" s="287">
        <v>2028</v>
      </c>
      <c r="N767" s="811"/>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GS&lt;50 kW</v>
      </c>
      <c r="AA767" s="287" t="str">
        <f>'1.  LRAMVA Summary'!F50</f>
        <v>GS&gt;50 kW</v>
      </c>
      <c r="AB767" s="287" t="str">
        <f>'1.  LRAMVA Summary'!G50</f>
        <v>Streetlights</v>
      </c>
      <c r="AC767" s="287" t="str">
        <f>'1.  LRAMVA Summary'!H50</f>
        <v>Unmetered Scattered Load</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hidden="1" customHeight="1">
      <c r="A768" s="532"/>
      <c r="B768" s="518" t="s">
        <v>505</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v>
      </c>
      <c r="AC768" s="293" t="str">
        <f>'1.  LRAMVA Summary'!H51</f>
        <v>KWh</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2"/>
      <c r="B769" s="504" t="s">
        <v>498</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2">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2"/>
      <c r="B771" s="296" t="s">
        <v>343</v>
      </c>
      <c r="C771" s="293" t="s">
        <v>164</v>
      </c>
      <c r="D771" s="297"/>
      <c r="E771" s="297"/>
      <c r="F771" s="297"/>
      <c r="G771" s="297"/>
      <c r="H771" s="297"/>
      <c r="I771" s="297"/>
      <c r="J771" s="297"/>
      <c r="K771" s="297"/>
      <c r="L771" s="297"/>
      <c r="M771" s="297"/>
      <c r="N771" s="469"/>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2"/>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2">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2"/>
      <c r="B774" s="296" t="s">
        <v>343</v>
      </c>
      <c r="C774" s="293" t="s">
        <v>164</v>
      </c>
      <c r="D774" s="297"/>
      <c r="E774" s="297"/>
      <c r="F774" s="297"/>
      <c r="G774" s="297"/>
      <c r="H774" s="297"/>
      <c r="I774" s="297"/>
      <c r="J774" s="297"/>
      <c r="K774" s="297"/>
      <c r="L774" s="297"/>
      <c r="M774" s="297"/>
      <c r="N774" s="469"/>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2"/>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2">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2"/>
      <c r="B777" s="296" t="s">
        <v>343</v>
      </c>
      <c r="C777" s="293" t="s">
        <v>164</v>
      </c>
      <c r="D777" s="297"/>
      <c r="E777" s="297"/>
      <c r="F777" s="297"/>
      <c r="G777" s="297"/>
      <c r="H777" s="297"/>
      <c r="I777" s="297"/>
      <c r="J777" s="297"/>
      <c r="K777" s="297"/>
      <c r="L777" s="297"/>
      <c r="M777" s="297"/>
      <c r="N777" s="469"/>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2"/>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2">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2"/>
      <c r="B780" s="296" t="s">
        <v>343</v>
      </c>
      <c r="C780" s="293" t="s">
        <v>164</v>
      </c>
      <c r="D780" s="297"/>
      <c r="E780" s="297"/>
      <c r="F780" s="297"/>
      <c r="G780" s="297"/>
      <c r="H780" s="297"/>
      <c r="I780" s="297"/>
      <c r="J780" s="297"/>
      <c r="K780" s="297"/>
      <c r="L780" s="297"/>
      <c r="M780" s="297"/>
      <c r="N780" s="469"/>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2"/>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2">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2"/>
      <c r="B783" s="296" t="s">
        <v>343</v>
      </c>
      <c r="C783" s="293" t="s">
        <v>164</v>
      </c>
      <c r="D783" s="297"/>
      <c r="E783" s="297"/>
      <c r="F783" s="297"/>
      <c r="G783" s="297"/>
      <c r="H783" s="297"/>
      <c r="I783" s="297"/>
      <c r="J783" s="297"/>
      <c r="K783" s="297"/>
      <c r="L783" s="297"/>
      <c r="M783" s="297"/>
      <c r="N783" s="469"/>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2"/>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2"/>
      <c r="B785" s="321" t="s">
        <v>499</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2">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2"/>
      <c r="B787" s="296" t="s">
        <v>343</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2"/>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2">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2"/>
      <c r="B790" s="296" t="s">
        <v>343</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2"/>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2">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2"/>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2"/>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2">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2"/>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2"/>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2">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2"/>
      <c r="B799" s="296" t="s">
        <v>343</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2"/>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2"/>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2">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2"/>
      <c r="B803" s="296" t="s">
        <v>343</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2"/>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2">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2"/>
      <c r="B806" s="296" t="s">
        <v>343</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2"/>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2">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2"/>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2"/>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2"/>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2">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2"/>
      <c r="B813" s="296" t="s">
        <v>343</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2"/>
      <c r="B814" s="317"/>
      <c r="C814" s="307"/>
      <c r="D814" s="293"/>
      <c r="E814" s="293"/>
      <c r="F814" s="293"/>
      <c r="G814" s="293"/>
      <c r="H814" s="293"/>
      <c r="I814" s="293"/>
      <c r="J814" s="293"/>
      <c r="K814" s="293"/>
      <c r="L814" s="293"/>
      <c r="M814" s="293"/>
      <c r="N814" s="469"/>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2"/>
      <c r="B815" s="290" t="s">
        <v>491</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7"/>
    </row>
    <row r="816" spans="1:39" hidden="1" outlineLevel="1">
      <c r="A816" s="532">
        <v>15</v>
      </c>
      <c r="B816" s="296" t="s">
        <v>496</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2"/>
      <c r="B817" s="296" t="s">
        <v>343</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2"/>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2">
        <v>16</v>
      </c>
      <c r="B819" s="326" t="s">
        <v>492</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2"/>
      <c r="B820" s="296" t="s">
        <v>343</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2"/>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2"/>
      <c r="B822" s="519" t="s">
        <v>497</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2">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2"/>
      <c r="B824" s="296" t="s">
        <v>343</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2"/>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2">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2"/>
      <c r="B827" s="296" t="s">
        <v>343</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2"/>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2">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2"/>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2"/>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2">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2"/>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2"/>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2"/>
      <c r="B835" s="518" t="s">
        <v>504</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2"/>
      <c r="B836" s="504" t="s">
        <v>500</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2">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2"/>
      <c r="B838" s="296" t="s">
        <v>343</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2"/>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2">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2"/>
      <c r="B841" s="296" t="s">
        <v>343</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2"/>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2">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2"/>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2"/>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2">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2"/>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2"/>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2"/>
      <c r="B849" s="290" t="s">
        <v>501</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2">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2"/>
      <c r="B851" s="296" t="s">
        <v>343</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2"/>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2">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2"/>
      <c r="B854" s="296" t="s">
        <v>343</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2"/>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2">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2"/>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2"/>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2">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2"/>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2"/>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2">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2"/>
      <c r="B863" s="296" t="s">
        <v>343</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2"/>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2">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2"/>
      <c r="B866" s="296" t="s">
        <v>343</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2"/>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2">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2"/>
      <c r="B869" s="296" t="s">
        <v>343</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2"/>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2">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2"/>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2"/>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2"/>
      <c r="B874" s="290" t="s">
        <v>502</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2">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2"/>
      <c r="B876" s="296" t="s">
        <v>343</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2"/>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2">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2"/>
      <c r="B879" s="296" t="s">
        <v>343</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2"/>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2">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2"/>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2"/>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2"/>
      <c r="B884" s="290" t="s">
        <v>503</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2">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2"/>
      <c r="B886" s="296" t="s">
        <v>343</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2"/>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2">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2"/>
      <c r="B889" s="296" t="s">
        <v>343</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2"/>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2">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2"/>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2"/>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2">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2"/>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2"/>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2">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2"/>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2"/>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2">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2"/>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2"/>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2">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2"/>
      <c r="B904" s="296" t="s">
        <v>343</v>
      </c>
      <c r="C904" s="293" t="s">
        <v>164</v>
      </c>
      <c r="D904" s="297"/>
      <c r="E904" s="297"/>
      <c r="F904" s="297"/>
      <c r="G904" s="297"/>
      <c r="H904" s="297"/>
      <c r="I904" s="297"/>
      <c r="J904" s="297"/>
      <c r="K904" s="297"/>
      <c r="L904" s="297"/>
      <c r="M904" s="297"/>
      <c r="N904" s="469"/>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2"/>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2">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2"/>
      <c r="B907" s="296" t="s">
        <v>343</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2"/>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2">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2"/>
      <c r="B910" s="296" t="s">
        <v>343</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2"/>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2">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2"/>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2"/>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2">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2"/>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2"/>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2">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2"/>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2"/>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2">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2"/>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2"/>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2">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2"/>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2"/>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hidden="1" collapsed="1">
      <c r="B927" s="329" t="s">
        <v>329</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hidden="1">
      <c r="B928" s="393" t="s">
        <v>330</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hidden="1">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hidden="1">
      <c r="B930" s="326" t="s">
        <v>331</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hidden="1">
      <c r="B931" s="326" t="s">
        <v>332</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29">
        <f t="shared" ref="AM931:AM939" si="2850">SUM(Y931:AL931)</f>
        <v>0</v>
      </c>
    </row>
    <row r="932" spans="2:39" hidden="1">
      <c r="B932" s="326" t="s">
        <v>333</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29">
        <f t="shared" si="2850"/>
        <v>0</v>
      </c>
    </row>
    <row r="933" spans="2:39" hidden="1">
      <c r="B933" s="326" t="s">
        <v>334</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29">
        <f t="shared" si="2850"/>
        <v>0</v>
      </c>
    </row>
    <row r="934" spans="2:39" hidden="1">
      <c r="B934" s="326" t="s">
        <v>335</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29">
        <f t="shared" si="2850"/>
        <v>0</v>
      </c>
    </row>
    <row r="935" spans="2:39" hidden="1">
      <c r="B935" s="326" t="s">
        <v>336</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29">
        <f t="shared" si="2850"/>
        <v>0</v>
      </c>
    </row>
    <row r="936" spans="2:39" hidden="1">
      <c r="B936" s="326" t="s">
        <v>337</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29">
        <f t="shared" si="2850"/>
        <v>0</v>
      </c>
    </row>
    <row r="937" spans="2:39" hidden="1">
      <c r="B937" s="326" t="s">
        <v>338</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29">
        <f t="shared" si="2850"/>
        <v>0</v>
      </c>
    </row>
    <row r="938" spans="2:39" hidden="1">
      <c r="B938" s="326" t="s">
        <v>339</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29">
        <f t="shared" si="2850"/>
        <v>0</v>
      </c>
    </row>
    <row r="939" spans="2:39" hidden="1">
      <c r="B939" s="326" t="s">
        <v>340</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29">
        <f t="shared" si="2850"/>
        <v>0</v>
      </c>
    </row>
    <row r="940" spans="2:39" ht="15.75" hidden="1">
      <c r="B940" s="351" t="s">
        <v>344</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hidden="1">
      <c r="B941" s="351" t="s">
        <v>345</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hidden="1">
      <c r="B942" s="351" t="s">
        <v>346</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hidden="1">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hidden="1">
      <c r="B944" s="442" t="s">
        <v>341</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hidden="1" customHeight="1">
      <c r="B945" s="370" t="s">
        <v>591</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hidden="1" collapsed="1"/>
    <row r="947" spans="1:39" hidden="1"/>
    <row r="948" spans="1:39" ht="15.75" hidden="1">
      <c r="B948" s="282" t="s">
        <v>342</v>
      </c>
      <c r="C948" s="283"/>
      <c r="D948" s="590" t="s">
        <v>527</v>
      </c>
      <c r="E948" s="255"/>
      <c r="F948" s="590"/>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hidden="1" customHeight="1">
      <c r="B949" s="800" t="s">
        <v>212</v>
      </c>
      <c r="C949" s="802" t="s">
        <v>33</v>
      </c>
      <c r="D949" s="286" t="s">
        <v>423</v>
      </c>
      <c r="E949" s="804" t="s">
        <v>210</v>
      </c>
      <c r="F949" s="805"/>
      <c r="G949" s="805"/>
      <c r="H949" s="805"/>
      <c r="I949" s="805"/>
      <c r="J949" s="805"/>
      <c r="K949" s="805"/>
      <c r="L949" s="805"/>
      <c r="M949" s="806"/>
      <c r="N949" s="810" t="s">
        <v>214</v>
      </c>
      <c r="O949" s="286" t="s">
        <v>424</v>
      </c>
      <c r="P949" s="804" t="s">
        <v>213</v>
      </c>
      <c r="Q949" s="805"/>
      <c r="R949" s="805"/>
      <c r="S949" s="805"/>
      <c r="T949" s="805"/>
      <c r="U949" s="805"/>
      <c r="V949" s="805"/>
      <c r="W949" s="805"/>
      <c r="X949" s="806"/>
      <c r="Y949" s="807" t="s">
        <v>244</v>
      </c>
      <c r="Z949" s="808"/>
      <c r="AA949" s="808"/>
      <c r="AB949" s="808"/>
      <c r="AC949" s="808"/>
      <c r="AD949" s="808"/>
      <c r="AE949" s="808"/>
      <c r="AF949" s="808"/>
      <c r="AG949" s="808"/>
      <c r="AH949" s="808"/>
      <c r="AI949" s="808"/>
      <c r="AJ949" s="808"/>
      <c r="AK949" s="808"/>
      <c r="AL949" s="808"/>
      <c r="AM949" s="809"/>
    </row>
    <row r="950" spans="1:39" ht="65.25" hidden="1" customHeight="1">
      <c r="B950" s="801"/>
      <c r="C950" s="803"/>
      <c r="D950" s="287">
        <v>2020</v>
      </c>
      <c r="E950" s="287">
        <v>2021</v>
      </c>
      <c r="F950" s="287">
        <v>2022</v>
      </c>
      <c r="G950" s="287">
        <v>2023</v>
      </c>
      <c r="H950" s="287">
        <v>2024</v>
      </c>
      <c r="I950" s="287">
        <v>2025</v>
      </c>
      <c r="J950" s="287">
        <v>2026</v>
      </c>
      <c r="K950" s="287">
        <v>2027</v>
      </c>
      <c r="L950" s="287">
        <v>2028</v>
      </c>
      <c r="M950" s="287">
        <v>2029</v>
      </c>
      <c r="N950" s="811"/>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GS&lt;50 kW</v>
      </c>
      <c r="AA950" s="287" t="str">
        <f>'1.  LRAMVA Summary'!F50</f>
        <v>GS&gt;50 kW</v>
      </c>
      <c r="AB950" s="287" t="str">
        <f>'1.  LRAMVA Summary'!G50</f>
        <v>Streetlights</v>
      </c>
      <c r="AC950" s="287" t="str">
        <f>'1.  LRAMVA Summary'!H50</f>
        <v>Unmetered Scattered Load</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hidden="1" customHeight="1">
      <c r="A951" s="532"/>
      <c r="B951" s="518" t="s">
        <v>505</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v>
      </c>
      <c r="AC951" s="293" t="str">
        <f>'1.  LRAMVA Summary'!H51</f>
        <v>KWh</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2"/>
      <c r="B952" s="504" t="s">
        <v>498</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2">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2"/>
      <c r="B954" s="296" t="s">
        <v>347</v>
      </c>
      <c r="C954" s="293" t="s">
        <v>164</v>
      </c>
      <c r="D954" s="297"/>
      <c r="E954" s="297"/>
      <c r="F954" s="297"/>
      <c r="G954" s="297"/>
      <c r="H954" s="297"/>
      <c r="I954" s="297"/>
      <c r="J954" s="297"/>
      <c r="K954" s="297"/>
      <c r="L954" s="297"/>
      <c r="M954" s="297"/>
      <c r="N954" s="469"/>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2"/>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2">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2"/>
      <c r="B957" s="296" t="s">
        <v>347</v>
      </c>
      <c r="C957" s="293" t="s">
        <v>164</v>
      </c>
      <c r="D957" s="297"/>
      <c r="E957" s="297"/>
      <c r="F957" s="297"/>
      <c r="G957" s="297"/>
      <c r="H957" s="297"/>
      <c r="I957" s="297"/>
      <c r="J957" s="297"/>
      <c r="K957" s="297"/>
      <c r="L957" s="297"/>
      <c r="M957" s="297"/>
      <c r="N957" s="469"/>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2"/>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2">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2"/>
      <c r="B960" s="296" t="s">
        <v>347</v>
      </c>
      <c r="C960" s="293" t="s">
        <v>164</v>
      </c>
      <c r="D960" s="297"/>
      <c r="E960" s="297"/>
      <c r="F960" s="297"/>
      <c r="G960" s="297"/>
      <c r="H960" s="297"/>
      <c r="I960" s="297"/>
      <c r="J960" s="297"/>
      <c r="K960" s="297"/>
      <c r="L960" s="297"/>
      <c r="M960" s="297"/>
      <c r="N960" s="469"/>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2"/>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2">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2"/>
      <c r="B963" s="296" t="s">
        <v>347</v>
      </c>
      <c r="C963" s="293" t="s">
        <v>164</v>
      </c>
      <c r="D963" s="297"/>
      <c r="E963" s="297"/>
      <c r="F963" s="297"/>
      <c r="G963" s="297"/>
      <c r="H963" s="297"/>
      <c r="I963" s="297"/>
      <c r="J963" s="297"/>
      <c r="K963" s="297"/>
      <c r="L963" s="297"/>
      <c r="M963" s="297"/>
      <c r="N963" s="469"/>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2"/>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2">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2"/>
      <c r="B966" s="296" t="s">
        <v>347</v>
      </c>
      <c r="C966" s="293" t="s">
        <v>164</v>
      </c>
      <c r="D966" s="297"/>
      <c r="E966" s="297"/>
      <c r="F966" s="297"/>
      <c r="G966" s="297"/>
      <c r="H966" s="297"/>
      <c r="I966" s="297"/>
      <c r="J966" s="297"/>
      <c r="K966" s="297"/>
      <c r="L966" s="297"/>
      <c r="M966" s="297"/>
      <c r="N966" s="469"/>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2"/>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2"/>
      <c r="B968" s="321" t="s">
        <v>499</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2">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2"/>
      <c r="B970" s="296" t="s">
        <v>347</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2"/>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2">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2"/>
      <c r="B973" s="296" t="s">
        <v>347</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2"/>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2">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2"/>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2"/>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2">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2"/>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2"/>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2">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2"/>
      <c r="B982" s="296" t="s">
        <v>347</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2"/>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2"/>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2">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2"/>
      <c r="B986" s="296" t="s">
        <v>347</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2"/>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2">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2"/>
      <c r="B989" s="296" t="s">
        <v>347</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2"/>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2">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2"/>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2"/>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2"/>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2">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2"/>
      <c r="B996" s="296" t="s">
        <v>347</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2"/>
      <c r="B997" s="317"/>
      <c r="C997" s="307"/>
      <c r="D997" s="293"/>
      <c r="E997" s="293"/>
      <c r="F997" s="293"/>
      <c r="G997" s="293"/>
      <c r="H997" s="293"/>
      <c r="I997" s="293"/>
      <c r="J997" s="293"/>
      <c r="K997" s="293"/>
      <c r="L997" s="293"/>
      <c r="M997" s="293"/>
      <c r="N997" s="469"/>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0"/>
    </row>
    <row r="998" spans="1:40" s="311" customFormat="1" ht="15.75" hidden="1" outlineLevel="1">
      <c r="A998" s="532"/>
      <c r="B998" s="290" t="s">
        <v>491</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7"/>
      <c r="AN998" s="631"/>
    </row>
    <row r="999" spans="1:40" hidden="1" outlineLevel="1">
      <c r="A999" s="532">
        <v>15</v>
      </c>
      <c r="B999" s="296" t="s">
        <v>496</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2">
        <f>SUM(Y999:AL999)</f>
        <v>0</v>
      </c>
      <c r="AN999" s="630"/>
    </row>
    <row r="1000" spans="1:40" hidden="1" outlineLevel="1">
      <c r="A1000" s="532"/>
      <c r="B1000" s="296" t="s">
        <v>343</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2"/>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2">
        <v>16</v>
      </c>
      <c r="B1002" s="326" t="s">
        <v>492</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2"/>
      <c r="B1003" s="296" t="s">
        <v>343</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2"/>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2"/>
      <c r="B1005" s="519" t="s">
        <v>497</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2">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2"/>
      <c r="B1007" s="296" t="s">
        <v>343</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2"/>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2">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2"/>
      <c r="B1010" s="296" t="s">
        <v>343</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2"/>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2">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2"/>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2"/>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2">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2"/>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2"/>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2"/>
      <c r="B1018" s="518" t="s">
        <v>504</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2"/>
      <c r="B1019" s="504" t="s">
        <v>500</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2">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2"/>
      <c r="B1021" s="296" t="s">
        <v>347</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2"/>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2">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2"/>
      <c r="B1024" s="296" t="s">
        <v>347</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2"/>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2">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2"/>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2"/>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2">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2"/>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2"/>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2"/>
      <c r="B1032" s="290" t="s">
        <v>501</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2">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2"/>
      <c r="B1034" s="296" t="s">
        <v>347</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2"/>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2">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2"/>
      <c r="B1037" s="296" t="s">
        <v>347</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2"/>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2">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2"/>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2"/>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2">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2"/>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2"/>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2">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2"/>
      <c r="B1046" s="296" t="s">
        <v>347</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2"/>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2">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2"/>
      <c r="B1049" s="296" t="s">
        <v>347</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2"/>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2">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2"/>
      <c r="B1052" s="296" t="s">
        <v>347</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2"/>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2">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2"/>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2"/>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2"/>
      <c r="B1057" s="290" t="s">
        <v>502</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2">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2"/>
      <c r="B1059" s="296" t="s">
        <v>347</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2"/>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2">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2"/>
      <c r="B1062" s="296" t="s">
        <v>347</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2"/>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2">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2"/>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2"/>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2"/>
      <c r="B1067" s="290" t="s">
        <v>503</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2">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2"/>
      <c r="B1069" s="296" t="s">
        <v>347</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2"/>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2">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2"/>
      <c r="B1072" s="296" t="s">
        <v>347</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2"/>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2">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2"/>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2"/>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2">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2"/>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2"/>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2">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2"/>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2"/>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2">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2"/>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2"/>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2">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2"/>
      <c r="B1087" s="296" t="s">
        <v>347</v>
      </c>
      <c r="C1087" s="293" t="s">
        <v>164</v>
      </c>
      <c r="D1087" s="297"/>
      <c r="E1087" s="297"/>
      <c r="F1087" s="297"/>
      <c r="G1087" s="297"/>
      <c r="H1087" s="297"/>
      <c r="I1087" s="297"/>
      <c r="J1087" s="297"/>
      <c r="K1087" s="297"/>
      <c r="L1087" s="297"/>
      <c r="M1087" s="297"/>
      <c r="N1087" s="469"/>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2"/>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2">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2"/>
      <c r="B1090" s="296" t="s">
        <v>347</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2"/>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2">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2"/>
      <c r="B1093" s="296" t="s">
        <v>347</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2"/>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2">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2"/>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2"/>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2">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2"/>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2"/>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2">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2"/>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2"/>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2">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2"/>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2"/>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2">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2"/>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2"/>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hidden="1" collapsed="1">
      <c r="B1110" s="329" t="s">
        <v>348</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hidden="1">
      <c r="B1111" s="393" t="s">
        <v>349</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hidden="1">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hidden="1">
      <c r="B1113" s="326" t="s">
        <v>350</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hidden="1">
      <c r="B1114" s="326" t="s">
        <v>354</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29">
        <f t="shared" ref="AM1114:AM1123" si="3424">SUM(Y1114:AL1114)</f>
        <v>0</v>
      </c>
    </row>
    <row r="1115" spans="1:39" hidden="1">
      <c r="B1115" s="326" t="s">
        <v>355</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29">
        <f t="shared" si="3424"/>
        <v>0</v>
      </c>
    </row>
    <row r="1116" spans="1:39" hidden="1">
      <c r="B1116" s="326" t="s">
        <v>356</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29">
        <f t="shared" si="3424"/>
        <v>0</v>
      </c>
    </row>
    <row r="1117" spans="1:39" hidden="1">
      <c r="B1117" s="326" t="s">
        <v>357</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29">
        <f t="shared" si="3424"/>
        <v>0</v>
      </c>
    </row>
    <row r="1118" spans="1:39" hidden="1">
      <c r="B1118" s="326" t="s">
        <v>358</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29">
        <f t="shared" si="3424"/>
        <v>0</v>
      </c>
    </row>
    <row r="1119" spans="1:39" hidden="1">
      <c r="B1119" s="326" t="s">
        <v>359</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29">
        <f t="shared" si="3424"/>
        <v>0</v>
      </c>
    </row>
    <row r="1120" spans="1:39" hidden="1">
      <c r="B1120" s="326" t="s">
        <v>360</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29">
        <f t="shared" si="3424"/>
        <v>0</v>
      </c>
    </row>
    <row r="1121" spans="2:39" hidden="1">
      <c r="B1121" s="326" t="s">
        <v>361</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29">
        <f t="shared" si="3424"/>
        <v>0</v>
      </c>
    </row>
    <row r="1122" spans="2:39" hidden="1">
      <c r="B1122" s="326" t="s">
        <v>362</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29">
        <f t="shared" si="3424"/>
        <v>0</v>
      </c>
    </row>
    <row r="1123" spans="2:39" hidden="1">
      <c r="B1123" s="326" t="s">
        <v>363</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29">
        <f t="shared" si="3424"/>
        <v>0</v>
      </c>
    </row>
    <row r="1124" spans="2:39" ht="15.75" hidden="1">
      <c r="B1124" s="351" t="s">
        <v>353</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hidden="1">
      <c r="B1125" s="351" t="s">
        <v>352</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hidden="1">
      <c r="B1126" s="351" t="s">
        <v>351</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hidden="1">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hidden="1" customHeight="1">
      <c r="B1128" s="370" t="s">
        <v>591</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29" spans="2:39" hidden="1"/>
    <row r="1130" spans="2:39" hidden="1">
      <c r="B1130" s="590" t="s">
        <v>527</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scale="35"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7"/>
  <sheetViews>
    <sheetView topLeftCell="A40" zoomScale="90" zoomScaleNormal="90" workbookViewId="0">
      <selection activeCell="F51" sqref="F51"/>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0" t="s">
        <v>552</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506</v>
      </c>
      <c r="C8" s="813" t="s">
        <v>676</v>
      </c>
      <c r="D8" s="813"/>
      <c r="E8" s="813"/>
      <c r="F8" s="813"/>
      <c r="G8" s="813"/>
      <c r="H8" s="813"/>
      <c r="I8" s="813"/>
      <c r="J8" s="813"/>
      <c r="K8" s="813"/>
      <c r="L8" s="813"/>
      <c r="M8" s="813"/>
      <c r="N8" s="813"/>
      <c r="O8" s="813"/>
      <c r="P8" s="813"/>
      <c r="Q8" s="813"/>
      <c r="R8" s="813"/>
      <c r="S8" s="813"/>
      <c r="T8" s="107"/>
      <c r="U8" s="107"/>
      <c r="V8" s="107"/>
      <c r="W8" s="107"/>
    </row>
    <row r="9" spans="1:28" s="9" customFormat="1" ht="45" customHeight="1">
      <c r="B9" s="57"/>
      <c r="C9" s="813" t="s">
        <v>565</v>
      </c>
      <c r="D9" s="813"/>
      <c r="E9" s="813"/>
      <c r="F9" s="813"/>
      <c r="G9" s="813"/>
      <c r="H9" s="813"/>
      <c r="I9" s="813"/>
      <c r="J9" s="813"/>
      <c r="K9" s="813"/>
      <c r="L9" s="813"/>
      <c r="M9" s="813"/>
      <c r="N9" s="813"/>
      <c r="O9" s="813"/>
      <c r="P9" s="813"/>
      <c r="Q9" s="813"/>
      <c r="R9" s="813"/>
      <c r="S9" s="813"/>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12" t="s">
        <v>236</v>
      </c>
      <c r="C12" s="812"/>
      <c r="D12" s="183"/>
      <c r="E12" s="184" t="s">
        <v>237</v>
      </c>
      <c r="F12" s="52"/>
      <c r="G12" s="52"/>
      <c r="H12" s="45"/>
      <c r="I12" s="52"/>
      <c r="K12" s="592" t="s">
        <v>536</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473</v>
      </c>
      <c r="D14" s="205"/>
      <c r="E14" s="206" t="s">
        <v>62</v>
      </c>
      <c r="F14" s="206" t="s">
        <v>495</v>
      </c>
      <c r="G14" s="206" t="s">
        <v>63</v>
      </c>
      <c r="H14" s="206" t="s">
        <v>64</v>
      </c>
      <c r="I14" s="206" t="str">
        <f>'1.  LRAMVA Summary'!D50</f>
        <v>Residential</v>
      </c>
      <c r="J14" s="206" t="str">
        <f>'1.  LRAMVA Summary'!E50</f>
        <v>GS&lt;50 kW</v>
      </c>
      <c r="K14" s="206" t="str">
        <f>'1.  LRAMVA Summary'!F50</f>
        <v>GS&gt;50 kW</v>
      </c>
      <c r="L14" s="206" t="str">
        <f>'1.  LRAMVA Summary'!G50</f>
        <v>Streetlights</v>
      </c>
      <c r="M14" s="206" t="str">
        <f>'1.  LRAMVA Summary'!H50</f>
        <v>Unmetered Scattered Load</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0.45351275046667405</v>
      </c>
      <c r="J16" s="213">
        <f>SUM('1.  LRAMVA Summary'!E$52:E$53)*(MONTH($E16)-1)/12*$H16</f>
        <v>0.30073880481299553</v>
      </c>
      <c r="K16" s="213">
        <f>SUM('1.  LRAMVA Summary'!F$52:F$53)*(MONTH($E16)-1)/12*$H16</f>
        <v>0.15426188811486455</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0.9085134433945341</v>
      </c>
    </row>
    <row r="17" spans="2:23" s="9" customFormat="1">
      <c r="B17" s="215" t="s">
        <v>46</v>
      </c>
      <c r="C17" s="215">
        <v>1.47E-2</v>
      </c>
      <c r="D17" s="208"/>
      <c r="E17" s="209">
        <v>40603</v>
      </c>
      <c r="F17" s="210">
        <v>2011</v>
      </c>
      <c r="G17" s="211" t="s">
        <v>65</v>
      </c>
      <c r="H17" s="212">
        <f>C$15/12</f>
        <v>1.225E-3</v>
      </c>
      <c r="I17" s="213">
        <f>SUM('1.  LRAMVA Summary'!D$52:D$53)*(MONTH($E17)-1)/12*$H17</f>
        <v>0.90702550093334811</v>
      </c>
      <c r="J17" s="213">
        <f>SUM('1.  LRAMVA Summary'!E$52:E$53)*(MONTH($E17)-1)/12*$H17</f>
        <v>0.60147760962599106</v>
      </c>
      <c r="K17" s="213">
        <f>SUM('1.  LRAMVA Summary'!F$52:F$53)*(MONTH($E17)-1)/12*$H17</f>
        <v>0.3085237762297291</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1.8170268867890682</v>
      </c>
    </row>
    <row r="18" spans="2:23" s="9" customFormat="1">
      <c r="B18" s="215" t="s">
        <v>47</v>
      </c>
      <c r="C18" s="215">
        <v>1.47E-2</v>
      </c>
      <c r="D18" s="208"/>
      <c r="E18" s="216">
        <v>40634</v>
      </c>
      <c r="F18" s="210">
        <v>2011</v>
      </c>
      <c r="G18" s="217" t="s">
        <v>66</v>
      </c>
      <c r="H18" s="212">
        <f>C$16/12</f>
        <v>1.225E-3</v>
      </c>
      <c r="I18" s="213">
        <f>SUM('1.  LRAMVA Summary'!D$52:D$53)*(MONTH($E18)-1)/12*$H18</f>
        <v>1.3605382514000222</v>
      </c>
      <c r="J18" s="213">
        <f>SUM('1.  LRAMVA Summary'!E$52:E$53)*(MONTH($E18)-1)/12*$H18</f>
        <v>0.90221641443898659</v>
      </c>
      <c r="K18" s="213">
        <f>SUM('1.  LRAMVA Summary'!F$52:F$53)*(MONTH($E18)-1)/12*$H18</f>
        <v>0.46278566434459362</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2.7255403301836028</v>
      </c>
    </row>
    <row r="19" spans="2:23" s="9" customFormat="1">
      <c r="B19" s="215" t="s">
        <v>48</v>
      </c>
      <c r="C19" s="215">
        <v>1.47E-2</v>
      </c>
      <c r="D19" s="208"/>
      <c r="E19" s="216">
        <v>40664</v>
      </c>
      <c r="F19" s="210">
        <v>2011</v>
      </c>
      <c r="G19" s="217" t="s">
        <v>66</v>
      </c>
      <c r="H19" s="212">
        <f>C$16/12</f>
        <v>1.225E-3</v>
      </c>
      <c r="I19" s="213">
        <f>SUM('1.  LRAMVA Summary'!D$52:D$53)*(MONTH($E19)-1)/12*$H19</f>
        <v>1.8140510018666962</v>
      </c>
      <c r="J19" s="213">
        <f>SUM('1.  LRAMVA Summary'!E$52:E$53)*(MONTH($E19)-1)/12*$H19</f>
        <v>1.2029552192519821</v>
      </c>
      <c r="K19" s="213">
        <f>SUM('1.  LRAMVA Summary'!F$52:F$53)*(MONTH($E19)-1)/12*$H19</f>
        <v>0.61704755245945819</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3.6340537735781364</v>
      </c>
    </row>
    <row r="20" spans="2:23" s="9" customFormat="1">
      <c r="B20" s="215" t="s">
        <v>49</v>
      </c>
      <c r="C20" s="215">
        <v>1.47E-2</v>
      </c>
      <c r="D20" s="208"/>
      <c r="E20" s="216">
        <v>40695</v>
      </c>
      <c r="F20" s="210">
        <v>2011</v>
      </c>
      <c r="G20" s="217" t="s">
        <v>66</v>
      </c>
      <c r="H20" s="212">
        <f>C$16/12</f>
        <v>1.225E-3</v>
      </c>
      <c r="I20" s="213">
        <f>SUM('1.  LRAMVA Summary'!D$52:D$53)*(MONTH($E20)-1)/12*$H20</f>
        <v>2.2675637523333703</v>
      </c>
      <c r="J20" s="213">
        <f>SUM('1.  LRAMVA Summary'!E$52:E$53)*(MONTH($E20)-1)/12*$H20</f>
        <v>1.5036940240649777</v>
      </c>
      <c r="K20" s="213">
        <f>SUM('1.  LRAMVA Summary'!F$52:F$53)*(MONTH($E20)-1)/12*$H20</f>
        <v>0.77130944057432271</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4.5425672169726701</v>
      </c>
    </row>
    <row r="21" spans="2:23" s="9" customFormat="1">
      <c r="B21" s="215" t="s">
        <v>50</v>
      </c>
      <c r="C21" s="215">
        <v>1.47E-2</v>
      </c>
      <c r="D21" s="208"/>
      <c r="E21" s="216">
        <v>40725</v>
      </c>
      <c r="F21" s="210">
        <v>2011</v>
      </c>
      <c r="G21" s="217" t="s">
        <v>68</v>
      </c>
      <c r="H21" s="212">
        <f>C$17/12</f>
        <v>1.225E-3</v>
      </c>
      <c r="I21" s="213">
        <f>SUM('1.  LRAMVA Summary'!D$52:D$53)*(MONTH($E21)-1)/12*$H21</f>
        <v>2.7210765028000443</v>
      </c>
      <c r="J21" s="213">
        <f>SUM('1.  LRAMVA Summary'!E$52:E$53)*(MONTH($E21)-1)/12*$H21</f>
        <v>1.8044328288779732</v>
      </c>
      <c r="K21" s="213">
        <f>SUM('1.  LRAMVA Summary'!F$52:F$53)*(MONTH($E21)-1)/12*$H21</f>
        <v>0.92557132868918723</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5.4510806603672055</v>
      </c>
    </row>
    <row r="22" spans="2:23" s="9" customFormat="1">
      <c r="B22" s="215" t="s">
        <v>51</v>
      </c>
      <c r="C22" s="215">
        <v>1.47E-2</v>
      </c>
      <c r="D22" s="208"/>
      <c r="E22" s="216">
        <v>40756</v>
      </c>
      <c r="F22" s="210">
        <v>2011</v>
      </c>
      <c r="G22" s="217" t="s">
        <v>68</v>
      </c>
      <c r="H22" s="212">
        <f>C$17/12</f>
        <v>1.225E-3</v>
      </c>
      <c r="I22" s="213">
        <f>SUM('1.  LRAMVA Summary'!D$52:D$53)*(MONTH($E22)-1)/12*$H22</f>
        <v>3.1745892532667184</v>
      </c>
      <c r="J22" s="213">
        <f>SUM('1.  LRAMVA Summary'!E$52:E$53)*(MONTH($E22)-1)/12*$H22</f>
        <v>2.1051716336909689</v>
      </c>
      <c r="K22" s="213">
        <f>SUM('1.  LRAMVA Summary'!F$52:F$53)*(MONTH($E22)-1)/12*$H22</f>
        <v>1.0798332168040516</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6.3595941037617392</v>
      </c>
    </row>
    <row r="23" spans="2:23" s="9" customFormat="1">
      <c r="B23" s="215" t="s">
        <v>52</v>
      </c>
      <c r="C23" s="215">
        <v>1.47E-2</v>
      </c>
      <c r="D23" s="208"/>
      <c r="E23" s="216">
        <v>40787</v>
      </c>
      <c r="F23" s="210">
        <v>2011</v>
      </c>
      <c r="G23" s="217" t="s">
        <v>68</v>
      </c>
      <c r="H23" s="212">
        <f>C$17/12</f>
        <v>1.225E-3</v>
      </c>
      <c r="I23" s="213">
        <f>SUM('1.  LRAMVA Summary'!D$52:D$53)*(MONTH($E23)-1)/12*$H23</f>
        <v>3.6281020037333924</v>
      </c>
      <c r="J23" s="213">
        <f>SUM('1.  LRAMVA Summary'!E$52:E$53)*(MONTH($E23)-1)/12*$H23</f>
        <v>2.4059104385039642</v>
      </c>
      <c r="K23" s="213">
        <f>SUM('1.  LRAMVA Summary'!F$52:F$53)*(MONTH($E23)-1)/12*$H23</f>
        <v>1.2340951049189164</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7.2681075471562728</v>
      </c>
    </row>
    <row r="24" spans="2:23" s="9" customFormat="1">
      <c r="B24" s="215" t="s">
        <v>53</v>
      </c>
      <c r="C24" s="215">
        <v>1.47E-2</v>
      </c>
      <c r="D24" s="208"/>
      <c r="E24" s="216">
        <v>40817</v>
      </c>
      <c r="F24" s="210">
        <v>2011</v>
      </c>
      <c r="G24" s="217" t="s">
        <v>69</v>
      </c>
      <c r="H24" s="212">
        <f>C$18/12</f>
        <v>1.225E-3</v>
      </c>
      <c r="I24" s="213">
        <f>SUM('1.  LRAMVA Summary'!D$52:D$53)*(MONTH($E24)-1)/12*$H24</f>
        <v>4.0816147542000669</v>
      </c>
      <c r="J24" s="213">
        <f>SUM('1.  LRAMVA Summary'!E$52:E$53)*(MONTH($E24)-1)/12*$H24</f>
        <v>2.7066492433169596</v>
      </c>
      <c r="K24" s="213">
        <f>SUM('1.  LRAMVA Summary'!F$52:F$53)*(MONTH($E24)-1)/12*$H24</f>
        <v>1.3883569930337809</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8.1766209905508074</v>
      </c>
    </row>
    <row r="25" spans="2:23" s="9" customFormat="1">
      <c r="B25" s="215" t="s">
        <v>54</v>
      </c>
      <c r="C25" s="215">
        <v>1.47E-2</v>
      </c>
      <c r="D25" s="208"/>
      <c r="E25" s="216">
        <v>40848</v>
      </c>
      <c r="F25" s="210">
        <v>2011</v>
      </c>
      <c r="G25" s="217" t="s">
        <v>69</v>
      </c>
      <c r="H25" s="212">
        <f>C$18/12</f>
        <v>1.225E-3</v>
      </c>
      <c r="I25" s="213">
        <f>SUM('1.  LRAMVA Summary'!D$52:D$53)*(MONTH($E25)-1)/12*$H25</f>
        <v>4.5351275046667405</v>
      </c>
      <c r="J25" s="213">
        <f>SUM('1.  LRAMVA Summary'!E$52:E$53)*(MONTH($E25)-1)/12*$H25</f>
        <v>3.0073880481299553</v>
      </c>
      <c r="K25" s="213">
        <f>SUM('1.  LRAMVA Summary'!F$52:F$53)*(MONTH($E25)-1)/12*$H25</f>
        <v>1.5426188811486454</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9.0851344339453401</v>
      </c>
    </row>
    <row r="26" spans="2:23" s="9" customFormat="1">
      <c r="B26" s="215" t="s">
        <v>55</v>
      </c>
      <c r="C26" s="215">
        <v>1.47E-2</v>
      </c>
      <c r="D26" s="208"/>
      <c r="E26" s="216">
        <v>40878</v>
      </c>
      <c r="F26" s="210">
        <v>2011</v>
      </c>
      <c r="G26" s="217" t="s">
        <v>69</v>
      </c>
      <c r="H26" s="212">
        <f>C$18/12</f>
        <v>1.225E-3</v>
      </c>
      <c r="I26" s="213">
        <f>SUM('1.  LRAMVA Summary'!D$52:D$53)*(MONTH($E26)-1)/12*$H26</f>
        <v>4.988640255133415</v>
      </c>
      <c r="J26" s="213">
        <f>SUM('1.  LRAMVA Summary'!E$52:E$53)*(MONTH($E26)-1)/12*$H26</f>
        <v>3.3081268529429506</v>
      </c>
      <c r="K26" s="213">
        <f>SUM('1.  LRAMVA Summary'!F$52:F$53)*(MONTH($E26)-1)/12*$H26</f>
        <v>1.6968807692635097</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9.9936478773398765</v>
      </c>
    </row>
    <row r="27" spans="2:23" s="9" customFormat="1" ht="15.75" thickBot="1">
      <c r="B27" s="215" t="s">
        <v>56</v>
      </c>
      <c r="C27" s="215">
        <v>1.47E-2</v>
      </c>
      <c r="D27" s="208"/>
      <c r="E27" s="218" t="s">
        <v>462</v>
      </c>
      <c r="F27" s="218"/>
      <c r="G27" s="219"/>
      <c r="H27" s="220"/>
      <c r="I27" s="221">
        <f>SUM(I15:I26)</f>
        <v>29.931841530800487</v>
      </c>
      <c r="J27" s="221">
        <f t="shared" ref="J27:O27" si="1">SUM(J15:J26)</f>
        <v>19.848761117657705</v>
      </c>
      <c r="K27" s="221">
        <f t="shared" si="1"/>
        <v>10.18128461558106</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59.961887264039255</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426</v>
      </c>
      <c r="F29" s="227"/>
      <c r="G29" s="228"/>
      <c r="H29" s="229"/>
      <c r="I29" s="230">
        <f>I27+I28</f>
        <v>29.931841530800487</v>
      </c>
      <c r="J29" s="230">
        <f t="shared" ref="J29:M29" si="3">J27+J28</f>
        <v>19.848761117657705</v>
      </c>
      <c r="K29" s="230">
        <f t="shared" si="3"/>
        <v>10.18128461558106</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59.961887264039255</v>
      </c>
    </row>
    <row r="30" spans="2:23" s="9" customFormat="1">
      <c r="B30" s="215" t="s">
        <v>59</v>
      </c>
      <c r="C30" s="215">
        <v>1.47E-2</v>
      </c>
      <c r="D30" s="208"/>
      <c r="E30" s="216">
        <v>40909</v>
      </c>
      <c r="F30" s="216" t="s">
        <v>179</v>
      </c>
      <c r="G30" s="217" t="s">
        <v>65</v>
      </c>
      <c r="H30" s="231">
        <f>C$19/12</f>
        <v>1.225E-3</v>
      </c>
      <c r="I30" s="232">
        <f>(SUM('1.  LRAMVA Summary'!D$52:D$54)+SUM('1.  LRAMVA Summary'!D$55:D$56)*(MONTH($E30)-1)/12)*$H30</f>
        <v>5.4421530056000886</v>
      </c>
      <c r="J30" s="232">
        <f>(SUM('1.  LRAMVA Summary'!E$52:E$54)+SUM('1.  LRAMVA Summary'!E$55:E$56)*(MONTH($E30)-1)/12)*$H30</f>
        <v>3.6088656577559464</v>
      </c>
      <c r="K30" s="232">
        <f>(SUM('1.  LRAMVA Summary'!F$52:F$54)+SUM('1.  LRAMVA Summary'!F$55:F$56)*(MONTH($E30)-1)/12)*$H30</f>
        <v>1.8511426573783745</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10.902161320734411</v>
      </c>
    </row>
    <row r="31" spans="2:23" s="9" customFormat="1">
      <c r="B31" s="215" t="s">
        <v>60</v>
      </c>
      <c r="C31" s="215">
        <v>1.47E-2</v>
      </c>
      <c r="D31" s="208"/>
      <c r="E31" s="216">
        <v>40940</v>
      </c>
      <c r="F31" s="216" t="s">
        <v>179</v>
      </c>
      <c r="G31" s="217" t="s">
        <v>65</v>
      </c>
      <c r="H31" s="231">
        <f>C$19/12</f>
        <v>1.225E-3</v>
      </c>
      <c r="I31" s="232">
        <f>(SUM('1.  LRAMVA Summary'!D$52:D$54)+SUM('1.  LRAMVA Summary'!D$55:D$56)*(MONTH($E31)-1)/12)*$H31</f>
        <v>6.2012085933749228</v>
      </c>
      <c r="J31" s="232">
        <f>(SUM('1.  LRAMVA Summary'!E$52:E$54)+SUM('1.  LRAMVA Summary'!E$55:E$56)*(MONTH($E31)-1)/12)*$H31</f>
        <v>4.6410926930787442</v>
      </c>
      <c r="K31" s="232">
        <f>(SUM('1.  LRAMVA Summary'!F$52:F$54)+SUM('1.  LRAMVA Summary'!F$55:F$56)*(MONTH($E31)-1)/12)*$H31</f>
        <v>2.5774753055143562</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13.419776591968024</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6.9602641811497561</v>
      </c>
      <c r="J32" s="232">
        <f>(SUM('1.  LRAMVA Summary'!E$52:E$54)+SUM('1.  LRAMVA Summary'!E$55:E$56)*(MONTH($E32)-1)/12)*$H32</f>
        <v>5.6733197284015429</v>
      </c>
      <c r="K32" s="232">
        <f>(SUM('1.  LRAMVA Summary'!F$52:F$54)+SUM('1.  LRAMVA Summary'!F$55:F$56)*(MONTH($E32)-1)/12)*$H32</f>
        <v>3.3038079536503382</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15.937391863201636</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7.7193197689245912</v>
      </c>
      <c r="J33" s="232">
        <f>(SUM('1.  LRAMVA Summary'!E$52:E$54)+SUM('1.  LRAMVA Summary'!E$55:E$56)*(MONTH($E33)-1)/12)*$H33</f>
        <v>6.7055467637243407</v>
      </c>
      <c r="K33" s="232">
        <f>(SUM('1.  LRAMVA Summary'!F$52:F$54)+SUM('1.  LRAMVA Summary'!F$55:F$56)*(MONTH($E33)-1)/12)*$H33</f>
        <v>4.0301406017863197</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18.455007134435249</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8.4783753566994253</v>
      </c>
      <c r="J34" s="232">
        <f>(SUM('1.  LRAMVA Summary'!E$52:E$54)+SUM('1.  LRAMVA Summary'!E$55:E$56)*(MONTH($E34)-1)/12)*$H34</f>
        <v>7.7377737990471385</v>
      </c>
      <c r="K34" s="232">
        <f>(SUM('1.  LRAMVA Summary'!F$52:F$54)+SUM('1.  LRAMVA Summary'!F$55:F$56)*(MONTH($E34)-1)/12)*$H34</f>
        <v>4.7564732499223021</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20.972622405668865</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9.2374309444742604</v>
      </c>
      <c r="J35" s="232">
        <f>(SUM('1.  LRAMVA Summary'!E$52:E$54)+SUM('1.  LRAMVA Summary'!E$55:E$56)*(MONTH($E35)-1)/12)*$H35</f>
        <v>8.7700008343699363</v>
      </c>
      <c r="K35" s="232">
        <f>(SUM('1.  LRAMVA Summary'!F$52:F$54)+SUM('1.  LRAMVA Summary'!F$55:F$56)*(MONTH($E35)-1)/12)*$H35</f>
        <v>5.4828058980582837</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23.490237676902481</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9.9964865322490937</v>
      </c>
      <c r="J36" s="232">
        <f>(SUM('1.  LRAMVA Summary'!E$52:E$54)+SUM('1.  LRAMVA Summary'!E$55:E$56)*(MONTH($E36)-1)/12)*$H36</f>
        <v>9.8022278696927341</v>
      </c>
      <c r="K36" s="232">
        <f>(SUM('1.  LRAMVA Summary'!F$52:F$54)+SUM('1.  LRAMVA Summary'!F$55:F$56)*(MONTH($E36)-1)/12)*$H36</f>
        <v>6.2091385461942652</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26.007852948136094</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10.755542120023927</v>
      </c>
      <c r="J37" s="232">
        <f>(SUM('1.  LRAMVA Summary'!E$52:E$54)+SUM('1.  LRAMVA Summary'!E$55:E$56)*(MONTH($E37)-1)/12)*$H37</f>
        <v>10.834454905015532</v>
      </c>
      <c r="K37" s="232">
        <f>(SUM('1.  LRAMVA Summary'!F$52:F$54)+SUM('1.  LRAMVA Summary'!F$55:F$56)*(MONTH($E37)-1)/12)*$H37</f>
        <v>6.9354711943302476</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28.525468219369706</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11.514597707798762</v>
      </c>
      <c r="J38" s="232">
        <f>(SUM('1.  LRAMVA Summary'!E$52:E$54)+SUM('1.  LRAMVA Summary'!E$55:E$56)*(MONTH($E38)-1)/12)*$H38</f>
        <v>11.86668194033833</v>
      </c>
      <c r="K38" s="232">
        <f>(SUM('1.  LRAMVA Summary'!F$52:F$54)+SUM('1.  LRAMVA Summary'!F$55:F$56)*(MONTH($E38)-1)/12)*$H38</f>
        <v>7.6618038424662291</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31.043083490603323</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12.273653295573595</v>
      </c>
      <c r="J39" s="232">
        <f>(SUM('1.  LRAMVA Summary'!E$52:E$54)+SUM('1.  LRAMVA Summary'!E$55:E$56)*(MONTH($E39)-1)/12)*$H39</f>
        <v>12.898908975661131</v>
      </c>
      <c r="K39" s="232">
        <f>(SUM('1.  LRAMVA Summary'!F$52:F$54)+SUM('1.  LRAMVA Summary'!F$55:F$56)*(MONTH($E39)-1)/12)*$H39</f>
        <v>8.3881364906022107</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33.560698761836932</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13.03270888334843</v>
      </c>
      <c r="J40" s="232">
        <f>(SUM('1.  LRAMVA Summary'!E$52:E$54)+SUM('1.  LRAMVA Summary'!E$55:E$56)*(MONTH($E40)-1)/12)*$H40</f>
        <v>13.931136010983929</v>
      </c>
      <c r="K40" s="232">
        <f>(SUM('1.  LRAMVA Summary'!F$52:F$54)+SUM('1.  LRAMVA Summary'!F$55:F$56)*(MONTH($E40)-1)/12)*$H40</f>
        <v>9.1144691387381922</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36.078314033070555</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13.791764471123264</v>
      </c>
      <c r="J41" s="232">
        <f>(SUM('1.  LRAMVA Summary'!E$52:E$54)+SUM('1.  LRAMVA Summary'!E$55:E$56)*(MONTH($E41)-1)/12)*$H41</f>
        <v>14.963363046306727</v>
      </c>
      <c r="K41" s="232">
        <f>(SUM('1.  LRAMVA Summary'!F$52:F$54)+SUM('1.  LRAMVA Summary'!F$55:F$56)*(MONTH($E41)-1)/12)*$H41</f>
        <v>9.8408017868741755</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38.595929304304164</v>
      </c>
    </row>
    <row r="42" spans="2:23" s="9" customFormat="1" ht="15.75" thickBot="1">
      <c r="B42" s="215" t="s">
        <v>80</v>
      </c>
      <c r="C42" s="235">
        <v>1.4999999999999999E-2</v>
      </c>
      <c r="D42" s="208"/>
      <c r="E42" s="218" t="s">
        <v>463</v>
      </c>
      <c r="F42" s="218"/>
      <c r="G42" s="219"/>
      <c r="H42" s="236"/>
      <c r="I42" s="221">
        <f>SUM(I29:I41)</f>
        <v>145.33534639114058</v>
      </c>
      <c r="J42" s="221">
        <f t="shared" ref="J42:O42" si="6">SUM(J29:J41)</f>
        <v>131.28213334203375</v>
      </c>
      <c r="K42" s="221">
        <f t="shared" si="6"/>
        <v>80.332951281096356</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356.95043101427069</v>
      </c>
    </row>
    <row r="43" spans="2:23" s="9" customFormat="1" ht="15.75" thickTop="1">
      <c r="B43" s="215" t="s">
        <v>81</v>
      </c>
      <c r="C43" s="235">
        <v>1.4999999999999999E-2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1.4999999999999999E-2</v>
      </c>
      <c r="D44" s="208"/>
      <c r="E44" s="227" t="s">
        <v>427</v>
      </c>
      <c r="F44" s="227"/>
      <c r="G44" s="228"/>
      <c r="H44" s="229"/>
      <c r="I44" s="230">
        <f t="shared" ref="I44:O44" si="8">I42+I43</f>
        <v>145.33534639114058</v>
      </c>
      <c r="J44" s="230">
        <f t="shared" si="8"/>
        <v>131.28213334203375</v>
      </c>
      <c r="K44" s="230">
        <f t="shared" si="8"/>
        <v>80.332951281096356</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356.95043101427069</v>
      </c>
    </row>
    <row r="45" spans="2:23" s="9" customFormat="1">
      <c r="B45" s="215" t="s">
        <v>83</v>
      </c>
      <c r="C45" s="235"/>
      <c r="D45" s="208"/>
      <c r="E45" s="216">
        <v>41275</v>
      </c>
      <c r="F45" s="216" t="s">
        <v>180</v>
      </c>
      <c r="G45" s="217" t="s">
        <v>65</v>
      </c>
      <c r="H45" s="234">
        <f>C$23/12</f>
        <v>1.225E-3</v>
      </c>
      <c r="I45" s="232">
        <f>(SUM('1.  LRAMVA Summary'!D$52:D$57)+SUM('1.  LRAMVA Summary'!D$58:D$59)*(MONTH($E45)-1)/12)*$H45</f>
        <v>14.5508200588981</v>
      </c>
      <c r="J45" s="232">
        <f>(SUM('1.  LRAMVA Summary'!E$52:E$57)+SUM('1.  LRAMVA Summary'!E$58:E$59)*(MONTH($E45)-1)/12)*$H45</f>
        <v>15.995590081629524</v>
      </c>
      <c r="K45" s="232">
        <f>(SUM('1.  LRAMVA Summary'!F$52:F$57)+SUM('1.  LRAMVA Summary'!F$58:F$59)*(MONTH($E45)-1)/12)*$H45</f>
        <v>10.567134435010157</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41.113544575537787</v>
      </c>
    </row>
    <row r="46" spans="2:23" s="9" customFormat="1">
      <c r="B46" s="215" t="s">
        <v>84</v>
      </c>
      <c r="C46" s="235"/>
      <c r="D46" s="208"/>
      <c r="E46" s="216">
        <v>41306</v>
      </c>
      <c r="F46" s="216" t="s">
        <v>180</v>
      </c>
      <c r="G46" s="217" t="s">
        <v>65</v>
      </c>
      <c r="H46" s="231">
        <f>C$23/12</f>
        <v>1.225E-3</v>
      </c>
      <c r="I46" s="232">
        <f>(SUM('1.  LRAMVA Summary'!D$52:D$57)+SUM('1.  LRAMVA Summary'!D$58:D$59)*(MONTH($E46)-1)/12)*$H46</f>
        <v>13.270577948893292</v>
      </c>
      <c r="J46" s="232">
        <f>(SUM('1.  LRAMVA Summary'!E$52:E$57)+SUM('1.  LRAMVA Summary'!E$58:E$59)*(MONTH($E46)-1)/12)*$H46</f>
        <v>17.394640896250568</v>
      </c>
      <c r="K46" s="232">
        <f>(SUM('1.  LRAMVA Summary'!F$52:F$57)+SUM('1.  LRAMVA Summary'!F$58:F$59)*(MONTH($E46)-1)/12)*$H46</f>
        <v>8.691230117053756</v>
      </c>
      <c r="L46" s="232">
        <f>(SUM('1.  LRAMVA Summary'!G$52:G$57)+SUM('1.  LRAMVA Summary'!G$58:G$59)*(MONTH($E46)-1)/12)*$H46</f>
        <v>-0.27837794249999998</v>
      </c>
      <c r="M46" s="232">
        <f>(SUM('1.  LRAMVA Summary'!H$52:H$57)+SUM('1.  LRAMVA Summary'!H$58:H$59)*(MONTH($E46)-1)/12)*$H46</f>
        <v>-6.7898483333333334E-3</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39.071281171364284</v>
      </c>
    </row>
    <row r="47" spans="2:23" s="9" customFormat="1">
      <c r="B47" s="215" t="s">
        <v>85</v>
      </c>
      <c r="C47" s="235"/>
      <c r="D47" s="208"/>
      <c r="E47" s="216">
        <v>41334</v>
      </c>
      <c r="F47" s="216" t="s">
        <v>180</v>
      </c>
      <c r="G47" s="217" t="s">
        <v>65</v>
      </c>
      <c r="H47" s="231">
        <f>C$23/12</f>
        <v>1.225E-3</v>
      </c>
      <c r="I47" s="232">
        <f>(SUM('1.  LRAMVA Summary'!D$52:D$57)+SUM('1.  LRAMVA Summary'!D$58:D$59)*(MONTH($E47)-1)/12)*$H47</f>
        <v>11.990335838888486</v>
      </c>
      <c r="J47" s="232">
        <f>(SUM('1.  LRAMVA Summary'!E$52:E$57)+SUM('1.  LRAMVA Summary'!E$58:E$59)*(MONTH($E47)-1)/12)*$H47</f>
        <v>18.79369171087161</v>
      </c>
      <c r="K47" s="232">
        <f>(SUM('1.  LRAMVA Summary'!F$52:F$57)+SUM('1.  LRAMVA Summary'!F$58:F$59)*(MONTH($E47)-1)/12)*$H47</f>
        <v>6.8153257990973533</v>
      </c>
      <c r="L47" s="232">
        <f>(SUM('1.  LRAMVA Summary'!G$52:G$57)+SUM('1.  LRAMVA Summary'!G$58:G$59)*(MONTH($E47)-1)/12)*$H47</f>
        <v>-0.55675588499999995</v>
      </c>
      <c r="M47" s="232">
        <f>(SUM('1.  LRAMVA Summary'!H$52:H$57)+SUM('1.  LRAMVA Summary'!H$58:H$59)*(MONTH($E47)-1)/12)*$H47</f>
        <v>-1.3579696666666667E-2</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37.02901776719078</v>
      </c>
    </row>
    <row r="48" spans="2:23" s="9" customFormat="1">
      <c r="B48" s="215" t="s">
        <v>86</v>
      </c>
      <c r="C48" s="235"/>
      <c r="D48" s="208"/>
      <c r="E48" s="216">
        <v>41365</v>
      </c>
      <c r="F48" s="216" t="s">
        <v>180</v>
      </c>
      <c r="G48" s="217" t="s">
        <v>66</v>
      </c>
      <c r="H48" s="234">
        <f>C$24/12</f>
        <v>1.225E-3</v>
      </c>
      <c r="I48" s="232">
        <f>(SUM('1.  LRAMVA Summary'!D$52:D$57)+SUM('1.  LRAMVA Summary'!D$58:D$59)*(MONTH($E48)-1)/12)*$H48</f>
        <v>10.710093728883679</v>
      </c>
      <c r="J48" s="232">
        <f>(SUM('1.  LRAMVA Summary'!E$52:E$57)+SUM('1.  LRAMVA Summary'!E$58:E$59)*(MONTH($E48)-1)/12)*$H48</f>
        <v>20.192742525492655</v>
      </c>
      <c r="K48" s="232">
        <f>(SUM('1.  LRAMVA Summary'!F$52:F$57)+SUM('1.  LRAMVA Summary'!F$58:F$59)*(MONTH($E48)-1)/12)*$H48</f>
        <v>4.9394214811409505</v>
      </c>
      <c r="L48" s="232">
        <f>(SUM('1.  LRAMVA Summary'!G$52:G$57)+SUM('1.  LRAMVA Summary'!G$58:G$59)*(MONTH($E48)-1)/12)*$H48</f>
        <v>-0.83513382749999998</v>
      </c>
      <c r="M48" s="232">
        <f>(SUM('1.  LRAMVA Summary'!H$52:H$57)+SUM('1.  LRAMVA Summary'!H$58:H$59)*(MONTH($E48)-1)/12)*$H48</f>
        <v>-2.0369544999999999E-2</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34.986754363017276</v>
      </c>
    </row>
    <row r="49" spans="1:23" s="9" customFormat="1">
      <c r="B49" s="215" t="s">
        <v>87</v>
      </c>
      <c r="C49" s="235"/>
      <c r="D49" s="208"/>
      <c r="E49" s="216">
        <v>41395</v>
      </c>
      <c r="F49" s="216" t="s">
        <v>180</v>
      </c>
      <c r="G49" s="217" t="s">
        <v>66</v>
      </c>
      <c r="H49" s="231">
        <f>C$24/12</f>
        <v>1.225E-3</v>
      </c>
      <c r="I49" s="232">
        <f>(SUM('1.  LRAMVA Summary'!D$52:D$57)+SUM('1.  LRAMVA Summary'!D$58:D$59)*(MONTH($E49)-1)/12)*$H49</f>
        <v>9.429851618878871</v>
      </c>
      <c r="J49" s="232">
        <f>(SUM('1.  LRAMVA Summary'!E$52:E$57)+SUM('1.  LRAMVA Summary'!E$58:E$59)*(MONTH($E49)-1)/12)*$H49</f>
        <v>21.5917933401137</v>
      </c>
      <c r="K49" s="232">
        <f>(SUM('1.  LRAMVA Summary'!F$52:F$57)+SUM('1.  LRAMVA Summary'!F$58:F$59)*(MONTH($E49)-1)/12)*$H49</f>
        <v>3.0635171631845481</v>
      </c>
      <c r="L49" s="232">
        <f>(SUM('1.  LRAMVA Summary'!G$52:G$57)+SUM('1.  LRAMVA Summary'!G$58:G$59)*(MONTH($E49)-1)/12)*$H49</f>
        <v>-1.1135117699999999</v>
      </c>
      <c r="M49" s="232">
        <f>(SUM('1.  LRAMVA Summary'!H$52:H$57)+SUM('1.  LRAMVA Summary'!H$58:H$59)*(MONTH($E49)-1)/12)*$H49</f>
        <v>-2.7159393333333334E-2</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32.94449095884378</v>
      </c>
    </row>
    <row r="50" spans="1:23" s="9" customFormat="1">
      <c r="B50" s="215" t="s">
        <v>88</v>
      </c>
      <c r="C50" s="235"/>
      <c r="D50" s="208"/>
      <c r="E50" s="216">
        <v>41426</v>
      </c>
      <c r="F50" s="216" t="s">
        <v>180</v>
      </c>
      <c r="G50" s="217" t="s">
        <v>66</v>
      </c>
      <c r="H50" s="231">
        <f>C$24/12</f>
        <v>1.225E-3</v>
      </c>
      <c r="I50" s="232">
        <f>(SUM('1.  LRAMVA Summary'!D$52:D$57)+SUM('1.  LRAMVA Summary'!D$58:D$59)*(MONTH($E50)-1)/12)*$H50</f>
        <v>8.1496095088740645</v>
      </c>
      <c r="J50" s="232">
        <f>(SUM('1.  LRAMVA Summary'!E$52:E$57)+SUM('1.  LRAMVA Summary'!E$58:E$59)*(MONTH($E50)-1)/12)*$H50</f>
        <v>22.990844154734742</v>
      </c>
      <c r="K50" s="232">
        <f>(SUM('1.  LRAMVA Summary'!F$52:F$57)+SUM('1.  LRAMVA Summary'!F$58:F$59)*(MONTH($E50)-1)/12)*$H50</f>
        <v>1.1876128452281449</v>
      </c>
      <c r="L50" s="232">
        <f>(SUM('1.  LRAMVA Summary'!G$52:G$57)+SUM('1.  LRAMVA Summary'!G$58:G$59)*(MONTH($E50)-1)/12)*$H50</f>
        <v>-1.3918897124999998</v>
      </c>
      <c r="M50" s="232">
        <f>(SUM('1.  LRAMVA Summary'!H$52:H$57)+SUM('1.  LRAMVA Summary'!H$58:H$59)*(MONTH($E50)-1)/12)*$H50</f>
        <v>-3.3949241666666664E-2</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30.90222755467029</v>
      </c>
    </row>
    <row r="51" spans="1:23" s="9" customFormat="1">
      <c r="B51" s="215" t="s">
        <v>89</v>
      </c>
      <c r="C51" s="235"/>
      <c r="D51" s="208"/>
      <c r="E51" s="216">
        <v>41456</v>
      </c>
      <c r="F51" s="216" t="s">
        <v>180</v>
      </c>
      <c r="G51" s="217" t="s">
        <v>68</v>
      </c>
      <c r="H51" s="234">
        <f>C$25/12</f>
        <v>1.225E-3</v>
      </c>
      <c r="I51" s="232">
        <f>(SUM('1.  LRAMVA Summary'!D$52:D$57)+SUM('1.  LRAMVA Summary'!D$58:D$59)*(MONTH($E51)-1)/12)*$H51</f>
        <v>6.8693673988692581</v>
      </c>
      <c r="J51" s="232">
        <f>(SUM('1.  LRAMVA Summary'!E$52:E$57)+SUM('1.  LRAMVA Summary'!E$58:E$59)*(MONTH($E51)-1)/12)*$H51</f>
        <v>24.389894969355787</v>
      </c>
      <c r="K51" s="232">
        <f>(SUM('1.  LRAMVA Summary'!F$52:F$57)+SUM('1.  LRAMVA Summary'!F$58:F$59)*(MONTH($E51)-1)/12)*$H51</f>
        <v>-0.68829147272825719</v>
      </c>
      <c r="L51" s="232">
        <f>(SUM('1.  LRAMVA Summary'!G$52:G$57)+SUM('1.  LRAMVA Summary'!G$58:G$59)*(MONTH($E51)-1)/12)*$H51</f>
        <v>-1.670267655</v>
      </c>
      <c r="M51" s="232">
        <f>(SUM('1.  LRAMVA Summary'!H$52:H$57)+SUM('1.  LRAMVA Summary'!H$58:H$59)*(MONTH($E51)-1)/12)*$H51</f>
        <v>-4.0739089999999999E-2</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28.85996415049679</v>
      </c>
    </row>
    <row r="52" spans="1:23" s="9" customFormat="1">
      <c r="B52" s="215" t="s">
        <v>91</v>
      </c>
      <c r="C52" s="235"/>
      <c r="D52" s="208"/>
      <c r="E52" s="216">
        <v>41487</v>
      </c>
      <c r="F52" s="216" t="s">
        <v>180</v>
      </c>
      <c r="G52" s="217" t="s">
        <v>68</v>
      </c>
      <c r="H52" s="231">
        <f>C$25/12</f>
        <v>1.225E-3</v>
      </c>
      <c r="I52" s="232">
        <f>(SUM('1.  LRAMVA Summary'!D$52:D$57)+SUM('1.  LRAMVA Summary'!D$58:D$59)*(MONTH($E52)-1)/12)*$H52</f>
        <v>5.5891252888644516</v>
      </c>
      <c r="J52" s="232">
        <f>(SUM('1.  LRAMVA Summary'!E$52:E$57)+SUM('1.  LRAMVA Summary'!E$58:E$59)*(MONTH($E52)-1)/12)*$H52</f>
        <v>25.788945783976828</v>
      </c>
      <c r="K52" s="232">
        <f>(SUM('1.  LRAMVA Summary'!F$52:F$57)+SUM('1.  LRAMVA Summary'!F$58:F$59)*(MONTH($E52)-1)/12)*$H52</f>
        <v>-2.5641957906846602</v>
      </c>
      <c r="L52" s="232">
        <f>(SUM('1.  LRAMVA Summary'!G$52:G$57)+SUM('1.  LRAMVA Summary'!G$58:G$59)*(MONTH($E52)-1)/12)*$H52</f>
        <v>-1.9486455974999999</v>
      </c>
      <c r="M52" s="232">
        <f>(SUM('1.  LRAMVA Summary'!H$52:H$57)+SUM('1.  LRAMVA Summary'!H$58:H$59)*(MONTH($E52)-1)/12)*$H52</f>
        <v>-4.752893833333334E-2</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26.817700746323286</v>
      </c>
    </row>
    <row r="53" spans="1:23" s="9" customFormat="1">
      <c r="B53" s="215" t="s">
        <v>90</v>
      </c>
      <c r="C53" s="235"/>
      <c r="D53" s="208"/>
      <c r="E53" s="216">
        <v>41518</v>
      </c>
      <c r="F53" s="216" t="s">
        <v>180</v>
      </c>
      <c r="G53" s="217" t="s">
        <v>68</v>
      </c>
      <c r="H53" s="231">
        <f>C$25/12</f>
        <v>1.225E-3</v>
      </c>
      <c r="I53" s="232">
        <f>(SUM('1.  LRAMVA Summary'!D$52:D$57)+SUM('1.  LRAMVA Summary'!D$58:D$59)*(MONTH($E53)-1)/12)*$H53</f>
        <v>4.3088831788596433</v>
      </c>
      <c r="J53" s="232">
        <f>(SUM('1.  LRAMVA Summary'!E$52:E$57)+SUM('1.  LRAMVA Summary'!E$58:E$59)*(MONTH($E53)-1)/12)*$H53</f>
        <v>27.18799659859787</v>
      </c>
      <c r="K53" s="232">
        <f>(SUM('1.  LRAMVA Summary'!F$52:F$57)+SUM('1.  LRAMVA Summary'!F$58:F$59)*(MONTH($E53)-1)/12)*$H53</f>
        <v>-4.4401001086410616</v>
      </c>
      <c r="L53" s="232">
        <f>(SUM('1.  LRAMVA Summary'!G$52:G$57)+SUM('1.  LRAMVA Summary'!G$58:G$59)*(MONTH($E53)-1)/12)*$H53</f>
        <v>-2.2270235399999998</v>
      </c>
      <c r="M53" s="232">
        <f>(SUM('1.  LRAMVA Summary'!H$52:H$57)+SUM('1.  LRAMVA Summary'!H$58:H$59)*(MONTH($E53)-1)/12)*$H53</f>
        <v>-5.4318786666666667E-2</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24.775437342149786</v>
      </c>
    </row>
    <row r="54" spans="1:23" s="9" customFormat="1">
      <c r="B54" s="237" t="s">
        <v>92</v>
      </c>
      <c r="C54" s="238"/>
      <c r="D54" s="208"/>
      <c r="E54" s="216">
        <v>41548</v>
      </c>
      <c r="F54" s="216" t="s">
        <v>180</v>
      </c>
      <c r="G54" s="217" t="s">
        <v>69</v>
      </c>
      <c r="H54" s="234">
        <f>C$26/12</f>
        <v>1.225E-3</v>
      </c>
      <c r="I54" s="232">
        <f>(SUM('1.  LRAMVA Summary'!D$52:D$57)+SUM('1.  LRAMVA Summary'!D$58:D$59)*(MONTH($E54)-1)/12)*$H54</f>
        <v>3.0286410688548369</v>
      </c>
      <c r="J54" s="232">
        <f>(SUM('1.  LRAMVA Summary'!E$52:E$57)+SUM('1.  LRAMVA Summary'!E$58:E$59)*(MONTH($E54)-1)/12)*$H54</f>
        <v>28.587047413218915</v>
      </c>
      <c r="K54" s="232">
        <f>(SUM('1.  LRAMVA Summary'!F$52:F$57)+SUM('1.  LRAMVA Summary'!F$58:F$59)*(MONTH($E54)-1)/12)*$H54</f>
        <v>-6.3160044265974626</v>
      </c>
      <c r="L54" s="232">
        <f>(SUM('1.  LRAMVA Summary'!G$52:G$57)+SUM('1.  LRAMVA Summary'!G$58:G$59)*(MONTH($E54)-1)/12)*$H54</f>
        <v>-2.5054014824999999</v>
      </c>
      <c r="M54" s="232">
        <f>(SUM('1.  LRAMVA Summary'!H$52:H$57)+SUM('1.  LRAMVA Summary'!H$58:H$59)*(MONTH($E54)-1)/12)*$H54</f>
        <v>-6.1108634999999994E-2</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22.733173937976286</v>
      </c>
    </row>
    <row r="55" spans="1:23" s="9" customFormat="1">
      <c r="D55" s="208"/>
      <c r="E55" s="216">
        <v>41579</v>
      </c>
      <c r="F55" s="216" t="s">
        <v>180</v>
      </c>
      <c r="G55" s="217" t="s">
        <v>69</v>
      </c>
      <c r="H55" s="231">
        <f>C$26/12</f>
        <v>1.225E-3</v>
      </c>
      <c r="I55" s="232">
        <f>(SUM('1.  LRAMVA Summary'!D$52:D$57)+SUM('1.  LRAMVA Summary'!D$58:D$59)*(MONTH($E55)-1)/12)*$H55</f>
        <v>1.7483989588500297</v>
      </c>
      <c r="J55" s="232">
        <f>(SUM('1.  LRAMVA Summary'!E$52:E$57)+SUM('1.  LRAMVA Summary'!E$58:E$59)*(MONTH($E55)-1)/12)*$H55</f>
        <v>29.986098227839957</v>
      </c>
      <c r="K55" s="232">
        <f>(SUM('1.  LRAMVA Summary'!F$52:F$57)+SUM('1.  LRAMVA Summary'!F$58:F$59)*(MONTH($E55)-1)/12)*$H55</f>
        <v>-8.1919087445538672</v>
      </c>
      <c r="L55" s="232">
        <f>(SUM('1.  LRAMVA Summary'!G$52:G$57)+SUM('1.  LRAMVA Summary'!G$58:G$59)*(MONTH($E55)-1)/12)*$H55</f>
        <v>-2.7837794249999996</v>
      </c>
      <c r="M55" s="232">
        <f>(SUM('1.  LRAMVA Summary'!H$52:H$57)+SUM('1.  LRAMVA Summary'!H$58:H$59)*(MONTH($E55)-1)/12)*$H55</f>
        <v>-6.7898483333333329E-2</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20.690910533802786</v>
      </c>
    </row>
    <row r="56" spans="1:23" s="9" customFormat="1" ht="15.75">
      <c r="B56" s="185" t="s">
        <v>183</v>
      </c>
      <c r="C56" s="27"/>
      <c r="D56" s="208"/>
      <c r="E56" s="216">
        <v>41609</v>
      </c>
      <c r="F56" s="216" t="s">
        <v>180</v>
      </c>
      <c r="G56" s="217" t="s">
        <v>69</v>
      </c>
      <c r="H56" s="231">
        <f>C$26/12</f>
        <v>1.225E-3</v>
      </c>
      <c r="I56" s="232">
        <f>(SUM('1.  LRAMVA Summary'!D$52:D$57)+SUM('1.  LRAMVA Summary'!D$58:D$59)*(MONTH($E56)-1)/12)*$H56</f>
        <v>0.46815684884522274</v>
      </c>
      <c r="J56" s="232">
        <f>(SUM('1.  LRAMVA Summary'!E$52:E$57)+SUM('1.  LRAMVA Summary'!E$58:E$59)*(MONTH($E56)-1)/12)*$H56</f>
        <v>31.385149042461002</v>
      </c>
      <c r="K56" s="232">
        <f>(SUM('1.  LRAMVA Summary'!F$52:F$57)+SUM('1.  LRAMVA Summary'!F$58:F$59)*(MONTH($E56)-1)/12)*$H56</f>
        <v>-10.067813062510272</v>
      </c>
      <c r="L56" s="232">
        <f>(SUM('1.  LRAMVA Summary'!G$52:G$57)+SUM('1.  LRAMVA Summary'!G$58:G$59)*(MONTH($E56)-1)/12)*$H56</f>
        <v>-3.0621573674999998</v>
      </c>
      <c r="M56" s="232">
        <f>(SUM('1.  LRAMVA Summary'!H$52:H$57)+SUM('1.  LRAMVA Summary'!H$58:H$59)*(MONTH($E56)-1)/12)*$H56</f>
        <v>-7.4688331666666663E-2</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18.648647129629286</v>
      </c>
    </row>
    <row r="57" spans="1:23" s="9" customFormat="1" ht="15.75" thickBot="1">
      <c r="B57" s="27"/>
      <c r="C57" s="27"/>
      <c r="D57" s="208"/>
      <c r="E57" s="218" t="s">
        <v>464</v>
      </c>
      <c r="F57" s="218"/>
      <c r="G57" s="219"/>
      <c r="H57" s="220"/>
      <c r="I57" s="221">
        <f>SUM(I44:I56)</f>
        <v>235.44920783760051</v>
      </c>
      <c r="J57" s="221">
        <f t="shared" ref="J57:O57" si="11">SUM(J44:J56)</f>
        <v>415.56656808657686</v>
      </c>
      <c r="K57" s="221">
        <f t="shared" si="11"/>
        <v>83.328879516095697</v>
      </c>
      <c r="L57" s="221">
        <f t="shared" si="11"/>
        <v>-18.372944205</v>
      </c>
      <c r="M57" s="221">
        <f t="shared" si="11"/>
        <v>-0.44812999000000003</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715.52358124527314</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428</v>
      </c>
      <c r="F59" s="227"/>
      <c r="G59" s="228"/>
      <c r="H59" s="229"/>
      <c r="I59" s="230">
        <f t="shared" ref="I59:W59" si="13">I57+I58</f>
        <v>235.44920783760051</v>
      </c>
      <c r="J59" s="230">
        <f t="shared" si="13"/>
        <v>415.56656808657686</v>
      </c>
      <c r="K59" s="230">
        <f t="shared" si="13"/>
        <v>83.328879516095697</v>
      </c>
      <c r="L59" s="230">
        <f t="shared" si="13"/>
        <v>-18.372944205</v>
      </c>
      <c r="M59" s="230">
        <f t="shared" si="13"/>
        <v>-0.44812999000000003</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715.52358124527314</v>
      </c>
    </row>
    <row r="60" spans="1:23" s="9" customFormat="1">
      <c r="D60" s="208"/>
      <c r="E60" s="216">
        <v>41640</v>
      </c>
      <c r="F60" s="216" t="s">
        <v>181</v>
      </c>
      <c r="G60" s="217" t="s">
        <v>65</v>
      </c>
      <c r="H60" s="234">
        <f>C$27/12</f>
        <v>1.225E-3</v>
      </c>
      <c r="I60" s="232">
        <f>(SUM('1.  LRAMVA Summary'!D$52:D$60)+SUM('1.  LRAMVA Summary'!D$61:D$62)*(MONTH($E60)-1)/12)*$H60</f>
        <v>-0.81208526115958424</v>
      </c>
      <c r="J60" s="232">
        <f>(SUM('1.  LRAMVA Summary'!E$52:E$60)+SUM('1.  LRAMVA Summary'!E$61:E$62)*(MONTH($E60)-1)/12)*$H60</f>
        <v>32.784199857082044</v>
      </c>
      <c r="K60" s="232">
        <f>(SUM('1.  LRAMVA Summary'!F$52:F$60)+SUM('1.  LRAMVA Summary'!F$61:F$62)*(MONTH($E60)-1)/12)*$H60</f>
        <v>-11.943717380466675</v>
      </c>
      <c r="L60" s="232">
        <f>(SUM('1.  LRAMVA Summary'!G$52:G$60)+SUM('1.  LRAMVA Summary'!G$61:G$62)*(MONTH($E60)-1)/12)*$H60</f>
        <v>-3.3405353099999999</v>
      </c>
      <c r="M60" s="232">
        <f>(SUM('1.  LRAMVA Summary'!H$52:H$60)+SUM('1.  LRAMVA Summary'!H$61:H$62)*(MONTH($E60)-1)/12)*$H60</f>
        <v>-8.1478179999999997E-2</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16.606383725455782</v>
      </c>
    </row>
    <row r="61" spans="1:23" s="9" customFormat="1">
      <c r="A61" s="28"/>
      <c r="E61" s="216">
        <v>41671</v>
      </c>
      <c r="F61" s="216" t="s">
        <v>181</v>
      </c>
      <c r="G61" s="217" t="s">
        <v>65</v>
      </c>
      <c r="H61" s="231">
        <f>C$27/12</f>
        <v>1.225E-3</v>
      </c>
      <c r="I61" s="232">
        <f>(SUM('1.  LRAMVA Summary'!D$52:D$60)+SUM('1.  LRAMVA Summary'!D$61:D$62)*(MONTH($E61)-1)/12)*$H61</f>
        <v>-0.98557472870291929</v>
      </c>
      <c r="J61" s="232">
        <f>(SUM('1.  LRAMVA Summary'!E$52:E$60)+SUM('1.  LRAMVA Summary'!E$61:E$62)*(MONTH($E61)-1)/12)*$H61</f>
        <v>35.912627310631997</v>
      </c>
      <c r="K61" s="232">
        <f>(SUM('1.  LRAMVA Summary'!F$52:F$60)+SUM('1.  LRAMVA Summary'!F$61:F$62)*(MONTH($E61)-1)/12)*$H61</f>
        <v>-13.739637658884819</v>
      </c>
      <c r="L61" s="232">
        <f>(SUM('1.  LRAMVA Summary'!G$52:G$60)+SUM('1.  LRAMVA Summary'!G$61:G$62)*(MONTH($E61)-1)/12)*$H61</f>
        <v>-3.6310903241666663</v>
      </c>
      <c r="M61" s="232">
        <f>(SUM('1.  LRAMVA Summary'!H$52:H$60)+SUM('1.  LRAMVA Summary'!H$61:H$62)*(MONTH($E61)-1)/12)*$H61</f>
        <v>-8.5733789166666671E-2</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17.470590809710924</v>
      </c>
    </row>
    <row r="62" spans="1:23" s="9" customFormat="1">
      <c r="B62" s="68"/>
      <c r="E62" s="216">
        <v>41699</v>
      </c>
      <c r="F62" s="216" t="s">
        <v>181</v>
      </c>
      <c r="G62" s="217" t="s">
        <v>65</v>
      </c>
      <c r="H62" s="231">
        <f>C$27/12</f>
        <v>1.225E-3</v>
      </c>
      <c r="I62" s="232">
        <f>(SUM('1.  LRAMVA Summary'!D$52:D$60)+SUM('1.  LRAMVA Summary'!D$61:D$62)*(MONTH($E62)-1)/12)*$H62</f>
        <v>-1.1590641962462542</v>
      </c>
      <c r="J62" s="232">
        <f>(SUM('1.  LRAMVA Summary'!E$52:E$60)+SUM('1.  LRAMVA Summary'!E$61:E$62)*(MONTH($E62)-1)/12)*$H62</f>
        <v>39.041054764181943</v>
      </c>
      <c r="K62" s="232">
        <f>(SUM('1.  LRAMVA Summary'!F$52:F$60)+SUM('1.  LRAMVA Summary'!F$61:F$62)*(MONTH($E62)-1)/12)*$H62</f>
        <v>-15.535557937302967</v>
      </c>
      <c r="L62" s="232">
        <f>(SUM('1.  LRAMVA Summary'!G$52:G$60)+SUM('1.  LRAMVA Summary'!G$61:G$62)*(MONTH($E62)-1)/12)*$H62</f>
        <v>-3.9216453383333332</v>
      </c>
      <c r="M62" s="232">
        <f>(SUM('1.  LRAMVA Summary'!H$52:H$60)+SUM('1.  LRAMVA Summary'!H$61:H$62)*(MONTH($E62)-1)/12)*$H62</f>
        <v>-8.9989398333333331E-2</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18.334797893966051</v>
      </c>
    </row>
    <row r="63" spans="1:23" s="9" customFormat="1">
      <c r="B63" s="68"/>
      <c r="E63" s="216">
        <v>41730</v>
      </c>
      <c r="F63" s="216" t="s">
        <v>181</v>
      </c>
      <c r="G63" s="217" t="s">
        <v>66</v>
      </c>
      <c r="H63" s="234">
        <f>C$28/12</f>
        <v>1.225E-3</v>
      </c>
      <c r="I63" s="232">
        <f>(SUM('1.  LRAMVA Summary'!D$52:D$60)+SUM('1.  LRAMVA Summary'!D$61:D$62)*(MONTH($E63)-1)/12)*$H63</f>
        <v>-1.3325536637895894</v>
      </c>
      <c r="J63" s="232">
        <f>(SUM('1.  LRAMVA Summary'!E$52:E$60)+SUM('1.  LRAMVA Summary'!E$61:E$62)*(MONTH($E63)-1)/12)*$H63</f>
        <v>42.169482217731904</v>
      </c>
      <c r="K63" s="232">
        <f>(SUM('1.  LRAMVA Summary'!F$52:F$60)+SUM('1.  LRAMVA Summary'!F$61:F$62)*(MONTH($E63)-1)/12)*$H63</f>
        <v>-17.331478215721113</v>
      </c>
      <c r="L63" s="232">
        <f>(SUM('1.  LRAMVA Summary'!G$52:G$60)+SUM('1.  LRAMVA Summary'!G$61:G$62)*(MONTH($E63)-1)/12)*$H63</f>
        <v>-4.2122003524999991</v>
      </c>
      <c r="M63" s="232">
        <f>(SUM('1.  LRAMVA Summary'!H$52:H$60)+SUM('1.  LRAMVA Summary'!H$61:H$62)*(MONTH($E63)-1)/12)*$H63</f>
        <v>-9.4245007499999991E-2</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19.199004978221204</v>
      </c>
    </row>
    <row r="64" spans="1:23" s="9" customFormat="1">
      <c r="B64" s="68"/>
      <c r="E64" s="216">
        <v>41760</v>
      </c>
      <c r="F64" s="216" t="s">
        <v>181</v>
      </c>
      <c r="G64" s="217" t="s">
        <v>66</v>
      </c>
      <c r="H64" s="231">
        <f>C$28/12</f>
        <v>1.225E-3</v>
      </c>
      <c r="I64" s="232">
        <f>(SUM('1.  LRAMVA Summary'!D$52:D$60)+SUM('1.  LRAMVA Summary'!D$61:D$62)*(MONTH($E64)-1)/12)*$H64</f>
        <v>-1.5060431313329243</v>
      </c>
      <c r="J64" s="232">
        <f>(SUM('1.  LRAMVA Summary'!E$52:E$60)+SUM('1.  LRAMVA Summary'!E$61:E$62)*(MONTH($E64)-1)/12)*$H64</f>
        <v>45.29790967128185</v>
      </c>
      <c r="K64" s="232">
        <f>(SUM('1.  LRAMVA Summary'!F$52:F$60)+SUM('1.  LRAMVA Summary'!F$61:F$62)*(MONTH($E64)-1)/12)*$H64</f>
        <v>-19.127398494139261</v>
      </c>
      <c r="L64" s="232">
        <f>(SUM('1.  LRAMVA Summary'!G$52:G$60)+SUM('1.  LRAMVA Summary'!G$61:G$62)*(MONTH($E64)-1)/12)*$H64</f>
        <v>-4.5027553666666664</v>
      </c>
      <c r="M64" s="232">
        <f>(SUM('1.  LRAMVA Summary'!H$52:H$60)+SUM('1.  LRAMVA Summary'!H$61:H$62)*(MONTH($E64)-1)/12)*$H64</f>
        <v>-9.8500616666666652E-2</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20.063212062476335</v>
      </c>
    </row>
    <row r="65" spans="2:23" s="9" customFormat="1">
      <c r="B65" s="68"/>
      <c r="E65" s="216">
        <v>41791</v>
      </c>
      <c r="F65" s="216" t="s">
        <v>181</v>
      </c>
      <c r="G65" s="217" t="s">
        <v>66</v>
      </c>
      <c r="H65" s="231">
        <f>C$28/12</f>
        <v>1.225E-3</v>
      </c>
      <c r="I65" s="232">
        <f>(SUM('1.  LRAMVA Summary'!D$52:D$60)+SUM('1.  LRAMVA Summary'!D$61:D$62)*(MONTH($E65)-1)/12)*$H65</f>
        <v>-1.6795325988762597</v>
      </c>
      <c r="J65" s="232">
        <f>(SUM('1.  LRAMVA Summary'!E$52:E$60)+SUM('1.  LRAMVA Summary'!E$61:E$62)*(MONTH($E65)-1)/12)*$H65</f>
        <v>48.426337124831804</v>
      </c>
      <c r="K65" s="232">
        <f>(SUM('1.  LRAMVA Summary'!F$52:F$60)+SUM('1.  LRAMVA Summary'!F$61:F$62)*(MONTH($E65)-1)/12)*$H65</f>
        <v>-20.923318772557401</v>
      </c>
      <c r="L65" s="232">
        <f>(SUM('1.  LRAMVA Summary'!G$52:G$60)+SUM('1.  LRAMVA Summary'!G$61:G$62)*(MONTH($E65)-1)/12)*$H65</f>
        <v>-4.7933103808333328</v>
      </c>
      <c r="M65" s="232">
        <f>(SUM('1.  LRAMVA Summary'!H$52:H$60)+SUM('1.  LRAMVA Summary'!H$61:H$62)*(MONTH($E65)-1)/12)*$H65</f>
        <v>-0.10275622583333333</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20.927419146731481</v>
      </c>
    </row>
    <row r="66" spans="2:23" s="9" customFormat="1">
      <c r="B66" s="68"/>
      <c r="E66" s="216">
        <v>41821</v>
      </c>
      <c r="F66" s="216" t="s">
        <v>181</v>
      </c>
      <c r="G66" s="217" t="s">
        <v>68</v>
      </c>
      <c r="H66" s="234">
        <f>C$29/12</f>
        <v>1.225E-3</v>
      </c>
      <c r="I66" s="232">
        <f>(SUM('1.  LRAMVA Summary'!D$52:D$60)+SUM('1.  LRAMVA Summary'!D$61:D$62)*(MONTH($E66)-1)/12)*$H66</f>
        <v>-1.8530220664195947</v>
      </c>
      <c r="J66" s="232">
        <f>(SUM('1.  LRAMVA Summary'!E$52:E$60)+SUM('1.  LRAMVA Summary'!E$61:E$62)*(MONTH($E66)-1)/12)*$H66</f>
        <v>51.554764578381757</v>
      </c>
      <c r="K66" s="232">
        <f>(SUM('1.  LRAMVA Summary'!F$52:F$60)+SUM('1.  LRAMVA Summary'!F$61:F$62)*(MONTH($E66)-1)/12)*$H66</f>
        <v>-22.719239050975549</v>
      </c>
      <c r="L66" s="232">
        <f>(SUM('1.  LRAMVA Summary'!G$52:G$60)+SUM('1.  LRAMVA Summary'!G$61:G$62)*(MONTH($E66)-1)/12)*$H66</f>
        <v>-5.0838653949999992</v>
      </c>
      <c r="M66" s="232">
        <f>(SUM('1.  LRAMVA Summary'!H$52:H$60)+SUM('1.  LRAMVA Summary'!H$61:H$62)*(MONTH($E66)-1)/12)*$H66</f>
        <v>-0.107011835</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21.791626230986608</v>
      </c>
    </row>
    <row r="67" spans="2:23" s="9" customFormat="1">
      <c r="B67" s="68"/>
      <c r="E67" s="216">
        <v>41852</v>
      </c>
      <c r="F67" s="216" t="s">
        <v>181</v>
      </c>
      <c r="G67" s="217" t="s">
        <v>68</v>
      </c>
      <c r="H67" s="231">
        <f>C$29/12</f>
        <v>1.225E-3</v>
      </c>
      <c r="I67" s="232">
        <f>(SUM('1.  LRAMVA Summary'!D$52:D$60)+SUM('1.  LRAMVA Summary'!D$61:D$62)*(MONTH($E67)-1)/12)*$H67</f>
        <v>-2.0265115339629296</v>
      </c>
      <c r="J67" s="232">
        <f>(SUM('1.  LRAMVA Summary'!E$52:E$60)+SUM('1.  LRAMVA Summary'!E$61:E$62)*(MONTH($E67)-1)/12)*$H67</f>
        <v>54.683192031931711</v>
      </c>
      <c r="K67" s="232">
        <f>(SUM('1.  LRAMVA Summary'!F$52:F$60)+SUM('1.  LRAMVA Summary'!F$61:F$62)*(MONTH($E67)-1)/12)*$H67</f>
        <v>-24.515159329393697</v>
      </c>
      <c r="L67" s="232">
        <f>(SUM('1.  LRAMVA Summary'!G$52:G$60)+SUM('1.  LRAMVA Summary'!G$61:G$62)*(MONTH($E67)-1)/12)*$H67</f>
        <v>-5.3744204091666665</v>
      </c>
      <c r="M67" s="232">
        <f>(SUM('1.  LRAMVA Summary'!H$52:H$60)+SUM('1.  LRAMVA Summary'!H$61:H$62)*(MONTH($E67)-1)/12)*$H67</f>
        <v>-0.11126744416666666</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22.655833315241747</v>
      </c>
    </row>
    <row r="68" spans="2:23" s="9" customFormat="1">
      <c r="B68" s="68"/>
      <c r="E68" s="216">
        <v>41883</v>
      </c>
      <c r="F68" s="216" t="s">
        <v>181</v>
      </c>
      <c r="G68" s="217" t="s">
        <v>68</v>
      </c>
      <c r="H68" s="231">
        <f>C$29/12</f>
        <v>1.225E-3</v>
      </c>
      <c r="I68" s="232">
        <f>(SUM('1.  LRAMVA Summary'!D$52:D$60)+SUM('1.  LRAMVA Summary'!D$61:D$62)*(MONTH($E68)-1)/12)*$H68</f>
        <v>-2.2000010015062648</v>
      </c>
      <c r="J68" s="232">
        <f>(SUM('1.  LRAMVA Summary'!E$52:E$60)+SUM('1.  LRAMVA Summary'!E$61:E$62)*(MONTH($E68)-1)/12)*$H68</f>
        <v>57.811619485481664</v>
      </c>
      <c r="K68" s="232">
        <f>(SUM('1.  LRAMVA Summary'!F$52:F$60)+SUM('1.  LRAMVA Summary'!F$61:F$62)*(MONTH($E68)-1)/12)*$H68</f>
        <v>-26.311079607811845</v>
      </c>
      <c r="L68" s="232">
        <f>(SUM('1.  LRAMVA Summary'!G$52:G$60)+SUM('1.  LRAMVA Summary'!G$61:G$62)*(MONTH($E68)-1)/12)*$H68</f>
        <v>-5.6649754233333329</v>
      </c>
      <c r="M68" s="232">
        <f>(SUM('1.  LRAMVA Summary'!H$52:H$60)+SUM('1.  LRAMVA Summary'!H$61:H$62)*(MONTH($E68)-1)/12)*$H68</f>
        <v>-0.11552305333333332</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23.520040399496885</v>
      </c>
    </row>
    <row r="69" spans="2:23" s="9" customFormat="1">
      <c r="B69" s="68"/>
      <c r="E69" s="216">
        <v>41913</v>
      </c>
      <c r="F69" s="216" t="s">
        <v>181</v>
      </c>
      <c r="G69" s="217" t="s">
        <v>69</v>
      </c>
      <c r="H69" s="234">
        <f>C$30/12</f>
        <v>1.225E-3</v>
      </c>
      <c r="I69" s="232">
        <f>(SUM('1.  LRAMVA Summary'!D$52:D$60)+SUM('1.  LRAMVA Summary'!D$61:D$62)*(MONTH($E69)-1)/12)*$H69</f>
        <v>-2.3734904690495999</v>
      </c>
      <c r="J69" s="232">
        <f>(SUM('1.  LRAMVA Summary'!E$52:E$60)+SUM('1.  LRAMVA Summary'!E$61:E$62)*(MONTH($E69)-1)/12)*$H69</f>
        <v>60.94004693903161</v>
      </c>
      <c r="K69" s="232">
        <f>(SUM('1.  LRAMVA Summary'!F$52:F$60)+SUM('1.  LRAMVA Summary'!F$61:F$62)*(MONTH($E69)-1)/12)*$H69</f>
        <v>-28.106999886229993</v>
      </c>
      <c r="L69" s="232">
        <f>(SUM('1.  LRAMVA Summary'!G$52:G$60)+SUM('1.  LRAMVA Summary'!G$61:G$62)*(MONTH($E69)-1)/12)*$H69</f>
        <v>-5.9555304374999993</v>
      </c>
      <c r="M69" s="232">
        <f>(SUM('1.  LRAMVA Summary'!H$52:H$60)+SUM('1.  LRAMVA Summary'!H$61:H$62)*(MONTH($E69)-1)/12)*$H69</f>
        <v>-0.11977866249999999</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24.38424748375202</v>
      </c>
    </row>
    <row r="70" spans="2:23" s="9" customFormat="1">
      <c r="B70" s="68"/>
      <c r="E70" s="216">
        <v>41944</v>
      </c>
      <c r="F70" s="216" t="s">
        <v>181</v>
      </c>
      <c r="G70" s="217" t="s">
        <v>69</v>
      </c>
      <c r="H70" s="231">
        <f>C$30/12</f>
        <v>1.225E-3</v>
      </c>
      <c r="I70" s="232">
        <f>(SUM('1.  LRAMVA Summary'!D$52:D$60)+SUM('1.  LRAMVA Summary'!D$61:D$62)*(MONTH($E70)-1)/12)*$H70</f>
        <v>-2.5469799365929355</v>
      </c>
      <c r="J70" s="232">
        <f>(SUM('1.  LRAMVA Summary'!E$52:E$60)+SUM('1.  LRAMVA Summary'!E$61:E$62)*(MONTH($E70)-1)/12)*$H70</f>
        <v>64.068474392581564</v>
      </c>
      <c r="K70" s="232">
        <f>(SUM('1.  LRAMVA Summary'!F$52:F$60)+SUM('1.  LRAMVA Summary'!F$61:F$62)*(MONTH($E70)-1)/12)*$H70</f>
        <v>-29.90292016464813</v>
      </c>
      <c r="L70" s="232">
        <f>(SUM('1.  LRAMVA Summary'!G$52:G$60)+SUM('1.  LRAMVA Summary'!G$61:G$62)*(MONTH($E70)-1)/12)*$H70</f>
        <v>-6.2460854516666657</v>
      </c>
      <c r="M70" s="232">
        <f>(SUM('1.  LRAMVA Summary'!H$52:H$60)+SUM('1.  LRAMVA Summary'!H$61:H$62)*(MONTH($E70)-1)/12)*$H70</f>
        <v>-0.12403427166666665</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25.248454568007169</v>
      </c>
    </row>
    <row r="71" spans="2:23" s="9" customFormat="1">
      <c r="B71" s="68"/>
      <c r="E71" s="216">
        <v>41974</v>
      </c>
      <c r="F71" s="216" t="s">
        <v>181</v>
      </c>
      <c r="G71" s="217" t="s">
        <v>69</v>
      </c>
      <c r="H71" s="231">
        <f>C$30/12</f>
        <v>1.225E-3</v>
      </c>
      <c r="I71" s="232">
        <f>(SUM('1.  LRAMVA Summary'!D$52:D$60)+SUM('1.  LRAMVA Summary'!D$61:D$62)*(MONTH($E71)-1)/12)*$H71</f>
        <v>-2.7204694041362698</v>
      </c>
      <c r="J71" s="232">
        <f>(SUM('1.  LRAMVA Summary'!E$52:E$60)+SUM('1.  LRAMVA Summary'!E$61:E$62)*(MONTH($E71)-1)/12)*$H71</f>
        <v>67.19690184613151</v>
      </c>
      <c r="K71" s="232">
        <f>(SUM('1.  LRAMVA Summary'!F$52:F$60)+SUM('1.  LRAMVA Summary'!F$61:F$62)*(MONTH($E71)-1)/12)*$H71</f>
        <v>-31.698840443066278</v>
      </c>
      <c r="L71" s="232">
        <f>(SUM('1.  LRAMVA Summary'!G$52:G$60)+SUM('1.  LRAMVA Summary'!G$61:G$62)*(MONTH($E71)-1)/12)*$H71</f>
        <v>-6.536640465833333</v>
      </c>
      <c r="M71" s="232">
        <f>(SUM('1.  LRAMVA Summary'!H$52:H$60)+SUM('1.  LRAMVA Summary'!H$61:H$62)*(MONTH($E71)-1)/12)*$H71</f>
        <v>-0.12828988083333331</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26.112661652262304</v>
      </c>
    </row>
    <row r="72" spans="2:23" s="9" customFormat="1" ht="15.75" thickBot="1">
      <c r="B72" s="68"/>
      <c r="E72" s="218" t="s">
        <v>465</v>
      </c>
      <c r="F72" s="218"/>
      <c r="G72" s="219"/>
      <c r="H72" s="220"/>
      <c r="I72" s="221">
        <f>SUM(I59:I71)</f>
        <v>214.25387984582542</v>
      </c>
      <c r="J72" s="221">
        <f t="shared" ref="J72:V72" si="16">SUM(J59:J71)</f>
        <v>1015.4531783058583</v>
      </c>
      <c r="K72" s="221">
        <f t="shared" si="16"/>
        <v>-178.52646742510203</v>
      </c>
      <c r="L72" s="221">
        <f t="shared" si="16"/>
        <v>-77.635998860000001</v>
      </c>
      <c r="M72" s="221">
        <f t="shared" si="16"/>
        <v>-1.7067383549999997</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971.83785351158156</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429</v>
      </c>
      <c r="F74" s="227"/>
      <c r="G74" s="228"/>
      <c r="H74" s="229"/>
      <c r="I74" s="230">
        <f t="shared" ref="I74:O74" si="17">I72+I73</f>
        <v>214.25387984582542</v>
      </c>
      <c r="J74" s="230">
        <f t="shared" si="17"/>
        <v>1015.4531783058583</v>
      </c>
      <c r="K74" s="230">
        <f t="shared" si="17"/>
        <v>-178.52646742510203</v>
      </c>
      <c r="L74" s="230">
        <f t="shared" si="17"/>
        <v>-77.635998860000001</v>
      </c>
      <c r="M74" s="230">
        <f t="shared" si="17"/>
        <v>-1.7067383549999997</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971.83785351158156</v>
      </c>
    </row>
    <row r="75" spans="2:23" s="9" customFormat="1">
      <c r="B75" s="68"/>
      <c r="E75" s="216">
        <v>42005</v>
      </c>
      <c r="F75" s="216" t="s">
        <v>182</v>
      </c>
      <c r="G75" s="217" t="s">
        <v>65</v>
      </c>
      <c r="H75" s="231">
        <f>C$31/12</f>
        <v>1.225E-3</v>
      </c>
      <c r="I75" s="232">
        <f>(SUM('1.  LRAMVA Summary'!D$52:D$63)+SUM('1.  LRAMVA Summary'!D$64:D$65)*(MONTH($E75)-1)/12)*$H75</f>
        <v>-2.893958871679605</v>
      </c>
      <c r="J75" s="232">
        <f>(SUM('1.  LRAMVA Summary'!E$52:E$63)+SUM('1.  LRAMVA Summary'!E$64:E$65)*(MONTH($E75)-1)/12)*$H75</f>
        <v>70.325329299681471</v>
      </c>
      <c r="K75" s="232">
        <f>(SUM('1.  LRAMVA Summary'!F$52:F$63)+SUM('1.  LRAMVA Summary'!F$64:F$65)*(MONTH($E75)-1)/12)*$H75</f>
        <v>-33.494760721484425</v>
      </c>
      <c r="L75" s="232">
        <f>(SUM('1.  LRAMVA Summary'!G$52:G$63)+SUM('1.  LRAMVA Summary'!G$64:G$65)*(MONTH($E75)-1)/12)*$H75</f>
        <v>-6.8271954799999985</v>
      </c>
      <c r="M75" s="232">
        <f>(SUM('1.  LRAMVA Summary'!H$52:H$63)+SUM('1.  LRAMVA Summary'!H$64:H$65)*(MONTH($E75)-1)/12)*$H75</f>
        <v>-0.13254548999999999</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26.976868736517446</v>
      </c>
    </row>
    <row r="76" spans="2:23" s="240" customFormat="1">
      <c r="B76" s="239"/>
      <c r="E76" s="216">
        <v>42036</v>
      </c>
      <c r="F76" s="216" t="s">
        <v>182</v>
      </c>
      <c r="G76" s="217" t="s">
        <v>65</v>
      </c>
      <c r="H76" s="231">
        <f t="shared" ref="H76:H77" si="19">C$31/12</f>
        <v>1.225E-3</v>
      </c>
      <c r="I76" s="232">
        <f>(SUM('1.  LRAMVA Summary'!D$52:D$63)+SUM('1.  LRAMVA Summary'!D$64:D$65)*(MONTH($E76)-1)/12)*$H76</f>
        <v>-2.0547772800810682</v>
      </c>
      <c r="J76" s="232">
        <f>(SUM('1.  LRAMVA Summary'!E$52:E$63)+SUM('1.  LRAMVA Summary'!E$64:E$65)*(MONTH($E76)-1)/12)*$H76</f>
        <v>74.22672967903199</v>
      </c>
      <c r="K76" s="232">
        <f>(SUM('1.  LRAMVA Summary'!F$52:F$63)+SUM('1.  LRAMVA Summary'!F$64:F$65)*(MONTH($E76)-1)/12)*$H76</f>
        <v>-34.887364707151463</v>
      </c>
      <c r="L76" s="232">
        <f>(SUM('1.  LRAMVA Summary'!G$52:G$63)+SUM('1.  LRAMVA Summary'!G$64:G$65)*(MONTH($E76)-1)/12)*$H76</f>
        <v>-7.1216241074999989</v>
      </c>
      <c r="M76" s="232">
        <f>(SUM('1.  LRAMVA Summary'!H$52:H$63)+SUM('1.  LRAMVA Summary'!H$64:H$65)*(MONTH($E76)-1)/12)*$H76</f>
        <v>-0.13809212666666668</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30.024871457632795</v>
      </c>
    </row>
    <row r="77" spans="2:23" s="9" customFormat="1">
      <c r="B77" s="68"/>
      <c r="E77" s="216">
        <v>42064</v>
      </c>
      <c r="F77" s="216" t="s">
        <v>182</v>
      </c>
      <c r="G77" s="217" t="s">
        <v>65</v>
      </c>
      <c r="H77" s="231">
        <f t="shared" si="19"/>
        <v>1.225E-3</v>
      </c>
      <c r="I77" s="232">
        <f>(SUM('1.  LRAMVA Summary'!D$52:D$63)+SUM('1.  LRAMVA Summary'!D$64:D$65)*(MONTH($E77)-1)/12)*$H77</f>
        <v>-1.2155956884825312</v>
      </c>
      <c r="J77" s="232">
        <f>(SUM('1.  LRAMVA Summary'!E$52:E$63)+SUM('1.  LRAMVA Summary'!E$64:E$65)*(MONTH($E77)-1)/12)*$H77</f>
        <v>78.128130058382496</v>
      </c>
      <c r="K77" s="232">
        <f>(SUM('1.  LRAMVA Summary'!F$52:F$63)+SUM('1.  LRAMVA Summary'!F$64:F$65)*(MONTH($E77)-1)/12)*$H77</f>
        <v>-36.2799686928185</v>
      </c>
      <c r="L77" s="232">
        <f>(SUM('1.  LRAMVA Summary'!G$52:G$63)+SUM('1.  LRAMVA Summary'!G$64:G$65)*(MONTH($E77)-1)/12)*$H77</f>
        <v>-7.4160527349999992</v>
      </c>
      <c r="M77" s="232">
        <f>(SUM('1.  LRAMVA Summary'!H$52:H$63)+SUM('1.  LRAMVA Summary'!H$64:H$65)*(MONTH($E77)-1)/12)*$H77</f>
        <v>-0.14363876333333334</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33.072874178748123</v>
      </c>
    </row>
    <row r="78" spans="2:23" s="9" customFormat="1">
      <c r="B78" s="68"/>
      <c r="E78" s="216">
        <v>42095</v>
      </c>
      <c r="F78" s="216" t="s">
        <v>182</v>
      </c>
      <c r="G78" s="217" t="s">
        <v>66</v>
      </c>
      <c r="H78" s="231">
        <f>C$32/12</f>
        <v>9.1666666666666665E-4</v>
      </c>
      <c r="I78" s="232">
        <f>(SUM('1.  LRAMVA Summary'!D$52:D$63)+SUM('1.  LRAMVA Summary'!D$64:D$65)*(MONTH($E78)-1)/12)*$H78</f>
        <v>-0.28167041263428144</v>
      </c>
      <c r="J78" s="232">
        <f>(SUM('1.  LRAMVA Summary'!E$52:E$63)+SUM('1.  LRAMVA Summary'!E$64:E$65)*(MONTH($E78)-1)/12)*$H78</f>
        <v>61.382641824153964</v>
      </c>
      <c r="K78" s="232">
        <f>(SUM('1.  LRAMVA Summary'!F$52:F$63)+SUM('1.  LRAMVA Summary'!F$64:F$65)*(MONTH($E78)-1)/12)*$H78</f>
        <v>-28.190360507710267</v>
      </c>
      <c r="L78" s="232">
        <f>(SUM('1.  LRAMVA Summary'!G$52:G$63)+SUM('1.  LRAMVA Summary'!G$64:G$65)*(MONTH($E78)-1)/12)*$H78</f>
        <v>-5.7697479583333324</v>
      </c>
      <c r="M78" s="232">
        <f>(SUM('1.  LRAMVA Summary'!H$52:H$63)+SUM('1.  LRAMVA Summary'!H$64:H$65)*(MONTH($E78)-1)/12)*$H78</f>
        <v>-0.11163533333333334</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27.029227612142748</v>
      </c>
    </row>
    <row r="79" spans="2:23" s="9" customFormat="1">
      <c r="B79" s="68"/>
      <c r="E79" s="216">
        <v>42125</v>
      </c>
      <c r="F79" s="216" t="s">
        <v>182</v>
      </c>
      <c r="G79" s="217" t="s">
        <v>66</v>
      </c>
      <c r="H79" s="231">
        <f t="shared" ref="H79:H80" si="21">C$32/12</f>
        <v>9.1666666666666665E-4</v>
      </c>
      <c r="I79" s="232">
        <f>(SUM('1.  LRAMVA Summary'!D$52:D$63)+SUM('1.  LRAMVA Summary'!D$64:D$65)*(MONTH($E79)-1)/12)*$H79</f>
        <v>0.34628860148707286</v>
      </c>
      <c r="J79" s="232">
        <f>(SUM('1.  LRAMVA Summary'!E$52:E$63)+SUM('1.  LRAMVA Summary'!E$64:E$65)*(MONTH($E79)-1)/12)*$H79</f>
        <v>64.30205707400809</v>
      </c>
      <c r="K79" s="232">
        <f>(SUM('1.  LRAMVA Summary'!F$52:F$63)+SUM('1.  LRAMVA Summary'!F$64:F$65)*(MONTH($E79)-1)/12)*$H79</f>
        <v>-29.232445122835259</v>
      </c>
      <c r="L79" s="232">
        <f>(SUM('1.  LRAMVA Summary'!G$52:G$63)+SUM('1.  LRAMVA Summary'!G$64:G$65)*(MONTH($E79)-1)/12)*$H79</f>
        <v>-5.9900686999999992</v>
      </c>
      <c r="M79" s="232">
        <f>(SUM('1.  LRAMVA Summary'!H$52:H$63)+SUM('1.  LRAMVA Summary'!H$64:H$65)*(MONTH($E79)-1)/12)*$H79</f>
        <v>-0.11578587777777778</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29.310045974882129</v>
      </c>
    </row>
    <row r="80" spans="2:23" s="9" customFormat="1">
      <c r="B80" s="68"/>
      <c r="E80" s="216">
        <v>42156</v>
      </c>
      <c r="F80" s="216" t="s">
        <v>182</v>
      </c>
      <c r="G80" s="217" t="s">
        <v>66</v>
      </c>
      <c r="H80" s="231">
        <f t="shared" si="21"/>
        <v>9.1666666666666665E-4</v>
      </c>
      <c r="I80" s="232">
        <f>(SUM('1.  LRAMVA Summary'!D$52:D$63)+SUM('1.  LRAMVA Summary'!D$64:D$65)*(MONTH($E80)-1)/12)*$H80</f>
        <v>0.97424761560842676</v>
      </c>
      <c r="J80" s="232">
        <f>(SUM('1.  LRAMVA Summary'!E$52:E$63)+SUM('1.  LRAMVA Summary'!E$64:E$65)*(MONTH($E80)-1)/12)*$H80</f>
        <v>67.221472323862216</v>
      </c>
      <c r="K80" s="232">
        <f>(SUM('1.  LRAMVA Summary'!F$52:F$63)+SUM('1.  LRAMVA Summary'!F$64:F$65)*(MONTH($E80)-1)/12)*$H80</f>
        <v>-30.27452973796025</v>
      </c>
      <c r="L80" s="232">
        <f>(SUM('1.  LRAMVA Summary'!G$52:G$63)+SUM('1.  LRAMVA Summary'!G$64:G$65)*(MONTH($E80)-1)/12)*$H80</f>
        <v>-6.2103894416666661</v>
      </c>
      <c r="M80" s="232">
        <f>(SUM('1.  LRAMVA Summary'!H$52:H$63)+SUM('1.  LRAMVA Summary'!H$64:H$65)*(MONTH($E80)-1)/12)*$H80</f>
        <v>-0.11993642222222221</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31.590864337621511</v>
      </c>
    </row>
    <row r="81" spans="2:23" s="9" customFormat="1">
      <c r="B81" s="68"/>
      <c r="E81" s="216">
        <v>42186</v>
      </c>
      <c r="F81" s="216" t="s">
        <v>182</v>
      </c>
      <c r="G81" s="217" t="s">
        <v>68</v>
      </c>
      <c r="H81" s="231">
        <f>C$33/12</f>
        <v>9.1666666666666665E-4</v>
      </c>
      <c r="I81" s="232">
        <f>(SUM('1.  LRAMVA Summary'!D$52:D$63)+SUM('1.  LRAMVA Summary'!D$64:D$65)*(MONTH($E81)-1)/12)*$H81</f>
        <v>1.602206629729781</v>
      </c>
      <c r="J81" s="232">
        <f>(SUM('1.  LRAMVA Summary'!E$52:E$63)+SUM('1.  LRAMVA Summary'!E$64:E$65)*(MONTH($E81)-1)/12)*$H81</f>
        <v>70.140887573716341</v>
      </c>
      <c r="K81" s="232">
        <f>(SUM('1.  LRAMVA Summary'!F$52:F$63)+SUM('1.  LRAMVA Summary'!F$64:F$65)*(MONTH($E81)-1)/12)*$H81</f>
        <v>-31.316614353085239</v>
      </c>
      <c r="L81" s="232">
        <f>(SUM('1.  LRAMVA Summary'!G$52:G$63)+SUM('1.  LRAMVA Summary'!G$64:G$65)*(MONTH($E81)-1)/12)*$H81</f>
        <v>-6.4307101833333329</v>
      </c>
      <c r="M81" s="232">
        <f>(SUM('1.  LRAMVA Summary'!H$52:H$63)+SUM('1.  LRAMVA Summary'!H$64:H$65)*(MONTH($E81)-1)/12)*$H81</f>
        <v>-0.12408696666666667</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33.871682700360878</v>
      </c>
    </row>
    <row r="82" spans="2:23" s="9" customFormat="1">
      <c r="B82" s="68"/>
      <c r="E82" s="216">
        <v>42217</v>
      </c>
      <c r="F82" s="216" t="s">
        <v>182</v>
      </c>
      <c r="G82" s="217" t="s">
        <v>68</v>
      </c>
      <c r="H82" s="231">
        <f t="shared" ref="H82:H83" si="22">C$33/12</f>
        <v>9.1666666666666665E-4</v>
      </c>
      <c r="I82" s="232">
        <f>(SUM('1.  LRAMVA Summary'!D$52:D$63)+SUM('1.  LRAMVA Summary'!D$64:D$65)*(MONTH($E82)-1)/12)*$H82</f>
        <v>2.2301656438511359</v>
      </c>
      <c r="J82" s="232">
        <f>(SUM('1.  LRAMVA Summary'!E$52:E$63)+SUM('1.  LRAMVA Summary'!E$64:E$65)*(MONTH($E82)-1)/12)*$H82</f>
        <v>73.060302823570467</v>
      </c>
      <c r="K82" s="232">
        <f>(SUM('1.  LRAMVA Summary'!F$52:F$63)+SUM('1.  LRAMVA Summary'!F$64:F$65)*(MONTH($E82)-1)/12)*$H82</f>
        <v>-32.358698968210241</v>
      </c>
      <c r="L82" s="232">
        <f>(SUM('1.  LRAMVA Summary'!G$52:G$63)+SUM('1.  LRAMVA Summary'!G$64:G$65)*(MONTH($E82)-1)/12)*$H82</f>
        <v>-6.6510309249999997</v>
      </c>
      <c r="M82" s="232">
        <f>(SUM('1.  LRAMVA Summary'!H$52:H$63)+SUM('1.  LRAMVA Summary'!H$64:H$65)*(MONTH($E82)-1)/12)*$H82</f>
        <v>-0.12823751111111112</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36.152501063100253</v>
      </c>
    </row>
    <row r="83" spans="2:23" s="9" customFormat="1">
      <c r="B83" s="68"/>
      <c r="E83" s="216">
        <v>42248</v>
      </c>
      <c r="F83" s="216" t="s">
        <v>182</v>
      </c>
      <c r="G83" s="217" t="s">
        <v>68</v>
      </c>
      <c r="H83" s="231">
        <f t="shared" si="22"/>
        <v>9.1666666666666665E-4</v>
      </c>
      <c r="I83" s="232">
        <f>(SUM('1.  LRAMVA Summary'!D$52:D$63)+SUM('1.  LRAMVA Summary'!D$64:D$65)*(MONTH($E83)-1)/12)*$H83</f>
        <v>2.8581246579724895</v>
      </c>
      <c r="J83" s="232">
        <f>(SUM('1.  LRAMVA Summary'!E$52:E$63)+SUM('1.  LRAMVA Summary'!E$64:E$65)*(MONTH($E83)-1)/12)*$H83</f>
        <v>75.979718073424593</v>
      </c>
      <c r="K83" s="232">
        <f>(SUM('1.  LRAMVA Summary'!F$52:F$63)+SUM('1.  LRAMVA Summary'!F$64:F$65)*(MONTH($E83)-1)/12)*$H83</f>
        <v>-33.400783583335233</v>
      </c>
      <c r="L83" s="232">
        <f>(SUM('1.  LRAMVA Summary'!G$52:G$63)+SUM('1.  LRAMVA Summary'!G$64:G$65)*(MONTH($E83)-1)/12)*$H83</f>
        <v>-6.8713516666666656</v>
      </c>
      <c r="M83" s="232">
        <f>(SUM('1.  LRAMVA Summary'!H$52:H$63)+SUM('1.  LRAMVA Summary'!H$64:H$65)*(MONTH($E83)-1)/12)*$H83</f>
        <v>-0.13238805555555558</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38.433319425839635</v>
      </c>
    </row>
    <row r="84" spans="2:23" s="9" customFormat="1">
      <c r="B84" s="68"/>
      <c r="E84" s="216">
        <v>42278</v>
      </c>
      <c r="F84" s="216" t="s">
        <v>182</v>
      </c>
      <c r="G84" s="217" t="s">
        <v>69</v>
      </c>
      <c r="H84" s="231">
        <f>C$34/12</f>
        <v>9.1666666666666665E-4</v>
      </c>
      <c r="I84" s="232">
        <f>(SUM('1.  LRAMVA Summary'!D$52:D$63)+SUM('1.  LRAMVA Summary'!D$64:D$65)*(MONTH($E84)-1)/12)*$H84</f>
        <v>3.4860836720938435</v>
      </c>
      <c r="J84" s="232">
        <f>(SUM('1.  LRAMVA Summary'!E$52:E$63)+SUM('1.  LRAMVA Summary'!E$64:E$65)*(MONTH($E84)-1)/12)*$H84</f>
        <v>78.899133323278718</v>
      </c>
      <c r="K84" s="232">
        <f>(SUM('1.  LRAMVA Summary'!F$52:F$63)+SUM('1.  LRAMVA Summary'!F$64:F$65)*(MONTH($E84)-1)/12)*$H84</f>
        <v>-34.442868198460225</v>
      </c>
      <c r="L84" s="232">
        <f>(SUM('1.  LRAMVA Summary'!G$52:G$63)+SUM('1.  LRAMVA Summary'!G$64:G$65)*(MONTH($E84)-1)/12)*$H84</f>
        <v>-7.0916724083333325</v>
      </c>
      <c r="M84" s="232">
        <f>(SUM('1.  LRAMVA Summary'!H$52:H$63)+SUM('1.  LRAMVA Summary'!H$64:H$65)*(MONTH($E84)-1)/12)*$H84</f>
        <v>-0.13653860000000001</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40.714137788579002</v>
      </c>
    </row>
    <row r="85" spans="2:23" s="9" customFormat="1">
      <c r="B85" s="68"/>
      <c r="E85" s="216">
        <v>42309</v>
      </c>
      <c r="F85" s="216" t="s">
        <v>182</v>
      </c>
      <c r="G85" s="217" t="s">
        <v>69</v>
      </c>
      <c r="H85" s="231">
        <f t="shared" ref="H85:H86" si="23">C$34/12</f>
        <v>9.1666666666666665E-4</v>
      </c>
      <c r="I85" s="232">
        <f>(SUM('1.  LRAMVA Summary'!D$52:D$63)+SUM('1.  LRAMVA Summary'!D$64:D$65)*(MONTH($E85)-1)/12)*$H85</f>
        <v>4.1140426862151971</v>
      </c>
      <c r="J85" s="232">
        <f>(SUM('1.  LRAMVA Summary'!E$52:E$63)+SUM('1.  LRAMVA Summary'!E$64:E$65)*(MONTH($E85)-1)/12)*$H85</f>
        <v>81.818548573132844</v>
      </c>
      <c r="K85" s="232">
        <f>(SUM('1.  LRAMVA Summary'!F$52:F$63)+SUM('1.  LRAMVA Summary'!F$64:F$65)*(MONTH($E85)-1)/12)*$H85</f>
        <v>-35.484952813585217</v>
      </c>
      <c r="L85" s="232">
        <f>(SUM('1.  LRAMVA Summary'!G$52:G$63)+SUM('1.  LRAMVA Summary'!G$64:G$65)*(MONTH($E85)-1)/12)*$H85</f>
        <v>-7.3119931499999993</v>
      </c>
      <c r="M85" s="232">
        <f>(SUM('1.  LRAMVA Summary'!H$52:H$63)+SUM('1.  LRAMVA Summary'!H$64:H$65)*(MONTH($E85)-1)/12)*$H85</f>
        <v>-0.14068914444444444</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42.994956151318384</v>
      </c>
    </row>
    <row r="86" spans="2:23" s="9" customFormat="1">
      <c r="B86" s="68"/>
      <c r="E86" s="216">
        <v>42339</v>
      </c>
      <c r="F86" s="216" t="s">
        <v>182</v>
      </c>
      <c r="G86" s="217" t="s">
        <v>69</v>
      </c>
      <c r="H86" s="231">
        <f t="shared" si="23"/>
        <v>9.1666666666666665E-4</v>
      </c>
      <c r="I86" s="232">
        <f>(SUM('1.  LRAMVA Summary'!D$52:D$63)+SUM('1.  LRAMVA Summary'!D$64:D$65)*(MONTH($E86)-1)/12)*$H86</f>
        <v>4.7420017003365524</v>
      </c>
      <c r="J86" s="232">
        <f>(SUM('1.  LRAMVA Summary'!E$52:E$63)+SUM('1.  LRAMVA Summary'!E$64:E$65)*(MONTH($E86)-1)/12)*$H86</f>
        <v>84.73796382298697</v>
      </c>
      <c r="K86" s="232">
        <f>(SUM('1.  LRAMVA Summary'!F$52:F$63)+SUM('1.  LRAMVA Summary'!F$64:F$65)*(MONTH($E86)-1)/12)*$H86</f>
        <v>-36.527037428710209</v>
      </c>
      <c r="L86" s="232">
        <f>(SUM('1.  LRAMVA Summary'!G$52:G$63)+SUM('1.  LRAMVA Summary'!G$64:G$65)*(MONTH($E86)-1)/12)*$H86</f>
        <v>-7.5323138916666652</v>
      </c>
      <c r="M86" s="232">
        <f>(SUM('1.  LRAMVA Summary'!H$52:H$63)+SUM('1.  LRAMVA Summary'!H$64:H$65)*(MONTH($E86)-1)/12)*$H86</f>
        <v>-0.1448396888888889</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45.275774514057765</v>
      </c>
    </row>
    <row r="87" spans="2:23" s="9" customFormat="1" ht="15.75" thickBot="1">
      <c r="B87" s="68"/>
      <c r="E87" s="218" t="s">
        <v>466</v>
      </c>
      <c r="F87" s="218"/>
      <c r="G87" s="219"/>
      <c r="H87" s="220"/>
      <c r="I87" s="221">
        <f>SUM(I74:I86)</f>
        <v>228.16103880024244</v>
      </c>
      <c r="J87" s="221">
        <f>SUM(J74:J86)</f>
        <v>1895.6760927550886</v>
      </c>
      <c r="K87" s="221">
        <f t="shared" ref="K87:O87" si="24">SUM(K74:K86)</f>
        <v>-574.41685226044854</v>
      </c>
      <c r="L87" s="221">
        <f t="shared" si="24"/>
        <v>-158.86014950749995</v>
      </c>
      <c r="M87" s="221">
        <f t="shared" si="24"/>
        <v>-3.275152335</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1387.284977452382</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430</v>
      </c>
      <c r="F89" s="227"/>
      <c r="G89" s="228"/>
      <c r="H89" s="229"/>
      <c r="I89" s="230">
        <f>I87+I88</f>
        <v>228.16103880024244</v>
      </c>
      <c r="J89" s="230">
        <f t="shared" ref="J89" si="26">J87+J88</f>
        <v>1895.6760927550886</v>
      </c>
      <c r="K89" s="230">
        <f t="shared" ref="K89" si="27">K87+K88</f>
        <v>-574.41685226044854</v>
      </c>
      <c r="L89" s="230">
        <f t="shared" ref="L89" si="28">L87+L88</f>
        <v>-158.86014950749995</v>
      </c>
      <c r="M89" s="230">
        <f t="shared" ref="M89" si="29">M87+M88</f>
        <v>-3.275152335</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1387.284977452382</v>
      </c>
    </row>
    <row r="90" spans="2:23" s="9" customFormat="1">
      <c r="B90" s="68"/>
      <c r="E90" s="216">
        <v>42370</v>
      </c>
      <c r="F90" s="216" t="s">
        <v>184</v>
      </c>
      <c r="G90" s="217" t="s">
        <v>65</v>
      </c>
      <c r="H90" s="231">
        <f>$C$35/12</f>
        <v>9.1666666666666665E-4</v>
      </c>
      <c r="I90" s="232">
        <f>(SUM('1.  LRAMVA Summary'!D$52:D$66)+SUM('1.  LRAMVA Summary'!D$67:D$68)*(MONTH($E90)-1)/12)*$H90</f>
        <v>5.369960714457906</v>
      </c>
      <c r="J90" s="232">
        <f>(SUM('1.  LRAMVA Summary'!E$52:E$66)+SUM('1.  LRAMVA Summary'!E$67:E$68)*(MONTH($E90)-1)/12)*$H90</f>
        <v>87.65737907284111</v>
      </c>
      <c r="K90" s="232">
        <f>(SUM('1.  LRAMVA Summary'!F$52:F$66)+SUM('1.  LRAMVA Summary'!F$67:F$68)*(MONTH($E90)-1)/12)*$H90</f>
        <v>-37.5691220438352</v>
      </c>
      <c r="L90" s="232">
        <f>(SUM('1.  LRAMVA Summary'!G$52:G$66)+SUM('1.  LRAMVA Summary'!G$67:G$68)*(MONTH($E90)-1)/12)*$H90</f>
        <v>-7.7526346333333329</v>
      </c>
      <c r="M90" s="232">
        <f>(SUM('1.  LRAMVA Summary'!H$52:H$66)+SUM('1.  LRAMVA Summary'!H$67:H$68)*(MONTH($E90)-1)/12)*$H90</f>
        <v>-0.14899023333333333</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47.55659287679714</v>
      </c>
    </row>
    <row r="91" spans="2:23" s="9" customFormat="1">
      <c r="B91" s="68"/>
      <c r="E91" s="216">
        <v>42401</v>
      </c>
      <c r="F91" s="216" t="s">
        <v>184</v>
      </c>
      <c r="G91" s="217" t="s">
        <v>65</v>
      </c>
      <c r="H91" s="231">
        <f t="shared" ref="H91:H92" si="34">$C$35/12</f>
        <v>9.1666666666666665E-4</v>
      </c>
      <c r="I91" s="232">
        <f>(SUM('1.  LRAMVA Summary'!D$52:D$66)+SUM('1.  LRAMVA Summary'!D$67:D$68)*(MONTH($E91)-1)/12)*$H91</f>
        <v>5.369960714457906</v>
      </c>
      <c r="J91" s="232">
        <f>(SUM('1.  LRAMVA Summary'!E$52:E$66)+SUM('1.  LRAMVA Summary'!E$67:E$68)*(MONTH($E91)-1)/12)*$H91</f>
        <v>87.65737907284111</v>
      </c>
      <c r="K91" s="232">
        <f>(SUM('1.  LRAMVA Summary'!F$52:F$66)+SUM('1.  LRAMVA Summary'!F$67:F$68)*(MONTH($E91)-1)/12)*$H91</f>
        <v>-37.5691220438352</v>
      </c>
      <c r="L91" s="232">
        <f>(SUM('1.  LRAMVA Summary'!G$52:G$66)+SUM('1.  LRAMVA Summary'!G$67:G$68)*(MONTH($E91)-1)/12)*$H91</f>
        <v>-7.7526346333333329</v>
      </c>
      <c r="M91" s="232">
        <f>(SUM('1.  LRAMVA Summary'!H$52:H$66)+SUM('1.  LRAMVA Summary'!H$67:H$68)*(MONTH($E91)-1)/12)*$H91</f>
        <v>-0.14899023333333333</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47.55659287679714</v>
      </c>
    </row>
    <row r="92" spans="2:23" s="9" customFormat="1" ht="14.25" customHeight="1">
      <c r="B92" s="68"/>
      <c r="E92" s="216">
        <v>42430</v>
      </c>
      <c r="F92" s="216" t="s">
        <v>184</v>
      </c>
      <c r="G92" s="217" t="s">
        <v>65</v>
      </c>
      <c r="H92" s="231">
        <f t="shared" si="34"/>
        <v>9.1666666666666665E-4</v>
      </c>
      <c r="I92" s="232">
        <f>(SUM('1.  LRAMVA Summary'!D$52:D$66)+SUM('1.  LRAMVA Summary'!D$67:D$68)*(MONTH($E92)-1)/12)*$H92</f>
        <v>5.369960714457906</v>
      </c>
      <c r="J92" s="232">
        <f>(SUM('1.  LRAMVA Summary'!E$52:E$66)+SUM('1.  LRAMVA Summary'!E$67:E$68)*(MONTH($E92)-1)/12)*$H92</f>
        <v>87.65737907284111</v>
      </c>
      <c r="K92" s="232">
        <f>(SUM('1.  LRAMVA Summary'!F$52:F$66)+SUM('1.  LRAMVA Summary'!F$67:F$68)*(MONTH($E92)-1)/12)*$H92</f>
        <v>-37.5691220438352</v>
      </c>
      <c r="L92" s="232">
        <f>(SUM('1.  LRAMVA Summary'!G$52:G$66)+SUM('1.  LRAMVA Summary'!G$67:G$68)*(MONTH($E92)-1)/12)*$H92</f>
        <v>-7.7526346333333329</v>
      </c>
      <c r="M92" s="232">
        <f>(SUM('1.  LRAMVA Summary'!H$52:H$66)+SUM('1.  LRAMVA Summary'!H$67:H$68)*(MONTH($E92)-1)/12)*$H92</f>
        <v>-0.14899023333333333</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47.55659287679714</v>
      </c>
    </row>
    <row r="93" spans="2:23" s="8" customFormat="1">
      <c r="B93" s="241"/>
      <c r="D93" s="9"/>
      <c r="E93" s="216">
        <v>42461</v>
      </c>
      <c r="F93" s="216" t="s">
        <v>184</v>
      </c>
      <c r="G93" s="217" t="s">
        <v>66</v>
      </c>
      <c r="H93" s="231">
        <f>$C$36/12</f>
        <v>9.1666666666666665E-4</v>
      </c>
      <c r="I93" s="232">
        <f>(SUM('1.  LRAMVA Summary'!D$52:D$66)+SUM('1.  LRAMVA Summary'!D$67:D$68)*(MONTH($E93)-1)/12)*$H93</f>
        <v>5.369960714457906</v>
      </c>
      <c r="J93" s="232">
        <f>(SUM('1.  LRAMVA Summary'!E$52:E$66)+SUM('1.  LRAMVA Summary'!E$67:E$68)*(MONTH($E93)-1)/12)*$H93</f>
        <v>87.65737907284111</v>
      </c>
      <c r="K93" s="232">
        <f>(SUM('1.  LRAMVA Summary'!F$52:F$66)+SUM('1.  LRAMVA Summary'!F$67:F$68)*(MONTH($E93)-1)/12)*$H93</f>
        <v>-37.5691220438352</v>
      </c>
      <c r="L93" s="232">
        <f>(SUM('1.  LRAMVA Summary'!G$52:G$66)+SUM('1.  LRAMVA Summary'!G$67:G$68)*(MONTH($E93)-1)/12)*$H93</f>
        <v>-7.7526346333333329</v>
      </c>
      <c r="M93" s="232">
        <f>(SUM('1.  LRAMVA Summary'!H$52:H$66)+SUM('1.  LRAMVA Summary'!H$67:H$68)*(MONTH($E93)-1)/12)*$H93</f>
        <v>-0.14899023333333333</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47.55659287679714</v>
      </c>
    </row>
    <row r="94" spans="2:23" s="9" customFormat="1">
      <c r="B94" s="68"/>
      <c r="E94" s="216">
        <v>42491</v>
      </c>
      <c r="F94" s="216" t="s">
        <v>184</v>
      </c>
      <c r="G94" s="217" t="s">
        <v>66</v>
      </c>
      <c r="H94" s="231">
        <f t="shared" ref="H94:H95" si="36">$C$36/12</f>
        <v>9.1666666666666665E-4</v>
      </c>
      <c r="I94" s="232">
        <f>(SUM('1.  LRAMVA Summary'!D$52:D$66)+SUM('1.  LRAMVA Summary'!D$67:D$68)*(MONTH($E94)-1)/12)*$H94</f>
        <v>5.369960714457906</v>
      </c>
      <c r="J94" s="232">
        <f>(SUM('1.  LRAMVA Summary'!E$52:E$66)+SUM('1.  LRAMVA Summary'!E$67:E$68)*(MONTH($E94)-1)/12)*$H94</f>
        <v>87.65737907284111</v>
      </c>
      <c r="K94" s="232">
        <f>(SUM('1.  LRAMVA Summary'!F$52:F$66)+SUM('1.  LRAMVA Summary'!F$67:F$68)*(MONTH($E94)-1)/12)*$H94</f>
        <v>-37.5691220438352</v>
      </c>
      <c r="L94" s="232">
        <f>(SUM('1.  LRAMVA Summary'!G$52:G$66)+SUM('1.  LRAMVA Summary'!G$67:G$68)*(MONTH($E94)-1)/12)*$H94</f>
        <v>-7.7526346333333329</v>
      </c>
      <c r="M94" s="232">
        <f>(SUM('1.  LRAMVA Summary'!H$52:H$66)+SUM('1.  LRAMVA Summary'!H$67:H$68)*(MONTH($E94)-1)/12)*$H94</f>
        <v>-0.14899023333333333</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47.55659287679714</v>
      </c>
    </row>
    <row r="95" spans="2:23" s="240" customFormat="1">
      <c r="B95" s="239"/>
      <c r="D95" s="9"/>
      <c r="E95" s="216">
        <v>42522</v>
      </c>
      <c r="F95" s="216" t="s">
        <v>184</v>
      </c>
      <c r="G95" s="217" t="s">
        <v>66</v>
      </c>
      <c r="H95" s="231">
        <f t="shared" si="36"/>
        <v>9.1666666666666665E-4</v>
      </c>
      <c r="I95" s="232">
        <f>(SUM('1.  LRAMVA Summary'!D$52:D$66)+SUM('1.  LRAMVA Summary'!D$67:D$68)*(MONTH($E95)-1)/12)*$H95</f>
        <v>5.369960714457906</v>
      </c>
      <c r="J95" s="232">
        <f>(SUM('1.  LRAMVA Summary'!E$52:E$66)+SUM('1.  LRAMVA Summary'!E$67:E$68)*(MONTH($E95)-1)/12)*$H95</f>
        <v>87.65737907284111</v>
      </c>
      <c r="K95" s="232">
        <f>(SUM('1.  LRAMVA Summary'!F$52:F$66)+SUM('1.  LRAMVA Summary'!F$67:F$68)*(MONTH($E95)-1)/12)*$H95</f>
        <v>-37.5691220438352</v>
      </c>
      <c r="L95" s="232">
        <f>(SUM('1.  LRAMVA Summary'!G$52:G$66)+SUM('1.  LRAMVA Summary'!G$67:G$68)*(MONTH($E95)-1)/12)*$H95</f>
        <v>-7.7526346333333329</v>
      </c>
      <c r="M95" s="232">
        <f>(SUM('1.  LRAMVA Summary'!H$52:H$66)+SUM('1.  LRAMVA Summary'!H$67:H$68)*(MONTH($E95)-1)/12)*$H95</f>
        <v>-0.14899023333333333</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47.55659287679714</v>
      </c>
    </row>
    <row r="96" spans="2:23" s="9" customFormat="1">
      <c r="B96" s="68"/>
      <c r="E96" s="216">
        <v>42552</v>
      </c>
      <c r="F96" s="216" t="s">
        <v>184</v>
      </c>
      <c r="G96" s="217" t="s">
        <v>68</v>
      </c>
      <c r="H96" s="231">
        <f>$C$37/12</f>
        <v>9.1666666666666665E-4</v>
      </c>
      <c r="I96" s="232">
        <f>(SUM('1.  LRAMVA Summary'!D$52:D$66)+SUM('1.  LRAMVA Summary'!D$67:D$68)*(MONTH($E96)-1)/12)*$H96</f>
        <v>5.369960714457906</v>
      </c>
      <c r="J96" s="232">
        <f>(SUM('1.  LRAMVA Summary'!E$52:E$66)+SUM('1.  LRAMVA Summary'!E$67:E$68)*(MONTH($E96)-1)/12)*$H96</f>
        <v>87.65737907284111</v>
      </c>
      <c r="K96" s="232">
        <f>(SUM('1.  LRAMVA Summary'!F$52:F$66)+SUM('1.  LRAMVA Summary'!F$67:F$68)*(MONTH($E96)-1)/12)*$H96</f>
        <v>-37.5691220438352</v>
      </c>
      <c r="L96" s="232">
        <f>(SUM('1.  LRAMVA Summary'!G$52:G$66)+SUM('1.  LRAMVA Summary'!G$67:G$68)*(MONTH($E96)-1)/12)*$H96</f>
        <v>-7.7526346333333329</v>
      </c>
      <c r="M96" s="232">
        <f>(SUM('1.  LRAMVA Summary'!H$52:H$66)+SUM('1.  LRAMVA Summary'!H$67:H$68)*(MONTH($E96)-1)/12)*$H96</f>
        <v>-0.14899023333333333</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47.55659287679714</v>
      </c>
    </row>
    <row r="97" spans="2:23" s="9" customFormat="1">
      <c r="B97" s="68"/>
      <c r="E97" s="216">
        <v>42583</v>
      </c>
      <c r="F97" s="216" t="s">
        <v>184</v>
      </c>
      <c r="G97" s="217" t="s">
        <v>68</v>
      </c>
      <c r="H97" s="231">
        <f t="shared" ref="H97:H98" si="37">$C$37/12</f>
        <v>9.1666666666666665E-4</v>
      </c>
      <c r="I97" s="232">
        <f>(SUM('1.  LRAMVA Summary'!D$52:D$66)+SUM('1.  LRAMVA Summary'!D$67:D$68)*(MONTH($E97)-1)/12)*$H97</f>
        <v>5.369960714457906</v>
      </c>
      <c r="J97" s="232">
        <f>(SUM('1.  LRAMVA Summary'!E$52:E$66)+SUM('1.  LRAMVA Summary'!E$67:E$68)*(MONTH($E97)-1)/12)*$H97</f>
        <v>87.65737907284111</v>
      </c>
      <c r="K97" s="232">
        <f>(SUM('1.  LRAMVA Summary'!F$52:F$66)+SUM('1.  LRAMVA Summary'!F$67:F$68)*(MONTH($E97)-1)/12)*$H97</f>
        <v>-37.5691220438352</v>
      </c>
      <c r="L97" s="232">
        <f>(SUM('1.  LRAMVA Summary'!G$52:G$66)+SUM('1.  LRAMVA Summary'!G$67:G$68)*(MONTH($E97)-1)/12)*$H97</f>
        <v>-7.7526346333333329</v>
      </c>
      <c r="M97" s="232">
        <f>(SUM('1.  LRAMVA Summary'!H$52:H$66)+SUM('1.  LRAMVA Summary'!H$67:H$68)*(MONTH($E97)-1)/12)*$H97</f>
        <v>-0.14899023333333333</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47.55659287679714</v>
      </c>
    </row>
    <row r="98" spans="2:23" s="9" customFormat="1">
      <c r="B98" s="68"/>
      <c r="E98" s="216">
        <v>42614</v>
      </c>
      <c r="F98" s="216" t="s">
        <v>184</v>
      </c>
      <c r="G98" s="217" t="s">
        <v>68</v>
      </c>
      <c r="H98" s="231">
        <f t="shared" si="37"/>
        <v>9.1666666666666665E-4</v>
      </c>
      <c r="I98" s="232">
        <f>(SUM('1.  LRAMVA Summary'!D$52:D$66)+SUM('1.  LRAMVA Summary'!D$67:D$68)*(MONTH($E98)-1)/12)*$H98</f>
        <v>5.369960714457906</v>
      </c>
      <c r="J98" s="232">
        <f>(SUM('1.  LRAMVA Summary'!E$52:E$66)+SUM('1.  LRAMVA Summary'!E$67:E$68)*(MONTH($E98)-1)/12)*$H98</f>
        <v>87.65737907284111</v>
      </c>
      <c r="K98" s="232">
        <f>(SUM('1.  LRAMVA Summary'!F$52:F$66)+SUM('1.  LRAMVA Summary'!F$67:F$68)*(MONTH($E98)-1)/12)*$H98</f>
        <v>-37.5691220438352</v>
      </c>
      <c r="L98" s="232">
        <f>(SUM('1.  LRAMVA Summary'!G$52:G$66)+SUM('1.  LRAMVA Summary'!G$67:G$68)*(MONTH($E98)-1)/12)*$H98</f>
        <v>-7.7526346333333329</v>
      </c>
      <c r="M98" s="232">
        <f>(SUM('1.  LRAMVA Summary'!H$52:H$66)+SUM('1.  LRAMVA Summary'!H$67:H$68)*(MONTH($E98)-1)/12)*$H98</f>
        <v>-0.14899023333333333</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47.55659287679714</v>
      </c>
    </row>
    <row r="99" spans="2:23" s="9" customFormat="1">
      <c r="B99" s="68"/>
      <c r="E99" s="216">
        <v>42644</v>
      </c>
      <c r="F99" s="216" t="s">
        <v>184</v>
      </c>
      <c r="G99" s="217" t="s">
        <v>69</v>
      </c>
      <c r="H99" s="212">
        <f>$C$38/12</f>
        <v>9.1666666666666665E-4</v>
      </c>
      <c r="I99" s="232">
        <f>(SUM('1.  LRAMVA Summary'!D$52:D$66)+SUM('1.  LRAMVA Summary'!D$67:D$68)*(MONTH($E99)-1)/12)*$H99</f>
        <v>5.369960714457906</v>
      </c>
      <c r="J99" s="232">
        <f>(SUM('1.  LRAMVA Summary'!E$52:E$66)+SUM('1.  LRAMVA Summary'!E$67:E$68)*(MONTH($E99)-1)/12)*$H99</f>
        <v>87.65737907284111</v>
      </c>
      <c r="K99" s="232">
        <f>(SUM('1.  LRAMVA Summary'!F$52:F$66)+SUM('1.  LRAMVA Summary'!F$67:F$68)*(MONTH($E99)-1)/12)*$H99</f>
        <v>-37.5691220438352</v>
      </c>
      <c r="L99" s="232">
        <f>(SUM('1.  LRAMVA Summary'!G$52:G$66)+SUM('1.  LRAMVA Summary'!G$67:G$68)*(MONTH($E99)-1)/12)*$H99</f>
        <v>-7.7526346333333329</v>
      </c>
      <c r="M99" s="232">
        <f>(SUM('1.  LRAMVA Summary'!H$52:H$66)+SUM('1.  LRAMVA Summary'!H$67:H$68)*(MONTH($E99)-1)/12)*$H99</f>
        <v>-0.14899023333333333</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47.55659287679714</v>
      </c>
    </row>
    <row r="100" spans="2:23" s="9" customFormat="1">
      <c r="B100" s="68"/>
      <c r="E100" s="216">
        <v>42675</v>
      </c>
      <c r="F100" s="216" t="s">
        <v>184</v>
      </c>
      <c r="G100" s="217" t="s">
        <v>69</v>
      </c>
      <c r="H100" s="212">
        <f t="shared" ref="H100:H101" si="38">$C$38/12</f>
        <v>9.1666666666666665E-4</v>
      </c>
      <c r="I100" s="232">
        <f>(SUM('1.  LRAMVA Summary'!D$52:D$66)+SUM('1.  LRAMVA Summary'!D$67:D$68)*(MONTH($E100)-1)/12)*$H100</f>
        <v>5.369960714457906</v>
      </c>
      <c r="J100" s="232">
        <f>(SUM('1.  LRAMVA Summary'!E$52:E$66)+SUM('1.  LRAMVA Summary'!E$67:E$68)*(MONTH($E100)-1)/12)*$H100</f>
        <v>87.65737907284111</v>
      </c>
      <c r="K100" s="232">
        <f>(SUM('1.  LRAMVA Summary'!F$52:F$66)+SUM('1.  LRAMVA Summary'!F$67:F$68)*(MONTH($E100)-1)/12)*$H100</f>
        <v>-37.5691220438352</v>
      </c>
      <c r="L100" s="232">
        <f>(SUM('1.  LRAMVA Summary'!G$52:G$66)+SUM('1.  LRAMVA Summary'!G$67:G$68)*(MONTH($E100)-1)/12)*$H100</f>
        <v>-7.7526346333333329</v>
      </c>
      <c r="M100" s="232">
        <f>(SUM('1.  LRAMVA Summary'!H$52:H$66)+SUM('1.  LRAMVA Summary'!H$67:H$68)*(MONTH($E100)-1)/12)*$H100</f>
        <v>-0.14899023333333333</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47.55659287679714</v>
      </c>
    </row>
    <row r="101" spans="2:23" s="9" customFormat="1">
      <c r="B101" s="68"/>
      <c r="E101" s="216">
        <v>42705</v>
      </c>
      <c r="F101" s="216" t="s">
        <v>184</v>
      </c>
      <c r="G101" s="217" t="s">
        <v>69</v>
      </c>
      <c r="H101" s="212">
        <f t="shared" si="38"/>
        <v>9.1666666666666665E-4</v>
      </c>
      <c r="I101" s="232">
        <f>(SUM('1.  LRAMVA Summary'!D$52:D$66)+SUM('1.  LRAMVA Summary'!D$67:D$68)*(MONTH($E101)-1)/12)*$H101</f>
        <v>5.369960714457906</v>
      </c>
      <c r="J101" s="232">
        <f>(SUM('1.  LRAMVA Summary'!E$52:E$66)+SUM('1.  LRAMVA Summary'!E$67:E$68)*(MONTH($E101)-1)/12)*$H101</f>
        <v>87.65737907284111</v>
      </c>
      <c r="K101" s="232">
        <f>(SUM('1.  LRAMVA Summary'!F$52:F$66)+SUM('1.  LRAMVA Summary'!F$67:F$68)*(MONTH($E101)-1)/12)*$H101</f>
        <v>-37.5691220438352</v>
      </c>
      <c r="L101" s="232">
        <f>(SUM('1.  LRAMVA Summary'!G$52:G$66)+SUM('1.  LRAMVA Summary'!G$67:G$68)*(MONTH($E101)-1)/12)*$H101</f>
        <v>-7.7526346333333329</v>
      </c>
      <c r="M101" s="232">
        <f>(SUM('1.  LRAMVA Summary'!H$52:H$66)+SUM('1.  LRAMVA Summary'!H$67:H$68)*(MONTH($E101)-1)/12)*$H101</f>
        <v>-0.14899023333333333</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47.55659287679714</v>
      </c>
    </row>
    <row r="102" spans="2:23" s="9" customFormat="1" ht="15.75" thickBot="1">
      <c r="B102" s="68"/>
      <c r="E102" s="218" t="s">
        <v>467</v>
      </c>
      <c r="F102" s="218"/>
      <c r="G102" s="219"/>
      <c r="H102" s="220"/>
      <c r="I102" s="221">
        <f>SUM(I89:I101)</f>
        <v>292.60056737373748</v>
      </c>
      <c r="J102" s="221">
        <f>SUM(J89:J101)</f>
        <v>2947.5646416291829</v>
      </c>
      <c r="K102" s="221">
        <f t="shared" ref="K102:O102" si="39">SUM(K89:K101)</f>
        <v>-1025.2463167864714</v>
      </c>
      <c r="L102" s="221">
        <f t="shared" si="39"/>
        <v>-251.89176510750008</v>
      </c>
      <c r="M102" s="221">
        <f t="shared" si="39"/>
        <v>-5.0630351350000016</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1957.9640919739477</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431</v>
      </c>
      <c r="F104" s="227"/>
      <c r="G104" s="228"/>
      <c r="H104" s="229"/>
      <c r="I104" s="230">
        <f>I102+I103</f>
        <v>292.60056737373748</v>
      </c>
      <c r="J104" s="230">
        <f t="shared" ref="J104" si="41">J102+J103</f>
        <v>2947.5646416291829</v>
      </c>
      <c r="K104" s="230">
        <f t="shared" ref="K104" si="42">K102+K103</f>
        <v>-1025.2463167864714</v>
      </c>
      <c r="L104" s="230">
        <f t="shared" ref="L104" si="43">L102+L103</f>
        <v>-251.89176510750008</v>
      </c>
      <c r="M104" s="230">
        <f t="shared" ref="M104" si="44">M102+M103</f>
        <v>-5.0630351350000016</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1957.9640919739477</v>
      </c>
    </row>
    <row r="105" spans="2:23" s="9" customFormat="1">
      <c r="B105" s="68"/>
      <c r="E105" s="216">
        <v>42736</v>
      </c>
      <c r="F105" s="216" t="s">
        <v>185</v>
      </c>
      <c r="G105" s="217" t="s">
        <v>65</v>
      </c>
      <c r="H105" s="242">
        <f>$C$39/12</f>
        <v>9.1666666666666665E-4</v>
      </c>
      <c r="I105" s="232">
        <f>(SUM('1.  LRAMVA Summary'!D$52:D$69)+SUM('1.  LRAMVA Summary'!D$70:D$71)*(MONTH($E105)-1)/12)*$H105</f>
        <v>5.369960714457906</v>
      </c>
      <c r="J105" s="232">
        <f>(SUM('1.  LRAMVA Summary'!E$52:E$69)+SUM('1.  LRAMVA Summary'!E$70:E$71)*(MONTH($E105)-1)/12)*$H105</f>
        <v>87.65737907284111</v>
      </c>
      <c r="K105" s="232">
        <f>(SUM('1.  LRAMVA Summary'!F$52:F$69)+SUM('1.  LRAMVA Summary'!F$70:F$71)*(MONTH($E105)-1)/12)*$H105</f>
        <v>-37.5691220438352</v>
      </c>
      <c r="L105" s="232">
        <f>(SUM('1.  LRAMVA Summary'!G$52:G$69)+SUM('1.  LRAMVA Summary'!G$70:G$71)*(MONTH($E105)-1)/12)*$H105</f>
        <v>-7.7526346333333329</v>
      </c>
      <c r="M105" s="232">
        <f>(SUM('1.  LRAMVA Summary'!H$52:H$69)+SUM('1.  LRAMVA Summary'!H$70:H$71)*(MONTH($E105)-1)/12)*$H105</f>
        <v>-0.14899023333333333</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47.55659287679714</v>
      </c>
    </row>
    <row r="106" spans="2:23" s="9" customFormat="1">
      <c r="B106" s="68"/>
      <c r="E106" s="216">
        <v>42767</v>
      </c>
      <c r="F106" s="216" t="s">
        <v>185</v>
      </c>
      <c r="G106" s="217" t="s">
        <v>65</v>
      </c>
      <c r="H106" s="242">
        <f t="shared" ref="H106:H107" si="48">$C$39/12</f>
        <v>9.1666666666666665E-4</v>
      </c>
      <c r="I106" s="232">
        <f>(SUM('1.  LRAMVA Summary'!D$52:D$69)+SUM('1.  LRAMVA Summary'!D$70:D$71)*(MONTH($E106)-1)/12)*$H106</f>
        <v>5.369960714457906</v>
      </c>
      <c r="J106" s="232">
        <f>(SUM('1.  LRAMVA Summary'!E$52:E$69)+SUM('1.  LRAMVA Summary'!E$70:E$71)*(MONTH($E106)-1)/12)*$H106</f>
        <v>87.65737907284111</v>
      </c>
      <c r="K106" s="232">
        <f>(SUM('1.  LRAMVA Summary'!F$52:F$69)+SUM('1.  LRAMVA Summary'!F$70:F$71)*(MONTH($E106)-1)/12)*$H106</f>
        <v>-37.5691220438352</v>
      </c>
      <c r="L106" s="232">
        <f>(SUM('1.  LRAMVA Summary'!G$52:G$69)+SUM('1.  LRAMVA Summary'!G$70:G$71)*(MONTH($E106)-1)/12)*$H106</f>
        <v>-7.7526346333333329</v>
      </c>
      <c r="M106" s="232">
        <f>(SUM('1.  LRAMVA Summary'!H$52:H$69)+SUM('1.  LRAMVA Summary'!H$70:H$71)*(MONTH($E106)-1)/12)*$H106</f>
        <v>-0.14899023333333333</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47.55659287679714</v>
      </c>
    </row>
    <row r="107" spans="2:23" s="9" customFormat="1">
      <c r="B107" s="68"/>
      <c r="E107" s="216">
        <v>42795</v>
      </c>
      <c r="F107" s="216" t="s">
        <v>185</v>
      </c>
      <c r="G107" s="217" t="s">
        <v>65</v>
      </c>
      <c r="H107" s="242">
        <f t="shared" si="48"/>
        <v>9.1666666666666665E-4</v>
      </c>
      <c r="I107" s="232">
        <f>(SUM('1.  LRAMVA Summary'!D$52:D$69)+SUM('1.  LRAMVA Summary'!D$70:D$71)*(MONTH($E107)-1)/12)*$H107</f>
        <v>5.369960714457906</v>
      </c>
      <c r="J107" s="232">
        <f>(SUM('1.  LRAMVA Summary'!E$52:E$69)+SUM('1.  LRAMVA Summary'!E$70:E$71)*(MONTH($E107)-1)/12)*$H107</f>
        <v>87.65737907284111</v>
      </c>
      <c r="K107" s="232">
        <f>(SUM('1.  LRAMVA Summary'!F$52:F$69)+SUM('1.  LRAMVA Summary'!F$70:F$71)*(MONTH($E107)-1)/12)*$H107</f>
        <v>-37.5691220438352</v>
      </c>
      <c r="L107" s="232">
        <f>(SUM('1.  LRAMVA Summary'!G$52:G$69)+SUM('1.  LRAMVA Summary'!G$70:G$71)*(MONTH($E107)-1)/12)*$H107</f>
        <v>-7.7526346333333329</v>
      </c>
      <c r="M107" s="232">
        <f>(SUM('1.  LRAMVA Summary'!H$52:H$69)+SUM('1.  LRAMVA Summary'!H$70:H$71)*(MONTH($E107)-1)/12)*$H107</f>
        <v>-0.14899023333333333</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47.55659287679714</v>
      </c>
    </row>
    <row r="108" spans="2:23" s="8" customFormat="1">
      <c r="B108" s="241"/>
      <c r="E108" s="216">
        <v>42826</v>
      </c>
      <c r="F108" s="216" t="s">
        <v>185</v>
      </c>
      <c r="G108" s="217" t="s">
        <v>66</v>
      </c>
      <c r="H108" s="242">
        <f>$C$40/12</f>
        <v>9.1666666666666665E-4</v>
      </c>
      <c r="I108" s="232">
        <f>(SUM('1.  LRAMVA Summary'!D$52:D$69)+SUM('1.  LRAMVA Summary'!D$70:D$71)*(MONTH($E108)-1)/12)*$H108</f>
        <v>5.369960714457906</v>
      </c>
      <c r="J108" s="232">
        <f>(SUM('1.  LRAMVA Summary'!E$52:E$69)+SUM('1.  LRAMVA Summary'!E$70:E$71)*(MONTH($E108)-1)/12)*$H108</f>
        <v>87.65737907284111</v>
      </c>
      <c r="K108" s="232">
        <f>(SUM('1.  LRAMVA Summary'!F$52:F$69)+SUM('1.  LRAMVA Summary'!F$70:F$71)*(MONTH($E108)-1)/12)*$H108</f>
        <v>-37.5691220438352</v>
      </c>
      <c r="L108" s="232">
        <f>(SUM('1.  LRAMVA Summary'!G$52:G$69)+SUM('1.  LRAMVA Summary'!G$70:G$71)*(MONTH($E108)-1)/12)*$H108</f>
        <v>-7.7526346333333329</v>
      </c>
      <c r="M108" s="232">
        <f>(SUM('1.  LRAMVA Summary'!H$52:H$69)+SUM('1.  LRAMVA Summary'!H$70:H$71)*(MONTH($E108)-1)/12)*$H108</f>
        <v>-0.14899023333333333</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47.55659287679714</v>
      </c>
    </row>
    <row r="109" spans="2:23" s="9" customFormat="1">
      <c r="B109" s="68"/>
      <c r="E109" s="216">
        <v>42856</v>
      </c>
      <c r="F109" s="216" t="s">
        <v>185</v>
      </c>
      <c r="G109" s="217" t="s">
        <v>66</v>
      </c>
      <c r="H109" s="242">
        <f t="shared" ref="H109:H110" si="50">$C$40/12</f>
        <v>9.1666666666666665E-4</v>
      </c>
      <c r="I109" s="232">
        <f>(SUM('1.  LRAMVA Summary'!D$52:D$69)+SUM('1.  LRAMVA Summary'!D$70:D$71)*(MONTH($E109)-1)/12)*$H109</f>
        <v>5.369960714457906</v>
      </c>
      <c r="J109" s="232">
        <f>(SUM('1.  LRAMVA Summary'!E$52:E$69)+SUM('1.  LRAMVA Summary'!E$70:E$71)*(MONTH($E109)-1)/12)*$H109</f>
        <v>87.65737907284111</v>
      </c>
      <c r="K109" s="232">
        <f>(SUM('1.  LRAMVA Summary'!F$52:F$69)+SUM('1.  LRAMVA Summary'!F$70:F$71)*(MONTH($E109)-1)/12)*$H109</f>
        <v>-37.5691220438352</v>
      </c>
      <c r="L109" s="232">
        <f>(SUM('1.  LRAMVA Summary'!G$52:G$69)+SUM('1.  LRAMVA Summary'!G$70:G$71)*(MONTH($E109)-1)/12)*$H109</f>
        <v>-7.7526346333333329</v>
      </c>
      <c r="M109" s="232">
        <f>(SUM('1.  LRAMVA Summary'!H$52:H$69)+SUM('1.  LRAMVA Summary'!H$70:H$71)*(MONTH($E109)-1)/12)*$H109</f>
        <v>-0.14899023333333333</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47.55659287679714</v>
      </c>
    </row>
    <row r="110" spans="2:23" s="240" customFormat="1">
      <c r="B110" s="239"/>
      <c r="E110" s="216">
        <v>42887</v>
      </c>
      <c r="F110" s="216" t="s">
        <v>185</v>
      </c>
      <c r="G110" s="217" t="s">
        <v>66</v>
      </c>
      <c r="H110" s="242">
        <f t="shared" si="50"/>
        <v>9.1666666666666665E-4</v>
      </c>
      <c r="I110" s="232">
        <f>(SUM('1.  LRAMVA Summary'!D$52:D$69)+SUM('1.  LRAMVA Summary'!D$70:D$71)*(MONTH($E110)-1)/12)*$H110</f>
        <v>5.369960714457906</v>
      </c>
      <c r="J110" s="232">
        <f>(SUM('1.  LRAMVA Summary'!E$52:E$69)+SUM('1.  LRAMVA Summary'!E$70:E$71)*(MONTH($E110)-1)/12)*$H110</f>
        <v>87.65737907284111</v>
      </c>
      <c r="K110" s="232">
        <f>(SUM('1.  LRAMVA Summary'!F$52:F$69)+SUM('1.  LRAMVA Summary'!F$70:F$71)*(MONTH($E110)-1)/12)*$H110</f>
        <v>-37.5691220438352</v>
      </c>
      <c r="L110" s="232">
        <f>(SUM('1.  LRAMVA Summary'!G$52:G$69)+SUM('1.  LRAMVA Summary'!G$70:G$71)*(MONTH($E110)-1)/12)*$H110</f>
        <v>-7.7526346333333329</v>
      </c>
      <c r="M110" s="232">
        <f>(SUM('1.  LRAMVA Summary'!H$52:H$69)+SUM('1.  LRAMVA Summary'!H$70:H$71)*(MONTH($E110)-1)/12)*$H110</f>
        <v>-0.14899023333333333</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47.55659287679714</v>
      </c>
    </row>
    <row r="111" spans="2:23" s="9" customFormat="1">
      <c r="B111" s="68"/>
      <c r="E111" s="216">
        <v>42917</v>
      </c>
      <c r="F111" s="216" t="s">
        <v>185</v>
      </c>
      <c r="G111" s="217" t="s">
        <v>68</v>
      </c>
      <c r="H111" s="242">
        <f>$C$41/12</f>
        <v>9.1666666666666665E-4</v>
      </c>
      <c r="I111" s="232">
        <f>(SUM('1.  LRAMVA Summary'!D$52:D$69)+SUM('1.  LRAMVA Summary'!D$70:D$71)*(MONTH($E111)-1)/12)*$H111</f>
        <v>5.369960714457906</v>
      </c>
      <c r="J111" s="232">
        <f>(SUM('1.  LRAMVA Summary'!E$52:E$69)+SUM('1.  LRAMVA Summary'!E$70:E$71)*(MONTH($E111)-1)/12)*$H111</f>
        <v>87.65737907284111</v>
      </c>
      <c r="K111" s="232">
        <f>(SUM('1.  LRAMVA Summary'!F$52:F$69)+SUM('1.  LRAMVA Summary'!F$70:F$71)*(MONTH($E111)-1)/12)*$H111</f>
        <v>-37.5691220438352</v>
      </c>
      <c r="L111" s="232">
        <f>(SUM('1.  LRAMVA Summary'!G$52:G$69)+SUM('1.  LRAMVA Summary'!G$70:G$71)*(MONTH($E111)-1)/12)*$H111</f>
        <v>-7.7526346333333329</v>
      </c>
      <c r="M111" s="232">
        <f>(SUM('1.  LRAMVA Summary'!H$52:H$69)+SUM('1.  LRAMVA Summary'!H$70:H$71)*(MONTH($E111)-1)/12)*$H111</f>
        <v>-0.14899023333333333</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47.55659287679714</v>
      </c>
    </row>
    <row r="112" spans="2:23" s="9" customFormat="1">
      <c r="B112" s="68"/>
      <c r="E112" s="216">
        <v>42948</v>
      </c>
      <c r="F112" s="216" t="s">
        <v>185</v>
      </c>
      <c r="G112" s="217" t="s">
        <v>68</v>
      </c>
      <c r="H112" s="242">
        <f t="shared" ref="H112:H113" si="51">$C$41/12</f>
        <v>9.1666666666666665E-4</v>
      </c>
      <c r="I112" s="232">
        <f>(SUM('1.  LRAMVA Summary'!D$52:D$69)+SUM('1.  LRAMVA Summary'!D$70:D$71)*(MONTH($E112)-1)/12)*$H112</f>
        <v>5.369960714457906</v>
      </c>
      <c r="J112" s="232">
        <f>(SUM('1.  LRAMVA Summary'!E$52:E$69)+SUM('1.  LRAMVA Summary'!E$70:E$71)*(MONTH($E112)-1)/12)*$H112</f>
        <v>87.65737907284111</v>
      </c>
      <c r="K112" s="232">
        <f>(SUM('1.  LRAMVA Summary'!F$52:F$69)+SUM('1.  LRAMVA Summary'!F$70:F$71)*(MONTH($E112)-1)/12)*$H112</f>
        <v>-37.5691220438352</v>
      </c>
      <c r="L112" s="232">
        <f>(SUM('1.  LRAMVA Summary'!G$52:G$69)+SUM('1.  LRAMVA Summary'!G$70:G$71)*(MONTH($E112)-1)/12)*$H112</f>
        <v>-7.7526346333333329</v>
      </c>
      <c r="M112" s="232">
        <f>(SUM('1.  LRAMVA Summary'!H$52:H$69)+SUM('1.  LRAMVA Summary'!H$70:H$71)*(MONTH($E112)-1)/12)*$H112</f>
        <v>-0.14899023333333333</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47.55659287679714</v>
      </c>
    </row>
    <row r="113" spans="2:23" s="9" customFormat="1">
      <c r="B113" s="68"/>
      <c r="E113" s="216">
        <v>42979</v>
      </c>
      <c r="F113" s="216" t="s">
        <v>185</v>
      </c>
      <c r="G113" s="217" t="s">
        <v>68</v>
      </c>
      <c r="H113" s="242">
        <f t="shared" si="51"/>
        <v>9.1666666666666665E-4</v>
      </c>
      <c r="I113" s="232">
        <f>(SUM('1.  LRAMVA Summary'!D$52:D$69)+SUM('1.  LRAMVA Summary'!D$70:D$71)*(MONTH($E113)-1)/12)*$H113</f>
        <v>5.369960714457906</v>
      </c>
      <c r="J113" s="232">
        <f>(SUM('1.  LRAMVA Summary'!E$52:E$69)+SUM('1.  LRAMVA Summary'!E$70:E$71)*(MONTH($E113)-1)/12)*$H113</f>
        <v>87.65737907284111</v>
      </c>
      <c r="K113" s="232">
        <f>(SUM('1.  LRAMVA Summary'!F$52:F$69)+SUM('1.  LRAMVA Summary'!F$70:F$71)*(MONTH($E113)-1)/12)*$H113</f>
        <v>-37.5691220438352</v>
      </c>
      <c r="L113" s="232">
        <f>(SUM('1.  LRAMVA Summary'!G$52:G$69)+SUM('1.  LRAMVA Summary'!G$70:G$71)*(MONTH($E113)-1)/12)*$H113</f>
        <v>-7.7526346333333329</v>
      </c>
      <c r="M113" s="232">
        <f>(SUM('1.  LRAMVA Summary'!H$52:H$69)+SUM('1.  LRAMVA Summary'!H$70:H$71)*(MONTH($E113)-1)/12)*$H113</f>
        <v>-0.14899023333333333</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47.55659287679714</v>
      </c>
    </row>
    <row r="114" spans="2:23" s="9" customFormat="1">
      <c r="B114" s="68"/>
      <c r="E114" s="216">
        <v>43009</v>
      </c>
      <c r="F114" s="216" t="s">
        <v>185</v>
      </c>
      <c r="G114" s="217" t="s">
        <v>69</v>
      </c>
      <c r="H114" s="242">
        <f>$C$42/12</f>
        <v>1.25E-3</v>
      </c>
      <c r="I114" s="232">
        <f>(SUM('1.  LRAMVA Summary'!D$52:D$69)+SUM('1.  LRAMVA Summary'!D$70:D$71)*(MONTH($E114)-1)/12)*$H114</f>
        <v>7.3226737015335086</v>
      </c>
      <c r="J114" s="232">
        <f>(SUM('1.  LRAMVA Summary'!E$52:E$69)+SUM('1.  LRAMVA Summary'!E$70:E$71)*(MONTH($E114)-1)/12)*$H114</f>
        <v>119.53278964478334</v>
      </c>
      <c r="K114" s="232">
        <f>(SUM('1.  LRAMVA Summary'!F$52:F$69)+SUM('1.  LRAMVA Summary'!F$70:F$71)*(MONTH($E114)-1)/12)*$H114</f>
        <v>-51.230620968866191</v>
      </c>
      <c r="L114" s="232">
        <f>(SUM('1.  LRAMVA Summary'!G$52:G$69)+SUM('1.  LRAMVA Summary'!G$70:G$71)*(MONTH($E114)-1)/12)*$H114</f>
        <v>-10.5717745</v>
      </c>
      <c r="M114" s="232">
        <f>(SUM('1.  LRAMVA Summary'!H$52:H$69)+SUM('1.  LRAMVA Summary'!H$70:H$71)*(MONTH($E114)-1)/12)*$H114</f>
        <v>-0.2031685</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64.84989937745064</v>
      </c>
    </row>
    <row r="115" spans="2:23" s="9" customFormat="1">
      <c r="B115" s="68"/>
      <c r="E115" s="216">
        <v>43040</v>
      </c>
      <c r="F115" s="216" t="s">
        <v>185</v>
      </c>
      <c r="G115" s="217" t="s">
        <v>69</v>
      </c>
      <c r="H115" s="242">
        <f t="shared" ref="H115:H116" si="52">$C$42/12</f>
        <v>1.25E-3</v>
      </c>
      <c r="I115" s="232">
        <f>(SUM('1.  LRAMVA Summary'!D$52:D$69)+SUM('1.  LRAMVA Summary'!D$70:D$71)*(MONTH($E115)-1)/12)*$H115</f>
        <v>7.3226737015335086</v>
      </c>
      <c r="J115" s="232">
        <f>(SUM('1.  LRAMVA Summary'!E$52:E$69)+SUM('1.  LRAMVA Summary'!E$70:E$71)*(MONTH($E115)-1)/12)*$H115</f>
        <v>119.53278964478334</v>
      </c>
      <c r="K115" s="232">
        <f>(SUM('1.  LRAMVA Summary'!F$52:F$69)+SUM('1.  LRAMVA Summary'!F$70:F$71)*(MONTH($E115)-1)/12)*$H115</f>
        <v>-51.230620968866191</v>
      </c>
      <c r="L115" s="232">
        <f>(SUM('1.  LRAMVA Summary'!G$52:G$69)+SUM('1.  LRAMVA Summary'!G$70:G$71)*(MONTH($E115)-1)/12)*$H115</f>
        <v>-10.5717745</v>
      </c>
      <c r="M115" s="232">
        <f>(SUM('1.  LRAMVA Summary'!H$52:H$69)+SUM('1.  LRAMVA Summary'!H$70:H$71)*(MONTH($E115)-1)/12)*$H115</f>
        <v>-0.2031685</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64.84989937745064</v>
      </c>
    </row>
    <row r="116" spans="2:23" s="9" customFormat="1">
      <c r="B116" s="68"/>
      <c r="E116" s="216">
        <v>43070</v>
      </c>
      <c r="F116" s="216" t="s">
        <v>185</v>
      </c>
      <c r="G116" s="217" t="s">
        <v>69</v>
      </c>
      <c r="H116" s="242">
        <f t="shared" si="52"/>
        <v>1.25E-3</v>
      </c>
      <c r="I116" s="232">
        <f>(SUM('1.  LRAMVA Summary'!D$52:D$69)+SUM('1.  LRAMVA Summary'!D$70:D$71)*(MONTH($E116)-1)/12)*$H116</f>
        <v>7.3226737015335086</v>
      </c>
      <c r="J116" s="232">
        <f>(SUM('1.  LRAMVA Summary'!E$52:E$69)+SUM('1.  LRAMVA Summary'!E$70:E$71)*(MONTH($E116)-1)/12)*$H116</f>
        <v>119.53278964478334</v>
      </c>
      <c r="K116" s="232">
        <f>(SUM('1.  LRAMVA Summary'!F$52:F$69)+SUM('1.  LRAMVA Summary'!F$70:F$71)*(MONTH($E116)-1)/12)*$H116</f>
        <v>-51.230620968866191</v>
      </c>
      <c r="L116" s="232">
        <f>(SUM('1.  LRAMVA Summary'!G$52:G$69)+SUM('1.  LRAMVA Summary'!G$70:G$71)*(MONTH($E116)-1)/12)*$H116</f>
        <v>-10.5717745</v>
      </c>
      <c r="M116" s="232">
        <f>(SUM('1.  LRAMVA Summary'!H$52:H$69)+SUM('1.  LRAMVA Summary'!H$70:H$71)*(MONTH($E116)-1)/12)*$H116</f>
        <v>-0.2031685</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64.84989937745064</v>
      </c>
    </row>
    <row r="117" spans="2:23" s="9" customFormat="1" ht="15.75" thickBot="1">
      <c r="B117" s="68"/>
      <c r="E117" s="218" t="s">
        <v>468</v>
      </c>
      <c r="F117" s="218"/>
      <c r="G117" s="219"/>
      <c r="H117" s="220"/>
      <c r="I117" s="221">
        <f>SUM(I104:I116)</f>
        <v>362.89823490845941</v>
      </c>
      <c r="J117" s="221">
        <f>SUM(J104:J116)</f>
        <v>4095.0794222191039</v>
      </c>
      <c r="K117" s="221">
        <f t="shared" ref="K117:O117" si="53">SUM(K104:K116)</f>
        <v>-1517.060278087587</v>
      </c>
      <c r="L117" s="221">
        <f t="shared" si="53"/>
        <v>-353.38080030750018</v>
      </c>
      <c r="M117" s="221">
        <f t="shared" si="53"/>
        <v>-7.013452735000004</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2580.5231259974748</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432</v>
      </c>
      <c r="F119" s="227"/>
      <c r="G119" s="228"/>
      <c r="H119" s="229"/>
      <c r="I119" s="230">
        <f>I117+I118</f>
        <v>362.89823490845941</v>
      </c>
      <c r="J119" s="230">
        <f t="shared" ref="J119" si="55">J117+J118</f>
        <v>4095.0794222191039</v>
      </c>
      <c r="K119" s="230">
        <f t="shared" ref="K119" si="56">K117+K118</f>
        <v>-1517.060278087587</v>
      </c>
      <c r="L119" s="230">
        <f t="shared" ref="L119" si="57">L117+L118</f>
        <v>-353.38080030750018</v>
      </c>
      <c r="M119" s="230">
        <f t="shared" ref="M119" si="58">M117+M118</f>
        <v>-7.013452735000004</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2580.5231259974748</v>
      </c>
    </row>
    <row r="120" spans="2:23" s="9" customFormat="1">
      <c r="B120" s="68"/>
      <c r="E120" s="216">
        <v>43101</v>
      </c>
      <c r="F120" s="216" t="s">
        <v>186</v>
      </c>
      <c r="G120" s="217" t="s">
        <v>65</v>
      </c>
      <c r="H120" s="242">
        <f>$C$43/12</f>
        <v>1.25E-3</v>
      </c>
      <c r="I120" s="232">
        <f>(SUM('1.  LRAMVA Summary'!D$52:D$72)+SUM('1.  LRAMVA Summary'!D$73:D$74)*(MONTH($E120)-1)/12)*$H120</f>
        <v>7.3226737015335086</v>
      </c>
      <c r="J120" s="232">
        <f>(SUM('1.  LRAMVA Summary'!E$52:E$72)+SUM('1.  LRAMVA Summary'!E$73:E$74)*(MONTH($E120)-1)/12)*$H120</f>
        <v>119.53278964478334</v>
      </c>
      <c r="K120" s="232">
        <f>(SUM('1.  LRAMVA Summary'!F$52:F$72)+SUM('1.  LRAMVA Summary'!F$73:F$74)*(MONTH($E120)-1)/12)*$H120</f>
        <v>-51.230620968866191</v>
      </c>
      <c r="L120" s="232">
        <f>(SUM('1.  LRAMVA Summary'!G$52:G$72)+SUM('1.  LRAMVA Summary'!G$73:G$74)*(MONTH($E120)-1)/12)*$H120</f>
        <v>-10.5717745</v>
      </c>
      <c r="M120" s="232">
        <f>(SUM('1.  LRAMVA Summary'!H$52:H$72)+SUM('1.  LRAMVA Summary'!H$73:H$74)*(MONTH($E120)-1)/12)*$H120</f>
        <v>-0.2031685</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64.84989937745064</v>
      </c>
    </row>
    <row r="121" spans="2:23" s="9" customFormat="1">
      <c r="B121" s="68"/>
      <c r="E121" s="216">
        <v>43132</v>
      </c>
      <c r="F121" s="216" t="s">
        <v>186</v>
      </c>
      <c r="G121" s="217" t="s">
        <v>65</v>
      </c>
      <c r="H121" s="242">
        <f t="shared" ref="H121:H122" si="62">$C$43/12</f>
        <v>1.25E-3</v>
      </c>
      <c r="I121" s="232">
        <f>(SUM('1.  LRAMVA Summary'!D$52:D$72)+SUM('1.  LRAMVA Summary'!D$73:D$74)*(MONTH($E121)-1)/12)*$H121</f>
        <v>7.3226737015335086</v>
      </c>
      <c r="J121" s="232">
        <f>(SUM('1.  LRAMVA Summary'!E$52:E$72)+SUM('1.  LRAMVA Summary'!E$73:E$74)*(MONTH($E121)-1)/12)*$H121</f>
        <v>119.53278964478334</v>
      </c>
      <c r="K121" s="232">
        <f>(SUM('1.  LRAMVA Summary'!F$52:F$72)+SUM('1.  LRAMVA Summary'!F$73:F$74)*(MONTH($E121)-1)/12)*$H121</f>
        <v>-51.230620968866191</v>
      </c>
      <c r="L121" s="232">
        <f>(SUM('1.  LRAMVA Summary'!G$52:G$72)+SUM('1.  LRAMVA Summary'!G$73:G$74)*(MONTH($E121)-1)/12)*$H121</f>
        <v>-10.5717745</v>
      </c>
      <c r="M121" s="232">
        <f>(SUM('1.  LRAMVA Summary'!H$52:H$72)+SUM('1.  LRAMVA Summary'!H$73:H$74)*(MONTH($E121)-1)/12)*$H121</f>
        <v>-0.2031685</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64.84989937745064</v>
      </c>
    </row>
    <row r="122" spans="2:23" s="9" customFormat="1">
      <c r="B122" s="68"/>
      <c r="E122" s="216">
        <v>43160</v>
      </c>
      <c r="F122" s="216" t="s">
        <v>186</v>
      </c>
      <c r="G122" s="217" t="s">
        <v>65</v>
      </c>
      <c r="H122" s="242">
        <f t="shared" si="62"/>
        <v>1.25E-3</v>
      </c>
      <c r="I122" s="232">
        <f>(SUM('1.  LRAMVA Summary'!D$52:D$72)+SUM('1.  LRAMVA Summary'!D$73:D$74)*(MONTH($E122)-1)/12)*$H122</f>
        <v>7.3226737015335086</v>
      </c>
      <c r="J122" s="232">
        <f>(SUM('1.  LRAMVA Summary'!E$52:E$72)+SUM('1.  LRAMVA Summary'!E$73:E$74)*(MONTH($E122)-1)/12)*$H122</f>
        <v>119.53278964478334</v>
      </c>
      <c r="K122" s="232">
        <f>(SUM('1.  LRAMVA Summary'!F$52:F$72)+SUM('1.  LRAMVA Summary'!F$73:F$74)*(MONTH($E122)-1)/12)*$H122</f>
        <v>-51.230620968866191</v>
      </c>
      <c r="L122" s="232">
        <f>(SUM('1.  LRAMVA Summary'!G$52:G$72)+SUM('1.  LRAMVA Summary'!G$73:G$74)*(MONTH($E122)-1)/12)*$H122</f>
        <v>-10.5717745</v>
      </c>
      <c r="M122" s="232">
        <f>(SUM('1.  LRAMVA Summary'!H$52:H$72)+SUM('1.  LRAMVA Summary'!H$73:H$74)*(MONTH($E122)-1)/12)*$H122</f>
        <v>-0.2031685</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64.84989937745064</v>
      </c>
    </row>
    <row r="123" spans="2:23" s="8" customFormat="1">
      <c r="B123" s="241"/>
      <c r="E123" s="216">
        <v>43191</v>
      </c>
      <c r="F123" s="216" t="s">
        <v>186</v>
      </c>
      <c r="G123" s="217" t="s">
        <v>66</v>
      </c>
      <c r="H123" s="242">
        <f>$C$44/12</f>
        <v>1.25E-3</v>
      </c>
      <c r="I123" s="232">
        <f>(SUM('1.  LRAMVA Summary'!D$52:D$72)+SUM('1.  LRAMVA Summary'!D$73:D$74)*(MONTH($E123)-1)/12)*$H123</f>
        <v>7.3226737015335086</v>
      </c>
      <c r="J123" s="232">
        <f>(SUM('1.  LRAMVA Summary'!E$52:E$72)+SUM('1.  LRAMVA Summary'!E$73:E$74)*(MONTH($E123)-1)/12)*$H123</f>
        <v>119.53278964478334</v>
      </c>
      <c r="K123" s="232">
        <f>(SUM('1.  LRAMVA Summary'!F$52:F$72)+SUM('1.  LRAMVA Summary'!F$73:F$74)*(MONTH($E123)-1)/12)*$H123</f>
        <v>-51.230620968866191</v>
      </c>
      <c r="L123" s="232">
        <f>(SUM('1.  LRAMVA Summary'!G$52:G$72)+SUM('1.  LRAMVA Summary'!G$73:G$74)*(MONTH($E123)-1)/12)*$H123</f>
        <v>-10.5717745</v>
      </c>
      <c r="M123" s="232">
        <f>(SUM('1.  LRAMVA Summary'!H$52:H$72)+SUM('1.  LRAMVA Summary'!H$73:H$74)*(MONTH($E123)-1)/12)*$H123</f>
        <v>-0.2031685</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64.84989937745064</v>
      </c>
    </row>
    <row r="124" spans="2:23" s="9" customFormat="1">
      <c r="B124" s="68"/>
      <c r="E124" s="216">
        <v>43221</v>
      </c>
      <c r="F124" s="216" t="s">
        <v>186</v>
      </c>
      <c r="G124" s="217" t="s">
        <v>66</v>
      </c>
      <c r="H124" s="242">
        <f t="shared" ref="H124:H125" si="64">$C$44/12</f>
        <v>1.25E-3</v>
      </c>
      <c r="I124" s="232">
        <f>(SUM('1.  LRAMVA Summary'!D$52:D$72)+SUM('1.  LRAMVA Summary'!D$73:D$74)*(MONTH($E124)-1)/12)*$H124</f>
        <v>7.3226737015335086</v>
      </c>
      <c r="J124" s="232">
        <f>(SUM('1.  LRAMVA Summary'!E$52:E$72)+SUM('1.  LRAMVA Summary'!E$73:E$74)*(MONTH($E124)-1)/12)*$H124</f>
        <v>119.53278964478334</v>
      </c>
      <c r="K124" s="232">
        <f>(SUM('1.  LRAMVA Summary'!F$52:F$72)+SUM('1.  LRAMVA Summary'!F$73:F$74)*(MONTH($E124)-1)/12)*$H124</f>
        <v>-51.230620968866191</v>
      </c>
      <c r="L124" s="232">
        <f>(SUM('1.  LRAMVA Summary'!G$52:G$72)+SUM('1.  LRAMVA Summary'!G$73:G$74)*(MONTH($E124)-1)/12)*$H124</f>
        <v>-10.5717745</v>
      </c>
      <c r="M124" s="232">
        <f>(SUM('1.  LRAMVA Summary'!H$52:H$72)+SUM('1.  LRAMVA Summary'!H$73:H$74)*(MONTH($E124)-1)/12)*$H124</f>
        <v>-0.2031685</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64.84989937745064</v>
      </c>
    </row>
    <row r="125" spans="2:23" s="240" customFormat="1">
      <c r="B125" s="239"/>
      <c r="E125" s="216">
        <v>43252</v>
      </c>
      <c r="F125" s="216" t="s">
        <v>186</v>
      </c>
      <c r="G125" s="217" t="s">
        <v>66</v>
      </c>
      <c r="H125" s="242">
        <f t="shared" si="64"/>
        <v>1.25E-3</v>
      </c>
      <c r="I125" s="232">
        <f>(SUM('1.  LRAMVA Summary'!D$52:D$72)+SUM('1.  LRAMVA Summary'!D$73:D$74)*(MONTH($E125)-1)/12)*$H125</f>
        <v>7.3226737015335086</v>
      </c>
      <c r="J125" s="232">
        <f>(SUM('1.  LRAMVA Summary'!E$52:E$72)+SUM('1.  LRAMVA Summary'!E$73:E$74)*(MONTH($E125)-1)/12)*$H125</f>
        <v>119.53278964478334</v>
      </c>
      <c r="K125" s="232">
        <f>(SUM('1.  LRAMVA Summary'!F$52:F$72)+SUM('1.  LRAMVA Summary'!F$73:F$74)*(MONTH($E125)-1)/12)*$H125</f>
        <v>-51.230620968866191</v>
      </c>
      <c r="L125" s="232">
        <f>(SUM('1.  LRAMVA Summary'!G$52:G$72)+SUM('1.  LRAMVA Summary'!G$73:G$74)*(MONTH($E125)-1)/12)*$H125</f>
        <v>-10.5717745</v>
      </c>
      <c r="M125" s="232">
        <f>(SUM('1.  LRAMVA Summary'!H$52:H$72)+SUM('1.  LRAMVA Summary'!H$73:H$74)*(MONTH($E125)-1)/12)*$H125</f>
        <v>-0.2031685</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64.84989937745064</v>
      </c>
    </row>
    <row r="126" spans="2:23" s="9" customFormat="1">
      <c r="B126" s="68"/>
      <c r="E126" s="216">
        <v>43282</v>
      </c>
      <c r="F126" s="216" t="s">
        <v>186</v>
      </c>
      <c r="G126" s="217" t="s">
        <v>68</v>
      </c>
      <c r="H126" s="242">
        <f>$C$45/12</f>
        <v>0</v>
      </c>
      <c r="I126" s="232">
        <f>(SUM('1.  LRAMVA Summary'!D$52:D$72)+SUM('1.  LRAMVA Summary'!D$73:D$74)*(MONTH($E126)-1)/12)*$H126</f>
        <v>0</v>
      </c>
      <c r="J126" s="232">
        <f>(SUM('1.  LRAMVA Summary'!E$52:E$72)+SUM('1.  LRAMVA Summary'!E$73:E$74)*(MONTH($E126)-1)/12)*$H126</f>
        <v>0</v>
      </c>
      <c r="K126" s="232">
        <f>(SUM('1.  LRAMVA Summary'!F$52:F$72)+SUM('1.  LRAMVA Summary'!F$73:F$74)*(MONTH($E126)-1)/12)*$H126</f>
        <v>0</v>
      </c>
      <c r="L126" s="232">
        <f>(SUM('1.  LRAMVA Summary'!G$52:G$72)+SUM('1.  LRAMVA Summary'!G$73:G$74)*(MONTH($E126)-1)/12)*$H126</f>
        <v>0</v>
      </c>
      <c r="M126" s="232">
        <f>(SUM('1.  LRAMVA Summary'!H$52:H$72)+SUM('1.  LRAMVA Summary'!H$73:H$74)*(MONTH($E126)-1)/12)*$H126</f>
        <v>0</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0</v>
      </c>
    </row>
    <row r="127" spans="2:23" s="9" customFormat="1">
      <c r="B127" s="68"/>
      <c r="E127" s="216">
        <v>43313</v>
      </c>
      <c r="F127" s="216" t="s">
        <v>186</v>
      </c>
      <c r="G127" s="217" t="s">
        <v>68</v>
      </c>
      <c r="H127" s="242">
        <f t="shared" ref="H127:H128" si="65">$C$45/12</f>
        <v>0</v>
      </c>
      <c r="I127" s="232">
        <f>(SUM('1.  LRAMVA Summary'!D$52:D$72)+SUM('1.  LRAMVA Summary'!D$73:D$74)*(MONTH($E127)-1)/12)*$H127</f>
        <v>0</v>
      </c>
      <c r="J127" s="232">
        <f>(SUM('1.  LRAMVA Summary'!E$52:E$72)+SUM('1.  LRAMVA Summary'!E$73:E$74)*(MONTH($E127)-1)/12)*$H127</f>
        <v>0</v>
      </c>
      <c r="K127" s="232">
        <f>(SUM('1.  LRAMVA Summary'!F$52:F$72)+SUM('1.  LRAMVA Summary'!F$73:F$74)*(MONTH($E127)-1)/12)*$H127</f>
        <v>0</v>
      </c>
      <c r="L127" s="232">
        <f>(SUM('1.  LRAMVA Summary'!G$52:G$72)+SUM('1.  LRAMVA Summary'!G$73:G$74)*(MONTH($E127)-1)/12)*$H127</f>
        <v>0</v>
      </c>
      <c r="M127" s="232">
        <f>(SUM('1.  LRAMVA Summary'!H$52:H$72)+SUM('1.  LRAMVA Summary'!H$73:H$74)*(MONTH($E127)-1)/12)*$H127</f>
        <v>0</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0</v>
      </c>
    </row>
    <row r="128" spans="2:23" s="9" customFormat="1">
      <c r="B128" s="68"/>
      <c r="E128" s="216">
        <v>43344</v>
      </c>
      <c r="F128" s="216" t="s">
        <v>186</v>
      </c>
      <c r="G128" s="217" t="s">
        <v>68</v>
      </c>
      <c r="H128" s="242">
        <f t="shared" si="65"/>
        <v>0</v>
      </c>
      <c r="I128" s="232">
        <f>(SUM('1.  LRAMVA Summary'!D$52:D$72)+SUM('1.  LRAMVA Summary'!D$73:D$74)*(MONTH($E128)-1)/12)*$H128</f>
        <v>0</v>
      </c>
      <c r="J128" s="232">
        <f>(SUM('1.  LRAMVA Summary'!E$52:E$72)+SUM('1.  LRAMVA Summary'!E$73:E$74)*(MONTH($E128)-1)/12)*$H128</f>
        <v>0</v>
      </c>
      <c r="K128" s="232">
        <f>(SUM('1.  LRAMVA Summary'!F$52:F$72)+SUM('1.  LRAMVA Summary'!F$73:F$74)*(MONTH($E128)-1)/12)*$H128</f>
        <v>0</v>
      </c>
      <c r="L128" s="232">
        <f>(SUM('1.  LRAMVA Summary'!G$52:G$72)+SUM('1.  LRAMVA Summary'!G$73:G$74)*(MONTH($E128)-1)/12)*$H128</f>
        <v>0</v>
      </c>
      <c r="M128" s="232">
        <f>(SUM('1.  LRAMVA Summary'!H$52:H$72)+SUM('1.  LRAMVA Summary'!H$73:H$74)*(MONTH($E128)-1)/12)*$H128</f>
        <v>0</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0</v>
      </c>
    </row>
    <row r="129" spans="2:23" s="9" customFormat="1">
      <c r="B129" s="68"/>
      <c r="E129" s="216">
        <v>43374</v>
      </c>
      <c r="F129" s="216" t="s">
        <v>186</v>
      </c>
      <c r="G129" s="217" t="s">
        <v>69</v>
      </c>
      <c r="H129" s="242">
        <f>$C$46/12</f>
        <v>0</v>
      </c>
      <c r="I129" s="232">
        <f>(SUM('1.  LRAMVA Summary'!D$52:D$72)+SUM('1.  LRAMVA Summary'!D$73:D$74)*(MONTH($E129)-1)/12)*$H129</f>
        <v>0</v>
      </c>
      <c r="J129" s="232">
        <f>(SUM('1.  LRAMVA Summary'!E$52:E$72)+SUM('1.  LRAMVA Summary'!E$73:E$74)*(MONTH($E129)-1)/12)*$H129</f>
        <v>0</v>
      </c>
      <c r="K129" s="232">
        <f>(SUM('1.  LRAMVA Summary'!F$52:F$72)+SUM('1.  LRAMVA Summary'!F$73:F$74)*(MONTH($E129)-1)/12)*$H129</f>
        <v>0</v>
      </c>
      <c r="L129" s="232">
        <f>(SUM('1.  LRAMVA Summary'!G$52:G$72)+SUM('1.  LRAMVA Summary'!G$73:G$74)*(MONTH($E129)-1)/12)*$H129</f>
        <v>0</v>
      </c>
      <c r="M129" s="232">
        <f>(SUM('1.  LRAMVA Summary'!H$52:H$72)+SUM('1.  LRAMVA Summary'!H$73:H$74)*(MONTH($E129)-1)/12)*$H129</f>
        <v>0</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0</v>
      </c>
    </row>
    <row r="130" spans="2:23" s="9" customFormat="1">
      <c r="B130" s="68"/>
      <c r="E130" s="216">
        <v>43405</v>
      </c>
      <c r="F130" s="216" t="s">
        <v>186</v>
      </c>
      <c r="G130" s="217" t="s">
        <v>69</v>
      </c>
      <c r="H130" s="242">
        <f t="shared" ref="H130:H131" si="66">$C$46/12</f>
        <v>0</v>
      </c>
      <c r="I130" s="232">
        <f>(SUM('1.  LRAMVA Summary'!D$52:D$72)+SUM('1.  LRAMVA Summary'!D$73:D$74)*(MONTH($E130)-1)/12)*$H130</f>
        <v>0</v>
      </c>
      <c r="J130" s="232">
        <f>(SUM('1.  LRAMVA Summary'!E$52:E$72)+SUM('1.  LRAMVA Summary'!E$73:E$74)*(MONTH($E130)-1)/12)*$H130</f>
        <v>0</v>
      </c>
      <c r="K130" s="232">
        <f>(SUM('1.  LRAMVA Summary'!F$52:F$72)+SUM('1.  LRAMVA Summary'!F$73:F$74)*(MONTH($E130)-1)/12)*$H130</f>
        <v>0</v>
      </c>
      <c r="L130" s="232">
        <f>(SUM('1.  LRAMVA Summary'!G$52:G$72)+SUM('1.  LRAMVA Summary'!G$73:G$74)*(MONTH($E130)-1)/12)*$H130</f>
        <v>0</v>
      </c>
      <c r="M130" s="232">
        <f>(SUM('1.  LRAMVA Summary'!H$52:H$72)+SUM('1.  LRAMVA Summary'!H$73:H$74)*(MONTH($E130)-1)/12)*$H130</f>
        <v>0</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0</v>
      </c>
    </row>
    <row r="131" spans="2:23" s="9" customFormat="1">
      <c r="B131" s="68"/>
      <c r="E131" s="216">
        <v>43435</v>
      </c>
      <c r="F131" s="216" t="s">
        <v>186</v>
      </c>
      <c r="G131" s="217" t="s">
        <v>69</v>
      </c>
      <c r="H131" s="242">
        <f t="shared" si="66"/>
        <v>0</v>
      </c>
      <c r="I131" s="232">
        <f>(SUM('1.  LRAMVA Summary'!D$52:D$72)+SUM('1.  LRAMVA Summary'!D$73:D$74)*(MONTH($E131)-1)/12)*$H131</f>
        <v>0</v>
      </c>
      <c r="J131" s="232">
        <f>(SUM('1.  LRAMVA Summary'!E$52:E$72)+SUM('1.  LRAMVA Summary'!E$73:E$74)*(MONTH($E131)-1)/12)*$H131</f>
        <v>0</v>
      </c>
      <c r="K131" s="232">
        <f>(SUM('1.  LRAMVA Summary'!F$52:F$72)+SUM('1.  LRAMVA Summary'!F$73:F$74)*(MONTH($E131)-1)/12)*$H131</f>
        <v>0</v>
      </c>
      <c r="L131" s="232">
        <f>(SUM('1.  LRAMVA Summary'!G$52:G$72)+SUM('1.  LRAMVA Summary'!G$73:G$74)*(MONTH($E131)-1)/12)*$H131</f>
        <v>0</v>
      </c>
      <c r="M131" s="232">
        <f>(SUM('1.  LRAMVA Summary'!H$52:H$72)+SUM('1.  LRAMVA Summary'!H$73:H$74)*(MONTH($E131)-1)/12)*$H131</f>
        <v>0</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0</v>
      </c>
    </row>
    <row r="132" spans="2:23" s="9" customFormat="1" ht="15.75" thickBot="1">
      <c r="B132" s="68"/>
      <c r="E132" s="218" t="s">
        <v>469</v>
      </c>
      <c r="F132" s="218"/>
      <c r="G132" s="219"/>
      <c r="H132" s="220"/>
      <c r="I132" s="221">
        <f>SUM(I119:I123)</f>
        <v>392.18892971459348</v>
      </c>
      <c r="J132" s="221">
        <f t="shared" ref="J132:W132" si="67">SUM(J119:J123)</f>
        <v>4573.2105807982371</v>
      </c>
      <c r="K132" s="221">
        <f t="shared" si="67"/>
        <v>-1721.9827619630514</v>
      </c>
      <c r="L132" s="221">
        <f t="shared" si="67"/>
        <v>-395.6678983075002</v>
      </c>
      <c r="M132" s="221">
        <f t="shared" si="67"/>
        <v>-7.8261267350000052</v>
      </c>
      <c r="N132" s="221">
        <f t="shared" si="67"/>
        <v>0</v>
      </c>
      <c r="O132" s="221">
        <f t="shared" si="67"/>
        <v>0</v>
      </c>
      <c r="P132" s="221">
        <f t="shared" si="67"/>
        <v>0</v>
      </c>
      <c r="Q132" s="221">
        <f t="shared" si="67"/>
        <v>0</v>
      </c>
      <c r="R132" s="221">
        <f t="shared" si="67"/>
        <v>0</v>
      </c>
      <c r="S132" s="221">
        <f t="shared" si="67"/>
        <v>0</v>
      </c>
      <c r="T132" s="221">
        <f t="shared" si="67"/>
        <v>0</v>
      </c>
      <c r="U132" s="221">
        <f t="shared" si="67"/>
        <v>0</v>
      </c>
      <c r="V132" s="221">
        <f t="shared" si="67"/>
        <v>0</v>
      </c>
      <c r="W132" s="221">
        <f t="shared" si="67"/>
        <v>2839.9227235072772</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433</v>
      </c>
      <c r="F134" s="227"/>
      <c r="G134" s="228"/>
      <c r="H134" s="229"/>
      <c r="I134" s="230">
        <f>I132+I133</f>
        <v>392.18892971459348</v>
      </c>
      <c r="J134" s="230">
        <f t="shared" ref="J134" si="68">J132+J133</f>
        <v>4573.2105807982371</v>
      </c>
      <c r="K134" s="230">
        <f t="shared" ref="K134" si="69">K132+K133</f>
        <v>-1721.9827619630514</v>
      </c>
      <c r="L134" s="230">
        <f t="shared" ref="L134" si="70">L132+L133</f>
        <v>-395.6678983075002</v>
      </c>
      <c r="M134" s="230">
        <f t="shared" ref="M134" si="71">M132+M133</f>
        <v>-7.8261267350000052</v>
      </c>
      <c r="N134" s="230">
        <f t="shared" ref="N134" si="72">N132+N133</f>
        <v>0</v>
      </c>
      <c r="O134" s="230">
        <f t="shared" ref="O134:V134" si="73">O132+O133</f>
        <v>0</v>
      </c>
      <c r="P134" s="230">
        <f t="shared" si="73"/>
        <v>0</v>
      </c>
      <c r="Q134" s="230">
        <f t="shared" si="73"/>
        <v>0</v>
      </c>
      <c r="R134" s="230">
        <f t="shared" si="73"/>
        <v>0</v>
      </c>
      <c r="S134" s="230">
        <f t="shared" si="73"/>
        <v>0</v>
      </c>
      <c r="T134" s="230">
        <f t="shared" si="73"/>
        <v>0</v>
      </c>
      <c r="U134" s="230">
        <f t="shared" si="73"/>
        <v>0</v>
      </c>
      <c r="V134" s="230">
        <f t="shared" si="73"/>
        <v>0</v>
      </c>
      <c r="W134" s="230">
        <f>W132+W133</f>
        <v>2839.9227235072772</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4">$C$47/12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5">SUM(I136:V136)</f>
        <v>0</v>
      </c>
    </row>
    <row r="137" spans="2:23" s="9" customFormat="1" hidden="1">
      <c r="B137" s="68"/>
      <c r="E137" s="216">
        <v>43525</v>
      </c>
      <c r="F137" s="216" t="s">
        <v>187</v>
      </c>
      <c r="G137" s="217" t="s">
        <v>65</v>
      </c>
      <c r="H137" s="242">
        <f t="shared" si="74"/>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5"/>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5"/>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5"/>
        <v>0</v>
      </c>
    </row>
    <row r="140" spans="2:23" s="9" customFormat="1" hidden="1">
      <c r="B140" s="68"/>
      <c r="E140" s="216">
        <v>43617</v>
      </c>
      <c r="F140" s="216" t="s">
        <v>187</v>
      </c>
      <c r="G140" s="217" t="s">
        <v>66</v>
      </c>
      <c r="H140" s="242">
        <f t="shared" ref="H140" si="76">$C$48/12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5"/>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5"/>
        <v>0</v>
      </c>
    </row>
    <row r="142" spans="2:23" s="9" customFormat="1" hidden="1">
      <c r="B142" s="68"/>
      <c r="E142" s="216">
        <v>43678</v>
      </c>
      <c r="F142" s="216" t="s">
        <v>187</v>
      </c>
      <c r="G142" s="217" t="s">
        <v>68</v>
      </c>
      <c r="H142" s="242">
        <f t="shared" ref="H142" si="77">$C$49/12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5"/>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5"/>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5"/>
        <v>0</v>
      </c>
    </row>
    <row r="145" spans="2:23" s="9" customFormat="1" hidden="1">
      <c r="B145" s="68"/>
      <c r="E145" s="216">
        <v>43770</v>
      </c>
      <c r="F145" s="216" t="s">
        <v>187</v>
      </c>
      <c r="G145" s="217" t="s">
        <v>69</v>
      </c>
      <c r="H145" s="242">
        <f t="shared" ref="H145:H146" si="78">$C$50/12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5"/>
        <v>0</v>
      </c>
    </row>
    <row r="146" spans="2:23" s="9" customFormat="1" hidden="1">
      <c r="B146" s="68"/>
      <c r="E146" s="216">
        <v>43800</v>
      </c>
      <c r="F146" s="216" t="s">
        <v>187</v>
      </c>
      <c r="G146" s="217" t="s">
        <v>69</v>
      </c>
      <c r="H146" s="242">
        <f t="shared" si="78"/>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5"/>
        <v>0</v>
      </c>
    </row>
    <row r="147" spans="2:23" s="9" customFormat="1" ht="15.75" hidden="1" thickBot="1">
      <c r="B147" s="68"/>
      <c r="E147" s="218" t="s">
        <v>470</v>
      </c>
      <c r="F147" s="218"/>
      <c r="G147" s="219"/>
      <c r="H147" s="220"/>
      <c r="I147" s="221">
        <f>SUM(I134:I146)</f>
        <v>392.18892971459348</v>
      </c>
      <c r="J147" s="221">
        <f>SUM(J134:J146)</f>
        <v>4573.2105807982371</v>
      </c>
      <c r="K147" s="221">
        <f t="shared" ref="K147:O147" si="79">SUM(K134:K146)</f>
        <v>-1721.9827619630514</v>
      </c>
      <c r="L147" s="221">
        <f t="shared" si="79"/>
        <v>-395.6678983075002</v>
      </c>
      <c r="M147" s="221">
        <f t="shared" si="79"/>
        <v>-7.8261267350000052</v>
      </c>
      <c r="N147" s="221">
        <f t="shared" si="79"/>
        <v>0</v>
      </c>
      <c r="O147" s="221">
        <f t="shared" si="79"/>
        <v>0</v>
      </c>
      <c r="P147" s="221">
        <f t="shared" ref="P147:V147" si="80">SUM(P134:P146)</f>
        <v>0</v>
      </c>
      <c r="Q147" s="221">
        <f t="shared" si="80"/>
        <v>0</v>
      </c>
      <c r="R147" s="221">
        <f t="shared" si="80"/>
        <v>0</v>
      </c>
      <c r="S147" s="221">
        <f t="shared" si="80"/>
        <v>0</v>
      </c>
      <c r="T147" s="221">
        <f t="shared" si="80"/>
        <v>0</v>
      </c>
      <c r="U147" s="221">
        <f t="shared" si="80"/>
        <v>0</v>
      </c>
      <c r="V147" s="221">
        <f t="shared" si="80"/>
        <v>0</v>
      </c>
      <c r="W147" s="221">
        <f>SUM(W134:W146)</f>
        <v>2839.9227235072772</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434</v>
      </c>
      <c r="F149" s="227"/>
      <c r="G149" s="228"/>
      <c r="H149" s="229"/>
      <c r="I149" s="230">
        <f>I147+I148</f>
        <v>392.18892971459348</v>
      </c>
      <c r="J149" s="230">
        <f t="shared" ref="J149" si="81">J147+J148</f>
        <v>4573.2105807982371</v>
      </c>
      <c r="K149" s="230">
        <f t="shared" ref="K149" si="82">K147+K148</f>
        <v>-1721.9827619630514</v>
      </c>
      <c r="L149" s="230">
        <f t="shared" ref="L149" si="83">L147+L148</f>
        <v>-395.6678983075002</v>
      </c>
      <c r="M149" s="230">
        <f t="shared" ref="M149" si="84">M147+M148</f>
        <v>-7.8261267350000052</v>
      </c>
      <c r="N149" s="230">
        <f t="shared" ref="N149" si="85">N147+N148</f>
        <v>0</v>
      </c>
      <c r="O149" s="230">
        <f t="shared" ref="O149:V149" si="86">O147+O148</f>
        <v>0</v>
      </c>
      <c r="P149" s="230">
        <f t="shared" si="86"/>
        <v>0</v>
      </c>
      <c r="Q149" s="230">
        <f t="shared" si="86"/>
        <v>0</v>
      </c>
      <c r="R149" s="230">
        <f t="shared" si="86"/>
        <v>0</v>
      </c>
      <c r="S149" s="230">
        <f t="shared" si="86"/>
        <v>0</v>
      </c>
      <c r="T149" s="230">
        <f t="shared" si="86"/>
        <v>0</v>
      </c>
      <c r="U149" s="230">
        <f t="shared" si="86"/>
        <v>0</v>
      </c>
      <c r="V149" s="230">
        <f t="shared" si="86"/>
        <v>0</v>
      </c>
      <c r="W149" s="230">
        <f>W147+W148</f>
        <v>2839.9227235072772</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7">$C$51/12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8">SUM(I151:V151)</f>
        <v>0</v>
      </c>
    </row>
    <row r="152" spans="2:23" s="9" customFormat="1" hidden="1">
      <c r="B152" s="68"/>
      <c r="E152" s="216">
        <v>43891</v>
      </c>
      <c r="F152" s="216" t="s">
        <v>188</v>
      </c>
      <c r="G152" s="217" t="s">
        <v>65</v>
      </c>
      <c r="H152" s="242">
        <f t="shared" si="87"/>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8"/>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8"/>
        <v>0</v>
      </c>
    </row>
    <row r="154" spans="2:23" s="9" customFormat="1" hidden="1">
      <c r="B154" s="68"/>
      <c r="E154" s="216">
        <v>43952</v>
      </c>
      <c r="F154" s="216" t="s">
        <v>188</v>
      </c>
      <c r="G154" s="217" t="s">
        <v>66</v>
      </c>
      <c r="H154" s="242">
        <f t="shared" ref="H154:H155" si="89">$C$52/12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8"/>
        <v>0</v>
      </c>
    </row>
    <row r="155" spans="2:23" s="9" customFormat="1" hidden="1">
      <c r="B155" s="68"/>
      <c r="E155" s="216">
        <v>43983</v>
      </c>
      <c r="F155" s="216" t="s">
        <v>188</v>
      </c>
      <c r="G155" s="217" t="s">
        <v>66</v>
      </c>
      <c r="H155" s="242">
        <f t="shared" si="89"/>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8"/>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8"/>
        <v>0</v>
      </c>
    </row>
    <row r="157" spans="2:23" s="9" customFormat="1" hidden="1">
      <c r="B157" s="68"/>
      <c r="E157" s="216">
        <v>44044</v>
      </c>
      <c r="F157" s="216" t="s">
        <v>188</v>
      </c>
      <c r="G157" s="217" t="s">
        <v>68</v>
      </c>
      <c r="H157" s="242">
        <f t="shared" ref="H157:H158" si="90">$C$53/12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8"/>
        <v>0</v>
      </c>
    </row>
    <row r="158" spans="2:23" s="9" customFormat="1" hidden="1">
      <c r="B158" s="68"/>
      <c r="E158" s="216">
        <v>44075</v>
      </c>
      <c r="F158" s="216" t="s">
        <v>188</v>
      </c>
      <c r="G158" s="217" t="s">
        <v>68</v>
      </c>
      <c r="H158" s="242">
        <f t="shared" si="90"/>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8"/>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8"/>
        <v>0</v>
      </c>
    </row>
    <row r="160" spans="2:23" s="9" customFormat="1" hidden="1">
      <c r="B160" s="68"/>
      <c r="E160" s="216">
        <v>44136</v>
      </c>
      <c r="F160" s="216" t="s">
        <v>188</v>
      </c>
      <c r="G160" s="217" t="s">
        <v>69</v>
      </c>
      <c r="H160" s="242">
        <f t="shared" ref="H160:H161" si="91">$C$54/12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8"/>
        <v>0</v>
      </c>
    </row>
    <row r="161" spans="2:23" s="9" customFormat="1" hidden="1">
      <c r="B161" s="68"/>
      <c r="E161" s="216">
        <v>44166</v>
      </c>
      <c r="F161" s="216" t="s">
        <v>188</v>
      </c>
      <c r="G161" s="217" t="s">
        <v>69</v>
      </c>
      <c r="H161" s="242">
        <f t="shared" si="91"/>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471</v>
      </c>
      <c r="F162" s="218"/>
      <c r="G162" s="219"/>
      <c r="H162" s="220"/>
      <c r="I162" s="221">
        <f>SUM(I149:I161)</f>
        <v>392.18892971459348</v>
      </c>
      <c r="J162" s="221">
        <f>SUM(J149:J161)</f>
        <v>4573.2105807982371</v>
      </c>
      <c r="K162" s="221">
        <f t="shared" ref="K162:O162" si="92">SUM(K149:K161)</f>
        <v>-1721.9827619630514</v>
      </c>
      <c r="L162" s="221">
        <f t="shared" si="92"/>
        <v>-395.6678983075002</v>
      </c>
      <c r="M162" s="221">
        <f t="shared" si="92"/>
        <v>-7.8261267350000052</v>
      </c>
      <c r="N162" s="221">
        <f t="shared" si="92"/>
        <v>0</v>
      </c>
      <c r="O162" s="221">
        <f t="shared" si="92"/>
        <v>0</v>
      </c>
      <c r="P162" s="221">
        <f t="shared" ref="P162:V162" si="93">SUM(P149:P161)</f>
        <v>0</v>
      </c>
      <c r="Q162" s="221">
        <f t="shared" si="93"/>
        <v>0</v>
      </c>
      <c r="R162" s="221">
        <f t="shared" si="93"/>
        <v>0</v>
      </c>
      <c r="S162" s="221">
        <f t="shared" si="93"/>
        <v>0</v>
      </c>
      <c r="T162" s="221">
        <f t="shared" si="93"/>
        <v>0</v>
      </c>
      <c r="U162" s="221">
        <f t="shared" si="93"/>
        <v>0</v>
      </c>
      <c r="V162" s="221">
        <f t="shared" si="93"/>
        <v>0</v>
      </c>
      <c r="W162" s="221">
        <f>SUM(W149:W161)</f>
        <v>2839.9227235072772</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hidden="1">
      <c r="B164" s="68"/>
      <c r="H164" s="18"/>
    </row>
    <row r="165" spans="2:23" hidden="1">
      <c r="E165" s="589" t="s">
        <v>527</v>
      </c>
    </row>
    <row r="166" spans="2:23" hidden="1"/>
    <row r="167" spans="2:23" ht="15.75" thickTop="1"/>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0866141732283472" right="0.70866141732283472" top="0.74803149606299213" bottom="0.74803149606299213" header="0.31496062992125984" footer="0.31496062992125984"/>
  <pageSetup scale="35" fitToHeight="0" orientation="landscape" r:id="rId2"/>
  <headerFooter>
    <oddFooter>&amp;R&amp;P of &amp;N</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122"/>
  <sheetViews>
    <sheetView topLeftCell="A7" zoomScale="55" zoomScaleNormal="55" workbookViewId="0">
      <selection activeCell="F51" sqref="F51"/>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5"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c r="I11" s="12"/>
      <c r="J11" s="12"/>
    </row>
    <row r="12" spans="2:73" s="9" customFormat="1" ht="25.5" hidden="1" customHeight="1" outlineLevel="1" thickBot="1">
      <c r="B12" s="121" t="s">
        <v>172</v>
      </c>
      <c r="D12" s="128" t="s">
        <v>176</v>
      </c>
      <c r="E12" s="17"/>
      <c r="F12" s="179"/>
      <c r="G12" s="180"/>
      <c r="H12" s="181"/>
      <c r="K12" s="181"/>
      <c r="L12" s="179"/>
      <c r="M12" s="179"/>
      <c r="N12" s="179"/>
      <c r="O12" s="179"/>
      <c r="P12" s="179"/>
      <c r="Q12" s="182"/>
    </row>
    <row r="13" spans="2:73" s="9" customFormat="1" ht="25.5" hidden="1" customHeight="1" outlineLevel="1" thickBot="1">
      <c r="B13" s="551"/>
      <c r="D13" s="637" t="s">
        <v>408</v>
      </c>
      <c r="E13" s="17"/>
      <c r="F13" s="179"/>
      <c r="G13" s="180"/>
      <c r="H13" s="181"/>
      <c r="K13" s="181"/>
      <c r="L13" s="179"/>
      <c r="M13" s="179"/>
      <c r="N13" s="179"/>
      <c r="O13" s="179"/>
      <c r="P13" s="179"/>
      <c r="Q13" s="182"/>
    </row>
    <row r="14" spans="2:73" ht="30" hidden="1" customHeight="1" outlineLevel="1" thickBot="1">
      <c r="B14" s="92"/>
      <c r="D14" s="610" t="s">
        <v>552</v>
      </c>
      <c r="I14" s="12"/>
      <c r="J14" s="12"/>
      <c r="BU14" s="12"/>
    </row>
    <row r="15" spans="2:73" ht="26.25" hidden="1" customHeight="1" outlineLevel="1">
      <c r="C15" s="92"/>
      <c r="I15" s="12"/>
      <c r="J15" s="12"/>
    </row>
    <row r="16" spans="2:73" ht="23.25" hidden="1" customHeight="1" outlineLevel="1">
      <c r="B16" s="118" t="s">
        <v>506</v>
      </c>
      <c r="C16" s="92"/>
      <c r="D16" s="615" t="s">
        <v>618</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hidden="1" customHeight="1" outlineLevel="1">
      <c r="B17" s="689" t="s">
        <v>612</v>
      </c>
      <c r="C17" s="92"/>
      <c r="D17" s="611" t="s">
        <v>590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hidden="1" customHeight="1" outlineLevel="1">
      <c r="C18" s="92"/>
      <c r="D18" s="611" t="s">
        <v>627</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hidden="1" customHeight="1" outlineLevel="1">
      <c r="C19" s="92"/>
      <c r="D19" s="611" t="s">
        <v>626</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hidden="1" customHeight="1" outlineLevel="1">
      <c r="C20" s="92"/>
      <c r="D20" s="611" t="s">
        <v>628</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hidden="1" customHeight="1" outlineLevel="1">
      <c r="C21" s="92"/>
      <c r="D21" s="717" t="s">
        <v>640</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ollapsed="1">
      <c r="I22" s="12"/>
      <c r="J22" s="12"/>
    </row>
    <row r="23" spans="2:73" ht="15.75">
      <c r="B23" s="184" t="s">
        <v>595</v>
      </c>
      <c r="H23" s="10"/>
      <c r="I23" s="10"/>
      <c r="J23" s="10"/>
    </row>
    <row r="24" spans="2:73" s="670" customFormat="1" ht="21" customHeight="1">
      <c r="B24" s="700" t="s">
        <v>599</v>
      </c>
      <c r="C24" s="814" t="s">
        <v>600</v>
      </c>
      <c r="D24" s="814"/>
      <c r="E24" s="814"/>
      <c r="F24" s="814"/>
      <c r="G24" s="814"/>
      <c r="H24" s="678" t="s">
        <v>597</v>
      </c>
      <c r="I24" s="678" t="s">
        <v>596</v>
      </c>
      <c r="J24" s="678" t="s">
        <v>598</v>
      </c>
      <c r="K24" s="669"/>
      <c r="L24" s="670" t="s">
        <v>600</v>
      </c>
      <c r="AQ24" s="670" t="s">
        <v>600</v>
      </c>
      <c r="BU24" s="669"/>
    </row>
    <row r="25" spans="2:73" s="252" customFormat="1" ht="49.5" customHeight="1">
      <c r="B25" s="247" t="s">
        <v>474</v>
      </c>
      <c r="C25" s="247" t="s">
        <v>212</v>
      </c>
      <c r="D25" s="628" t="s">
        <v>475</v>
      </c>
      <c r="E25" s="247" t="s">
        <v>209</v>
      </c>
      <c r="F25" s="247" t="s">
        <v>476</v>
      </c>
      <c r="G25" s="247" t="s">
        <v>477</v>
      </c>
      <c r="H25" s="628" t="s">
        <v>478</v>
      </c>
      <c r="I25" s="636" t="s">
        <v>588</v>
      </c>
      <c r="J25" s="643" t="s">
        <v>589</v>
      </c>
      <c r="K25" s="641"/>
      <c r="L25" s="248" t="s">
        <v>479</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480</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34"/>
      <c r="I26" s="634"/>
      <c r="J26" s="634"/>
      <c r="K26" s="642"/>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0"/>
      <c r="C27" s="690" t="s">
        <v>2</v>
      </c>
      <c r="D27" s="690"/>
      <c r="E27" s="690" t="s">
        <v>687</v>
      </c>
      <c r="F27" s="690" t="s">
        <v>29</v>
      </c>
      <c r="G27" s="690"/>
      <c r="H27" s="690">
        <v>2011</v>
      </c>
      <c r="I27" s="644" t="s">
        <v>576</v>
      </c>
      <c r="J27" s="644" t="s">
        <v>594</v>
      </c>
      <c r="K27" s="633"/>
      <c r="L27" s="694">
        <v>1.1879073687414818</v>
      </c>
      <c r="M27" s="695">
        <v>1.1879073687414818</v>
      </c>
      <c r="N27" s="695">
        <v>1.1879073687414818</v>
      </c>
      <c r="O27" s="695">
        <v>0.68541338247813122</v>
      </c>
      <c r="P27" s="695">
        <v>0</v>
      </c>
      <c r="Q27" s="695">
        <v>0</v>
      </c>
      <c r="R27" s="695">
        <v>0</v>
      </c>
      <c r="S27" s="695">
        <v>0</v>
      </c>
      <c r="T27" s="695">
        <v>0</v>
      </c>
      <c r="U27" s="695">
        <v>0</v>
      </c>
      <c r="V27" s="695">
        <v>0</v>
      </c>
      <c r="W27" s="695">
        <v>0</v>
      </c>
      <c r="X27" s="695">
        <v>0</v>
      </c>
      <c r="Y27" s="695">
        <v>0</v>
      </c>
      <c r="Z27" s="695">
        <v>0</v>
      </c>
      <c r="AA27" s="695">
        <v>0</v>
      </c>
      <c r="AB27" s="695">
        <v>0</v>
      </c>
      <c r="AC27" s="695">
        <v>0</v>
      </c>
      <c r="AD27" s="695">
        <v>0</v>
      </c>
      <c r="AE27" s="695">
        <v>0</v>
      </c>
      <c r="AF27" s="695">
        <v>0</v>
      </c>
      <c r="AG27" s="695">
        <v>0</v>
      </c>
      <c r="AH27" s="695">
        <v>0</v>
      </c>
      <c r="AI27" s="695">
        <v>0</v>
      </c>
      <c r="AJ27" s="695">
        <v>0</v>
      </c>
      <c r="AK27" s="695">
        <v>0</v>
      </c>
      <c r="AL27" s="695">
        <v>0</v>
      </c>
      <c r="AM27" s="695">
        <v>0</v>
      </c>
      <c r="AN27" s="695">
        <v>0</v>
      </c>
      <c r="AO27" s="696">
        <v>0</v>
      </c>
      <c r="AP27" s="633"/>
      <c r="AQ27" s="701">
        <v>1671.4918706195494</v>
      </c>
      <c r="AR27" s="702">
        <v>1671.4918706195494</v>
      </c>
      <c r="AS27" s="703">
        <v>1671.4918706195494</v>
      </c>
      <c r="AT27" s="702">
        <v>1222.1344022192445</v>
      </c>
      <c r="AU27" s="703">
        <v>0</v>
      </c>
      <c r="AV27" s="702">
        <v>0</v>
      </c>
      <c r="AW27" s="703">
        <v>0</v>
      </c>
      <c r="AX27" s="702">
        <v>0</v>
      </c>
      <c r="AY27" s="703">
        <v>0</v>
      </c>
      <c r="AZ27" s="702">
        <v>0</v>
      </c>
      <c r="BA27" s="703">
        <v>0</v>
      </c>
      <c r="BB27" s="702">
        <v>0</v>
      </c>
      <c r="BC27" s="703">
        <v>0</v>
      </c>
      <c r="BD27" s="702">
        <v>0</v>
      </c>
      <c r="BE27" s="703">
        <v>0</v>
      </c>
      <c r="BF27" s="702">
        <v>0</v>
      </c>
      <c r="BG27" s="703">
        <v>0</v>
      </c>
      <c r="BH27" s="702">
        <v>0</v>
      </c>
      <c r="BI27" s="703">
        <v>0</v>
      </c>
      <c r="BJ27" s="702">
        <v>0</v>
      </c>
      <c r="BK27" s="703">
        <v>0</v>
      </c>
      <c r="BL27" s="702">
        <v>0</v>
      </c>
      <c r="BM27" s="703">
        <v>0</v>
      </c>
      <c r="BN27" s="702">
        <v>0</v>
      </c>
      <c r="BO27" s="703">
        <v>0</v>
      </c>
      <c r="BP27" s="702">
        <v>0</v>
      </c>
      <c r="BQ27" s="703">
        <v>0</v>
      </c>
      <c r="BR27" s="702">
        <v>0</v>
      </c>
      <c r="BS27" s="703">
        <v>0</v>
      </c>
      <c r="BT27" s="704">
        <v>0</v>
      </c>
      <c r="BU27" s="16"/>
    </row>
    <row r="28" spans="2:73" s="17" customFormat="1" ht="15.75">
      <c r="B28" s="690"/>
      <c r="C28" s="690" t="s">
        <v>1</v>
      </c>
      <c r="D28" s="690"/>
      <c r="E28" s="690" t="s">
        <v>687</v>
      </c>
      <c r="F28" s="690" t="s">
        <v>29</v>
      </c>
      <c r="G28" s="690"/>
      <c r="H28" s="690">
        <v>2011</v>
      </c>
      <c r="I28" s="644" t="s">
        <v>576</v>
      </c>
      <c r="J28" s="644" t="s">
        <v>594</v>
      </c>
      <c r="K28" s="633"/>
      <c r="L28" s="694">
        <v>7.626611228809197</v>
      </c>
      <c r="M28" s="695">
        <v>7.626611228809197</v>
      </c>
      <c r="N28" s="695">
        <v>7.626611228809197</v>
      </c>
      <c r="O28" s="695">
        <v>7.2875408183543122</v>
      </c>
      <c r="P28" s="695">
        <v>5.193470906745727</v>
      </c>
      <c r="Q28" s="695">
        <v>0</v>
      </c>
      <c r="R28" s="695">
        <v>0</v>
      </c>
      <c r="S28" s="695">
        <v>0</v>
      </c>
      <c r="T28" s="695">
        <v>0</v>
      </c>
      <c r="U28" s="695">
        <v>0</v>
      </c>
      <c r="V28" s="695">
        <v>0</v>
      </c>
      <c r="W28" s="695">
        <v>0</v>
      </c>
      <c r="X28" s="695">
        <v>0</v>
      </c>
      <c r="Y28" s="695">
        <v>0</v>
      </c>
      <c r="Z28" s="695">
        <v>0</v>
      </c>
      <c r="AA28" s="695">
        <v>0</v>
      </c>
      <c r="AB28" s="695">
        <v>0</v>
      </c>
      <c r="AC28" s="695">
        <v>0</v>
      </c>
      <c r="AD28" s="695">
        <v>0</v>
      </c>
      <c r="AE28" s="695">
        <v>0</v>
      </c>
      <c r="AF28" s="695">
        <v>0</v>
      </c>
      <c r="AG28" s="695">
        <v>0</v>
      </c>
      <c r="AH28" s="695">
        <v>0</v>
      </c>
      <c r="AI28" s="695">
        <v>0</v>
      </c>
      <c r="AJ28" s="695">
        <v>0</v>
      </c>
      <c r="AK28" s="695">
        <v>0</v>
      </c>
      <c r="AL28" s="695">
        <v>0</v>
      </c>
      <c r="AM28" s="695">
        <v>0</v>
      </c>
      <c r="AN28" s="695">
        <v>0</v>
      </c>
      <c r="AO28" s="696">
        <v>0</v>
      </c>
      <c r="AP28" s="633"/>
      <c r="AQ28" s="705">
        <v>52746.940326103329</v>
      </c>
      <c r="AR28" s="706">
        <v>52746.940326103329</v>
      </c>
      <c r="AS28" s="707">
        <v>52746.940326103329</v>
      </c>
      <c r="AT28" s="706">
        <v>52443.725112754277</v>
      </c>
      <c r="AU28" s="707">
        <v>39500.16606746184</v>
      </c>
      <c r="AV28" s="706">
        <v>0</v>
      </c>
      <c r="AW28" s="707">
        <v>0</v>
      </c>
      <c r="AX28" s="706">
        <v>0</v>
      </c>
      <c r="AY28" s="707">
        <v>0</v>
      </c>
      <c r="AZ28" s="706">
        <v>0</v>
      </c>
      <c r="BA28" s="707">
        <v>0</v>
      </c>
      <c r="BB28" s="706">
        <v>0</v>
      </c>
      <c r="BC28" s="707">
        <v>0</v>
      </c>
      <c r="BD28" s="706">
        <v>0</v>
      </c>
      <c r="BE28" s="707">
        <v>0</v>
      </c>
      <c r="BF28" s="706">
        <v>0</v>
      </c>
      <c r="BG28" s="707">
        <v>0</v>
      </c>
      <c r="BH28" s="706">
        <v>0</v>
      </c>
      <c r="BI28" s="707">
        <v>0</v>
      </c>
      <c r="BJ28" s="706">
        <v>0</v>
      </c>
      <c r="BK28" s="707">
        <v>0</v>
      </c>
      <c r="BL28" s="706">
        <v>0</v>
      </c>
      <c r="BM28" s="707">
        <v>0</v>
      </c>
      <c r="BN28" s="706">
        <v>0</v>
      </c>
      <c r="BO28" s="707">
        <v>0</v>
      </c>
      <c r="BP28" s="706">
        <v>0</v>
      </c>
      <c r="BQ28" s="707">
        <v>0</v>
      </c>
      <c r="BR28" s="706">
        <v>0</v>
      </c>
      <c r="BS28" s="707">
        <v>0</v>
      </c>
      <c r="BT28" s="708">
        <v>0</v>
      </c>
      <c r="BU28" s="16"/>
    </row>
    <row r="29" spans="2:73" s="17" customFormat="1" ht="16.5" customHeight="1">
      <c r="B29" s="690"/>
      <c r="C29" s="690" t="s">
        <v>5</v>
      </c>
      <c r="D29" s="690"/>
      <c r="E29" s="690" t="s">
        <v>687</v>
      </c>
      <c r="F29" s="690" t="s">
        <v>29</v>
      </c>
      <c r="G29" s="690"/>
      <c r="H29" s="690">
        <v>2011</v>
      </c>
      <c r="I29" s="644" t="s">
        <v>576</v>
      </c>
      <c r="J29" s="644" t="s">
        <v>594</v>
      </c>
      <c r="K29" s="633"/>
      <c r="L29" s="694">
        <v>5.113504196502344</v>
      </c>
      <c r="M29" s="695">
        <v>5.113504196502344</v>
      </c>
      <c r="N29" s="695">
        <v>5.113504196502344</v>
      </c>
      <c r="O29" s="695">
        <v>5.113504196502344</v>
      </c>
      <c r="P29" s="695">
        <v>4.7787960737020345</v>
      </c>
      <c r="Q29" s="695">
        <v>4.3867677576883164</v>
      </c>
      <c r="R29" s="695">
        <v>3.4814553771866423</v>
      </c>
      <c r="S29" s="695">
        <v>3.4597656657572338</v>
      </c>
      <c r="T29" s="695">
        <v>4.1601283138244458</v>
      </c>
      <c r="U29" s="695">
        <v>1.9476059839550437</v>
      </c>
      <c r="V29" s="695">
        <v>0.2907845271584053</v>
      </c>
      <c r="W29" s="695">
        <v>0.29066668925496181</v>
      </c>
      <c r="X29" s="695">
        <v>0.29066668925496181</v>
      </c>
      <c r="Y29" s="695">
        <v>0.27033290928126669</v>
      </c>
      <c r="Z29" s="695">
        <v>0.27033290928126669</v>
      </c>
      <c r="AA29" s="695">
        <v>0.23125149867840283</v>
      </c>
      <c r="AB29" s="695">
        <v>0</v>
      </c>
      <c r="AC29" s="695">
        <v>0</v>
      </c>
      <c r="AD29" s="695">
        <v>0</v>
      </c>
      <c r="AE29" s="695">
        <v>0</v>
      </c>
      <c r="AF29" s="695">
        <v>0</v>
      </c>
      <c r="AG29" s="695">
        <v>0</v>
      </c>
      <c r="AH29" s="695">
        <v>0</v>
      </c>
      <c r="AI29" s="695">
        <v>0</v>
      </c>
      <c r="AJ29" s="695">
        <v>0</v>
      </c>
      <c r="AK29" s="695">
        <v>0</v>
      </c>
      <c r="AL29" s="695">
        <v>0</v>
      </c>
      <c r="AM29" s="695">
        <v>0</v>
      </c>
      <c r="AN29" s="695">
        <v>0</v>
      </c>
      <c r="AO29" s="696">
        <v>0</v>
      </c>
      <c r="AP29" s="633"/>
      <c r="AQ29" s="709">
        <v>90221.827974615051</v>
      </c>
      <c r="AR29" s="710">
        <v>90221.827974615051</v>
      </c>
      <c r="AS29" s="711">
        <v>90221.827974615051</v>
      </c>
      <c r="AT29" s="710">
        <v>90221.827974615051</v>
      </c>
      <c r="AU29" s="711">
        <v>82993.171440725331</v>
      </c>
      <c r="AV29" s="710">
        <v>74526.576652665623</v>
      </c>
      <c r="AW29" s="711">
        <v>54974.639281761061</v>
      </c>
      <c r="AX29" s="710">
        <v>54784.637409639443</v>
      </c>
      <c r="AY29" s="711">
        <v>69910.296714489392</v>
      </c>
      <c r="AZ29" s="710">
        <v>22126.681956716464</v>
      </c>
      <c r="BA29" s="711">
        <v>8291.2189190348872</v>
      </c>
      <c r="BB29" s="710">
        <v>7320.0997923125451</v>
      </c>
      <c r="BC29" s="711">
        <v>7320.0997923125451</v>
      </c>
      <c r="BD29" s="710">
        <v>5453.7633173602062</v>
      </c>
      <c r="BE29" s="711">
        <v>5453.7633173602062</v>
      </c>
      <c r="BF29" s="710">
        <v>4994.3145774527284</v>
      </c>
      <c r="BG29" s="711">
        <v>0</v>
      </c>
      <c r="BH29" s="710">
        <v>0</v>
      </c>
      <c r="BI29" s="711">
        <v>0</v>
      </c>
      <c r="BJ29" s="710">
        <v>0</v>
      </c>
      <c r="BK29" s="711">
        <v>0</v>
      </c>
      <c r="BL29" s="710">
        <v>0</v>
      </c>
      <c r="BM29" s="711">
        <v>0</v>
      </c>
      <c r="BN29" s="710">
        <v>0</v>
      </c>
      <c r="BO29" s="711">
        <v>0</v>
      </c>
      <c r="BP29" s="710">
        <v>0</v>
      </c>
      <c r="BQ29" s="711">
        <v>0</v>
      </c>
      <c r="BR29" s="710">
        <v>0</v>
      </c>
      <c r="BS29" s="711">
        <v>0</v>
      </c>
      <c r="BT29" s="712">
        <v>0</v>
      </c>
      <c r="BU29" s="16"/>
    </row>
    <row r="30" spans="2:73" s="17" customFormat="1" ht="15.75">
      <c r="B30" s="690"/>
      <c r="C30" s="690" t="s">
        <v>4</v>
      </c>
      <c r="D30" s="690"/>
      <c r="E30" s="690" t="s">
        <v>687</v>
      </c>
      <c r="F30" s="690" t="s">
        <v>29</v>
      </c>
      <c r="G30" s="690"/>
      <c r="H30" s="690">
        <v>2011</v>
      </c>
      <c r="I30" s="644" t="s">
        <v>576</v>
      </c>
      <c r="J30" s="644" t="s">
        <v>594</v>
      </c>
      <c r="K30" s="633"/>
      <c r="L30" s="694">
        <v>3.3392644783408905</v>
      </c>
      <c r="M30" s="695">
        <v>3.3392644783408905</v>
      </c>
      <c r="N30" s="695">
        <v>3.3392644783408905</v>
      </c>
      <c r="O30" s="695">
        <v>3.3392644783408905</v>
      </c>
      <c r="P30" s="695">
        <v>3.1404539460095009</v>
      </c>
      <c r="Q30" s="695">
        <v>2.9201132864753054</v>
      </c>
      <c r="R30" s="695">
        <v>2.4554944452741139</v>
      </c>
      <c r="S30" s="695">
        <v>2.4298267421884345</v>
      </c>
      <c r="T30" s="695">
        <v>2.8458294066063994</v>
      </c>
      <c r="U30" s="695">
        <v>1.5840509331139143</v>
      </c>
      <c r="V30" s="695">
        <v>0.19692729550807764</v>
      </c>
      <c r="W30" s="695">
        <v>0.19680485294481984</v>
      </c>
      <c r="X30" s="695">
        <v>0.19680485294481984</v>
      </c>
      <c r="Y30" s="695">
        <v>0.19313590071147713</v>
      </c>
      <c r="Z30" s="695">
        <v>0.19313590071147713</v>
      </c>
      <c r="AA30" s="695">
        <v>0.18349789607872</v>
      </c>
      <c r="AB30" s="695">
        <v>0</v>
      </c>
      <c r="AC30" s="695">
        <v>0</v>
      </c>
      <c r="AD30" s="695">
        <v>0</v>
      </c>
      <c r="AE30" s="695">
        <v>0</v>
      </c>
      <c r="AF30" s="695">
        <v>0</v>
      </c>
      <c r="AG30" s="695">
        <v>0</v>
      </c>
      <c r="AH30" s="695">
        <v>0</v>
      </c>
      <c r="AI30" s="695">
        <v>0</v>
      </c>
      <c r="AJ30" s="695">
        <v>0</v>
      </c>
      <c r="AK30" s="695">
        <v>0</v>
      </c>
      <c r="AL30" s="695">
        <v>0</v>
      </c>
      <c r="AM30" s="695">
        <v>0</v>
      </c>
      <c r="AN30" s="695">
        <v>0</v>
      </c>
      <c r="AO30" s="696">
        <v>0</v>
      </c>
      <c r="AP30" s="633"/>
      <c r="AQ30" s="705">
        <v>54256.762724071887</v>
      </c>
      <c r="AR30" s="706">
        <v>54256.762724071887</v>
      </c>
      <c r="AS30" s="707">
        <v>54256.762724071887</v>
      </c>
      <c r="AT30" s="706">
        <v>54256.762724071887</v>
      </c>
      <c r="AU30" s="707">
        <v>49963.072324449298</v>
      </c>
      <c r="AV30" s="706">
        <v>45204.398005769297</v>
      </c>
      <c r="AW30" s="707">
        <v>35170.073191306939</v>
      </c>
      <c r="AX30" s="706">
        <v>34945.224112276381</v>
      </c>
      <c r="AY30" s="707">
        <v>43929.590410594581</v>
      </c>
      <c r="AZ30" s="706">
        <v>16679.091885422826</v>
      </c>
      <c r="BA30" s="707">
        <v>5422.1129204794643</v>
      </c>
      <c r="BB30" s="706">
        <v>4413.0461293217068</v>
      </c>
      <c r="BC30" s="707">
        <v>4413.0461293217068</v>
      </c>
      <c r="BD30" s="706">
        <v>4076.2912619628746</v>
      </c>
      <c r="BE30" s="707">
        <v>4076.2912619628746</v>
      </c>
      <c r="BF30" s="706">
        <v>3962.9849862825849</v>
      </c>
      <c r="BG30" s="707">
        <v>0</v>
      </c>
      <c r="BH30" s="706">
        <v>0</v>
      </c>
      <c r="BI30" s="707">
        <v>0</v>
      </c>
      <c r="BJ30" s="706">
        <v>0</v>
      </c>
      <c r="BK30" s="707">
        <v>0</v>
      </c>
      <c r="BL30" s="706">
        <v>0</v>
      </c>
      <c r="BM30" s="707">
        <v>0</v>
      </c>
      <c r="BN30" s="706">
        <v>0</v>
      </c>
      <c r="BO30" s="707">
        <v>0</v>
      </c>
      <c r="BP30" s="706">
        <v>0</v>
      </c>
      <c r="BQ30" s="707">
        <v>0</v>
      </c>
      <c r="BR30" s="706">
        <v>0</v>
      </c>
      <c r="BS30" s="707">
        <v>0</v>
      </c>
      <c r="BT30" s="708">
        <v>0</v>
      </c>
      <c r="BU30" s="16"/>
    </row>
    <row r="31" spans="2:73" s="17" customFormat="1" ht="15.75">
      <c r="B31" s="690"/>
      <c r="C31" s="690" t="s">
        <v>3</v>
      </c>
      <c r="D31" s="690"/>
      <c r="E31" s="690" t="s">
        <v>687</v>
      </c>
      <c r="F31" s="690" t="s">
        <v>29</v>
      </c>
      <c r="G31" s="690"/>
      <c r="H31" s="690">
        <v>2011</v>
      </c>
      <c r="I31" s="644" t="s">
        <v>576</v>
      </c>
      <c r="J31" s="644" t="s">
        <v>594</v>
      </c>
      <c r="K31" s="633"/>
      <c r="L31" s="694">
        <v>31.598265159682093</v>
      </c>
      <c r="M31" s="695">
        <v>31.598265159682093</v>
      </c>
      <c r="N31" s="695">
        <v>31.598265159682093</v>
      </c>
      <c r="O31" s="695">
        <v>31.598265159682093</v>
      </c>
      <c r="P31" s="695">
        <v>31.598265159682093</v>
      </c>
      <c r="Q31" s="695">
        <v>31.598265159682093</v>
      </c>
      <c r="R31" s="695">
        <v>31.598265159682093</v>
      </c>
      <c r="S31" s="695">
        <v>31.598265159682093</v>
      </c>
      <c r="T31" s="695">
        <v>31.598265159682093</v>
      </c>
      <c r="U31" s="695">
        <v>31.598265159682093</v>
      </c>
      <c r="V31" s="695">
        <v>31.598265159682093</v>
      </c>
      <c r="W31" s="695">
        <v>31.598265159682093</v>
      </c>
      <c r="X31" s="695">
        <v>31.598265159682093</v>
      </c>
      <c r="Y31" s="695">
        <v>31.598265159682093</v>
      </c>
      <c r="Z31" s="695">
        <v>31.598265159682093</v>
      </c>
      <c r="AA31" s="695">
        <v>31.598265159682093</v>
      </c>
      <c r="AB31" s="695">
        <v>31.598265159682093</v>
      </c>
      <c r="AC31" s="695">
        <v>31.598265159682093</v>
      </c>
      <c r="AD31" s="695">
        <v>28.138551446106131</v>
      </c>
      <c r="AE31" s="695">
        <v>0</v>
      </c>
      <c r="AF31" s="695">
        <v>0</v>
      </c>
      <c r="AG31" s="695">
        <v>0</v>
      </c>
      <c r="AH31" s="695">
        <v>0</v>
      </c>
      <c r="AI31" s="695">
        <v>0</v>
      </c>
      <c r="AJ31" s="695">
        <v>0</v>
      </c>
      <c r="AK31" s="695">
        <v>0</v>
      </c>
      <c r="AL31" s="695">
        <v>0</v>
      </c>
      <c r="AM31" s="695">
        <v>0</v>
      </c>
      <c r="AN31" s="695">
        <v>0</v>
      </c>
      <c r="AO31" s="696">
        <v>0</v>
      </c>
      <c r="AP31" s="633"/>
      <c r="AQ31" s="709">
        <v>60902.619333977389</v>
      </c>
      <c r="AR31" s="710">
        <v>60902.619333977389</v>
      </c>
      <c r="AS31" s="711">
        <v>60902.619333977389</v>
      </c>
      <c r="AT31" s="710">
        <v>60902.619333977389</v>
      </c>
      <c r="AU31" s="711">
        <v>60902.619333977389</v>
      </c>
      <c r="AV31" s="710">
        <v>60902.619333977389</v>
      </c>
      <c r="AW31" s="711">
        <v>60902.619333977389</v>
      </c>
      <c r="AX31" s="710">
        <v>60902.619333977389</v>
      </c>
      <c r="AY31" s="711">
        <v>60902.619333977389</v>
      </c>
      <c r="AZ31" s="710">
        <v>60902.619333977389</v>
      </c>
      <c r="BA31" s="711">
        <v>60902.619333977389</v>
      </c>
      <c r="BB31" s="710">
        <v>60902.619333977389</v>
      </c>
      <c r="BC31" s="711">
        <v>60902.619333977389</v>
      </c>
      <c r="BD31" s="710">
        <v>60902.619333977389</v>
      </c>
      <c r="BE31" s="711">
        <v>60902.619333977389</v>
      </c>
      <c r="BF31" s="710">
        <v>60902.619333977389</v>
      </c>
      <c r="BG31" s="711">
        <v>60902.619333977389</v>
      </c>
      <c r="BH31" s="710">
        <v>60902.619333977389</v>
      </c>
      <c r="BI31" s="711">
        <v>57804.635692722048</v>
      </c>
      <c r="BJ31" s="710">
        <v>0</v>
      </c>
      <c r="BK31" s="711">
        <v>0</v>
      </c>
      <c r="BL31" s="710">
        <v>0</v>
      </c>
      <c r="BM31" s="711">
        <v>0</v>
      </c>
      <c r="BN31" s="710">
        <v>0</v>
      </c>
      <c r="BO31" s="711">
        <v>0</v>
      </c>
      <c r="BP31" s="710">
        <v>0</v>
      </c>
      <c r="BQ31" s="711">
        <v>0</v>
      </c>
      <c r="BR31" s="710">
        <v>0</v>
      </c>
      <c r="BS31" s="711">
        <v>0</v>
      </c>
      <c r="BT31" s="712">
        <v>0</v>
      </c>
      <c r="BU31" s="16"/>
    </row>
    <row r="32" spans="2:73" s="17" customFormat="1" ht="15.75">
      <c r="B32" s="690"/>
      <c r="C32" s="690" t="s">
        <v>9</v>
      </c>
      <c r="D32" s="690"/>
      <c r="E32" s="690" t="s">
        <v>687</v>
      </c>
      <c r="F32" s="690" t="s">
        <v>688</v>
      </c>
      <c r="G32" s="690"/>
      <c r="H32" s="690">
        <v>2011</v>
      </c>
      <c r="I32" s="644" t="s">
        <v>576</v>
      </c>
      <c r="J32" s="644" t="s">
        <v>594</v>
      </c>
      <c r="K32" s="633"/>
      <c r="L32" s="694">
        <v>37.164999999999999</v>
      </c>
      <c r="M32" s="695">
        <v>0</v>
      </c>
      <c r="N32" s="695">
        <v>0</v>
      </c>
      <c r="O32" s="695">
        <v>0</v>
      </c>
      <c r="P32" s="695">
        <v>0</v>
      </c>
      <c r="Q32" s="695">
        <v>0</v>
      </c>
      <c r="R32" s="695">
        <v>0</v>
      </c>
      <c r="S32" s="695">
        <v>0</v>
      </c>
      <c r="T32" s="695">
        <v>0</v>
      </c>
      <c r="U32" s="695">
        <v>0</v>
      </c>
      <c r="V32" s="695">
        <v>0</v>
      </c>
      <c r="W32" s="695">
        <v>0</v>
      </c>
      <c r="X32" s="695">
        <v>0</v>
      </c>
      <c r="Y32" s="695">
        <v>0</v>
      </c>
      <c r="Z32" s="695">
        <v>0</v>
      </c>
      <c r="AA32" s="695">
        <v>0</v>
      </c>
      <c r="AB32" s="695">
        <v>0</v>
      </c>
      <c r="AC32" s="695">
        <v>0</v>
      </c>
      <c r="AD32" s="695">
        <v>0</v>
      </c>
      <c r="AE32" s="695">
        <v>0</v>
      </c>
      <c r="AF32" s="695">
        <v>0</v>
      </c>
      <c r="AG32" s="695">
        <v>0</v>
      </c>
      <c r="AH32" s="695">
        <v>0</v>
      </c>
      <c r="AI32" s="695">
        <v>0</v>
      </c>
      <c r="AJ32" s="695">
        <v>0</v>
      </c>
      <c r="AK32" s="695">
        <v>0</v>
      </c>
      <c r="AL32" s="695">
        <v>0</v>
      </c>
      <c r="AM32" s="695">
        <v>0</v>
      </c>
      <c r="AN32" s="695">
        <v>0</v>
      </c>
      <c r="AO32" s="696">
        <v>0</v>
      </c>
      <c r="AP32" s="633"/>
      <c r="AQ32" s="713">
        <v>1451.0339999999999</v>
      </c>
      <c r="AR32" s="714">
        <v>0</v>
      </c>
      <c r="AS32" s="715">
        <v>0</v>
      </c>
      <c r="AT32" s="714">
        <v>0</v>
      </c>
      <c r="AU32" s="715">
        <v>0</v>
      </c>
      <c r="AV32" s="714">
        <v>0</v>
      </c>
      <c r="AW32" s="715">
        <v>0</v>
      </c>
      <c r="AX32" s="714">
        <v>0</v>
      </c>
      <c r="AY32" s="715">
        <v>0</v>
      </c>
      <c r="AZ32" s="714">
        <v>0</v>
      </c>
      <c r="BA32" s="715">
        <v>0</v>
      </c>
      <c r="BB32" s="714">
        <v>0</v>
      </c>
      <c r="BC32" s="715">
        <v>0</v>
      </c>
      <c r="BD32" s="714">
        <v>0</v>
      </c>
      <c r="BE32" s="715">
        <v>0</v>
      </c>
      <c r="BF32" s="714">
        <v>0</v>
      </c>
      <c r="BG32" s="715">
        <v>0</v>
      </c>
      <c r="BH32" s="714">
        <v>0</v>
      </c>
      <c r="BI32" s="715">
        <v>0</v>
      </c>
      <c r="BJ32" s="714">
        <v>0</v>
      </c>
      <c r="BK32" s="715">
        <v>0</v>
      </c>
      <c r="BL32" s="714">
        <v>0</v>
      </c>
      <c r="BM32" s="715">
        <v>0</v>
      </c>
      <c r="BN32" s="714">
        <v>0</v>
      </c>
      <c r="BO32" s="715">
        <v>0</v>
      </c>
      <c r="BP32" s="714">
        <v>0</v>
      </c>
      <c r="BQ32" s="715">
        <v>0</v>
      </c>
      <c r="BR32" s="714">
        <v>0</v>
      </c>
      <c r="BS32" s="715">
        <v>0</v>
      </c>
      <c r="BT32" s="716">
        <v>0</v>
      </c>
      <c r="BU32" s="16"/>
    </row>
    <row r="33" spans="2:73" s="17" customFormat="1" ht="15.75">
      <c r="B33" s="690"/>
      <c r="C33" s="690" t="s">
        <v>21</v>
      </c>
      <c r="D33" s="690"/>
      <c r="E33" s="690" t="s">
        <v>687</v>
      </c>
      <c r="F33" s="690" t="s">
        <v>686</v>
      </c>
      <c r="G33" s="690"/>
      <c r="H33" s="690">
        <v>2011</v>
      </c>
      <c r="I33" s="644" t="s">
        <v>576</v>
      </c>
      <c r="J33" s="644" t="s">
        <v>594</v>
      </c>
      <c r="K33" s="633"/>
      <c r="L33" s="694">
        <v>60.788904907489417</v>
      </c>
      <c r="M33" s="695">
        <v>60.788904907489417</v>
      </c>
      <c r="N33" s="695">
        <v>60.788904907489417</v>
      </c>
      <c r="O33" s="695">
        <v>31.725768759739751</v>
      </c>
      <c r="P33" s="695">
        <v>31.725768759739751</v>
      </c>
      <c r="Q33" s="695">
        <v>31.725768759739751</v>
      </c>
      <c r="R33" s="695">
        <v>6.0568843103556</v>
      </c>
      <c r="S33" s="695">
        <v>6.0568843103556</v>
      </c>
      <c r="T33" s="695">
        <v>6.0568843103556</v>
      </c>
      <c r="U33" s="695">
        <v>6.0568843103556</v>
      </c>
      <c r="V33" s="695">
        <v>5.4658282610475499</v>
      </c>
      <c r="W33" s="695">
        <v>5.4658282610475499</v>
      </c>
      <c r="X33" s="695">
        <v>0</v>
      </c>
      <c r="Y33" s="695">
        <v>0</v>
      </c>
      <c r="Z33" s="695">
        <v>0</v>
      </c>
      <c r="AA33" s="695">
        <v>0</v>
      </c>
      <c r="AB33" s="695">
        <v>0</v>
      </c>
      <c r="AC33" s="695">
        <v>0</v>
      </c>
      <c r="AD33" s="695">
        <v>0</v>
      </c>
      <c r="AE33" s="695">
        <v>0</v>
      </c>
      <c r="AF33" s="695">
        <v>0</v>
      </c>
      <c r="AG33" s="695">
        <v>0</v>
      </c>
      <c r="AH33" s="695">
        <v>0</v>
      </c>
      <c r="AI33" s="695">
        <v>0</v>
      </c>
      <c r="AJ33" s="695">
        <v>0</v>
      </c>
      <c r="AK33" s="695">
        <v>0</v>
      </c>
      <c r="AL33" s="695">
        <v>0</v>
      </c>
      <c r="AM33" s="695">
        <v>0</v>
      </c>
      <c r="AN33" s="695">
        <v>0</v>
      </c>
      <c r="AO33" s="696">
        <v>0</v>
      </c>
      <c r="AP33" s="633"/>
      <c r="AQ33" s="701">
        <v>161529.24697593649</v>
      </c>
      <c r="AR33" s="702">
        <v>161529.24697593649</v>
      </c>
      <c r="AS33" s="703">
        <v>161529.24697593649</v>
      </c>
      <c r="AT33" s="702">
        <v>79595.894640730126</v>
      </c>
      <c r="AU33" s="703">
        <v>79595.894640730126</v>
      </c>
      <c r="AV33" s="702">
        <v>79595.894640730126</v>
      </c>
      <c r="AW33" s="703">
        <v>17296.754687108401</v>
      </c>
      <c r="AX33" s="702">
        <v>17296.754687108401</v>
      </c>
      <c r="AY33" s="703">
        <v>17296.754687108401</v>
      </c>
      <c r="AZ33" s="702">
        <v>17296.754687108401</v>
      </c>
      <c r="BA33" s="703">
        <v>13410.22269501558</v>
      </c>
      <c r="BB33" s="702">
        <v>13410.22269501558</v>
      </c>
      <c r="BC33" s="703">
        <v>0</v>
      </c>
      <c r="BD33" s="702">
        <v>0</v>
      </c>
      <c r="BE33" s="703">
        <v>0</v>
      </c>
      <c r="BF33" s="702">
        <v>0</v>
      </c>
      <c r="BG33" s="703">
        <v>0</v>
      </c>
      <c r="BH33" s="702">
        <v>0</v>
      </c>
      <c r="BI33" s="703">
        <v>0</v>
      </c>
      <c r="BJ33" s="702">
        <v>0</v>
      </c>
      <c r="BK33" s="703">
        <v>0</v>
      </c>
      <c r="BL33" s="702">
        <v>0</v>
      </c>
      <c r="BM33" s="703">
        <v>0</v>
      </c>
      <c r="BN33" s="702">
        <v>0</v>
      </c>
      <c r="BO33" s="703">
        <v>0</v>
      </c>
      <c r="BP33" s="702">
        <v>0</v>
      </c>
      <c r="BQ33" s="703">
        <v>0</v>
      </c>
      <c r="BR33" s="702">
        <v>0</v>
      </c>
      <c r="BS33" s="703">
        <v>0</v>
      </c>
      <c r="BT33" s="704">
        <v>0</v>
      </c>
      <c r="BU33" s="16"/>
    </row>
    <row r="34" spans="2:73" s="17" customFormat="1" ht="15.75">
      <c r="B34" s="690"/>
      <c r="C34" s="690" t="s">
        <v>684</v>
      </c>
      <c r="D34" s="690"/>
      <c r="E34" s="690" t="s">
        <v>687</v>
      </c>
      <c r="F34" s="690" t="s">
        <v>685</v>
      </c>
      <c r="G34" s="690"/>
      <c r="H34" s="690">
        <v>2011</v>
      </c>
      <c r="I34" s="644" t="s">
        <v>576</v>
      </c>
      <c r="J34" s="644" t="s">
        <v>594</v>
      </c>
      <c r="K34" s="633"/>
      <c r="L34" s="694">
        <v>3</v>
      </c>
      <c r="M34" s="695">
        <v>3</v>
      </c>
      <c r="N34" s="695">
        <v>3</v>
      </c>
      <c r="O34" s="695">
        <v>3</v>
      </c>
      <c r="P34" s="695">
        <v>3</v>
      </c>
      <c r="Q34" s="695">
        <v>3</v>
      </c>
      <c r="R34" s="695">
        <v>3</v>
      </c>
      <c r="S34" s="695">
        <v>3</v>
      </c>
      <c r="T34" s="695">
        <v>3</v>
      </c>
      <c r="U34" s="695">
        <v>3</v>
      </c>
      <c r="V34" s="695">
        <v>3</v>
      </c>
      <c r="W34" s="695">
        <v>0</v>
      </c>
      <c r="X34" s="695">
        <v>0</v>
      </c>
      <c r="Y34" s="695">
        <v>0</v>
      </c>
      <c r="Z34" s="695">
        <v>0</v>
      </c>
      <c r="AA34" s="695">
        <v>0</v>
      </c>
      <c r="AB34" s="695">
        <v>0</v>
      </c>
      <c r="AC34" s="695">
        <v>0</v>
      </c>
      <c r="AD34" s="695">
        <v>0</v>
      </c>
      <c r="AE34" s="695">
        <v>0</v>
      </c>
      <c r="AF34" s="695">
        <v>0</v>
      </c>
      <c r="AG34" s="695">
        <v>0</v>
      </c>
      <c r="AH34" s="695">
        <v>0</v>
      </c>
      <c r="AI34" s="695">
        <v>0</v>
      </c>
      <c r="AJ34" s="695">
        <v>0</v>
      </c>
      <c r="AK34" s="695">
        <v>0</v>
      </c>
      <c r="AL34" s="695">
        <v>0</v>
      </c>
      <c r="AM34" s="695">
        <v>0</v>
      </c>
      <c r="AN34" s="695">
        <v>0</v>
      </c>
      <c r="AO34" s="696">
        <v>0</v>
      </c>
      <c r="AP34" s="633"/>
      <c r="AQ34" s="705">
        <v>20486.999999999949</v>
      </c>
      <c r="AR34" s="706">
        <v>20486.999999999949</v>
      </c>
      <c r="AS34" s="707">
        <v>20486.999999999949</v>
      </c>
      <c r="AT34" s="706">
        <v>20486.999999999949</v>
      </c>
      <c r="AU34" s="707">
        <v>20486.999999999949</v>
      </c>
      <c r="AV34" s="706">
        <v>20486.999999999949</v>
      </c>
      <c r="AW34" s="707">
        <v>20486.999999999949</v>
      </c>
      <c r="AX34" s="706">
        <v>20486.999999999949</v>
      </c>
      <c r="AY34" s="707">
        <v>20486.999999999949</v>
      </c>
      <c r="AZ34" s="706">
        <v>20486.999999999949</v>
      </c>
      <c r="BA34" s="707">
        <v>20486.999999999949</v>
      </c>
      <c r="BB34" s="706">
        <v>9434.5206817586113</v>
      </c>
      <c r="BC34" s="707">
        <v>9434.5206817586113</v>
      </c>
      <c r="BD34" s="706">
        <v>9434.5206817586113</v>
      </c>
      <c r="BE34" s="707">
        <v>9434.5206817586113</v>
      </c>
      <c r="BF34" s="706">
        <v>9434.5206817586113</v>
      </c>
      <c r="BG34" s="707">
        <v>9434.5206817586113</v>
      </c>
      <c r="BH34" s="706">
        <v>0</v>
      </c>
      <c r="BI34" s="707">
        <v>0</v>
      </c>
      <c r="BJ34" s="706">
        <v>0</v>
      </c>
      <c r="BK34" s="707">
        <v>0</v>
      </c>
      <c r="BL34" s="706">
        <v>0</v>
      </c>
      <c r="BM34" s="707">
        <v>0</v>
      </c>
      <c r="BN34" s="706">
        <v>0</v>
      </c>
      <c r="BO34" s="707">
        <v>0</v>
      </c>
      <c r="BP34" s="706">
        <v>0</v>
      </c>
      <c r="BQ34" s="707">
        <v>0</v>
      </c>
      <c r="BR34" s="706">
        <v>0</v>
      </c>
      <c r="BS34" s="707">
        <v>0</v>
      </c>
      <c r="BT34" s="708">
        <v>0</v>
      </c>
      <c r="BU34" s="16"/>
    </row>
    <row r="35" spans="2:73" s="17" customFormat="1" ht="15.75">
      <c r="B35" s="690"/>
      <c r="C35" s="690" t="s">
        <v>22</v>
      </c>
      <c r="D35" s="690"/>
      <c r="E35" s="690" t="s">
        <v>687</v>
      </c>
      <c r="F35" s="690" t="s">
        <v>686</v>
      </c>
      <c r="G35" s="690"/>
      <c r="H35" s="690">
        <v>2011</v>
      </c>
      <c r="I35" s="644" t="s">
        <v>576</v>
      </c>
      <c r="J35" s="644" t="s">
        <v>594</v>
      </c>
      <c r="K35" s="633"/>
      <c r="L35" s="694">
        <v>15.542213275204141</v>
      </c>
      <c r="M35" s="695">
        <v>15.542213275204141</v>
      </c>
      <c r="N35" s="695">
        <v>15.542213275204141</v>
      </c>
      <c r="O35" s="695">
        <v>15.542213275204141</v>
      </c>
      <c r="P35" s="695">
        <v>15.542213275204141</v>
      </c>
      <c r="Q35" s="695">
        <v>15.542213275204141</v>
      </c>
      <c r="R35" s="695">
        <v>15.542213275204141</v>
      </c>
      <c r="S35" s="695">
        <v>15.542213275204141</v>
      </c>
      <c r="T35" s="695">
        <v>15.542213275204141</v>
      </c>
      <c r="U35" s="695">
        <v>15.542213275204141</v>
      </c>
      <c r="V35" s="695">
        <v>15.542213275204141</v>
      </c>
      <c r="W35" s="695">
        <v>0</v>
      </c>
      <c r="X35" s="695">
        <v>0</v>
      </c>
      <c r="Y35" s="695">
        <v>0</v>
      </c>
      <c r="Z35" s="695">
        <v>0</v>
      </c>
      <c r="AA35" s="695">
        <v>0</v>
      </c>
      <c r="AB35" s="695">
        <v>0</v>
      </c>
      <c r="AC35" s="695">
        <v>0</v>
      </c>
      <c r="AD35" s="695">
        <v>0</v>
      </c>
      <c r="AE35" s="695">
        <v>0</v>
      </c>
      <c r="AF35" s="695">
        <v>0</v>
      </c>
      <c r="AG35" s="695">
        <v>0</v>
      </c>
      <c r="AH35" s="695">
        <v>0</v>
      </c>
      <c r="AI35" s="695">
        <v>0</v>
      </c>
      <c r="AJ35" s="695">
        <v>0</v>
      </c>
      <c r="AK35" s="695">
        <v>0</v>
      </c>
      <c r="AL35" s="695">
        <v>0</v>
      </c>
      <c r="AM35" s="695">
        <v>0</v>
      </c>
      <c r="AN35" s="695">
        <v>0</v>
      </c>
      <c r="AO35" s="696">
        <v>0</v>
      </c>
      <c r="AP35" s="633"/>
      <c r="AQ35" s="709">
        <v>116644.15013152071</v>
      </c>
      <c r="AR35" s="710">
        <v>116644.15013152071</v>
      </c>
      <c r="AS35" s="711">
        <v>116644.15013152071</v>
      </c>
      <c r="AT35" s="710">
        <v>116644.15013152071</v>
      </c>
      <c r="AU35" s="711">
        <v>116644.15013152071</v>
      </c>
      <c r="AV35" s="710">
        <v>116644.15013152071</v>
      </c>
      <c r="AW35" s="711">
        <v>116644.15013152071</v>
      </c>
      <c r="AX35" s="710">
        <v>116644.15013152071</v>
      </c>
      <c r="AY35" s="711">
        <v>116644.15013152071</v>
      </c>
      <c r="AZ35" s="710">
        <v>116644.15013152071</v>
      </c>
      <c r="BA35" s="711">
        <v>116644.15013152071</v>
      </c>
      <c r="BB35" s="710">
        <v>19494.966676362565</v>
      </c>
      <c r="BC35" s="711">
        <v>19494.966676362565</v>
      </c>
      <c r="BD35" s="710">
        <v>19494.966676362565</v>
      </c>
      <c r="BE35" s="711">
        <v>19494.966676362565</v>
      </c>
      <c r="BF35" s="710">
        <v>19494.966676362565</v>
      </c>
      <c r="BG35" s="711">
        <v>19494.966676362565</v>
      </c>
      <c r="BH35" s="710">
        <v>0</v>
      </c>
      <c r="BI35" s="711">
        <v>0</v>
      </c>
      <c r="BJ35" s="710">
        <v>0</v>
      </c>
      <c r="BK35" s="711">
        <v>0</v>
      </c>
      <c r="BL35" s="710">
        <v>0</v>
      </c>
      <c r="BM35" s="711">
        <v>0</v>
      </c>
      <c r="BN35" s="710">
        <v>0</v>
      </c>
      <c r="BO35" s="711">
        <v>0</v>
      </c>
      <c r="BP35" s="710">
        <v>0</v>
      </c>
      <c r="BQ35" s="711">
        <v>0</v>
      </c>
      <c r="BR35" s="710">
        <v>0</v>
      </c>
      <c r="BS35" s="711">
        <v>0</v>
      </c>
      <c r="BT35" s="712">
        <v>0</v>
      </c>
      <c r="BU35" s="16"/>
    </row>
    <row r="36" spans="2:73" s="17" customFormat="1" ht="15.75">
      <c r="B36" s="690"/>
      <c r="C36" s="690" t="s">
        <v>16</v>
      </c>
      <c r="D36" s="690"/>
      <c r="E36" s="690" t="s">
        <v>687</v>
      </c>
      <c r="F36" s="690" t="s">
        <v>686</v>
      </c>
      <c r="G36" s="690"/>
      <c r="H36" s="690">
        <v>2011</v>
      </c>
      <c r="I36" s="644" t="s">
        <v>576</v>
      </c>
      <c r="J36" s="644" t="s">
        <v>594</v>
      </c>
      <c r="K36" s="633"/>
      <c r="L36" s="694">
        <v>2.7203176000000004</v>
      </c>
      <c r="M36" s="695">
        <v>2.7203176000000004</v>
      </c>
      <c r="N36" s="695">
        <v>2.7203176000000004</v>
      </c>
      <c r="O36" s="695">
        <v>2.7203176000000004</v>
      </c>
      <c r="P36" s="695">
        <v>2.7203176000000004</v>
      </c>
      <c r="Q36" s="695">
        <v>2.7203176000000004</v>
      </c>
      <c r="R36" s="695">
        <v>2.7203176000000004</v>
      </c>
      <c r="S36" s="695">
        <v>2.7203176000000004</v>
      </c>
      <c r="T36" s="695">
        <v>2.7203176000000004</v>
      </c>
      <c r="U36" s="695">
        <v>2.7203176000000004</v>
      </c>
      <c r="V36" s="695">
        <v>2.7203176000000004</v>
      </c>
      <c r="W36" s="695">
        <v>2.7203176000000004</v>
      </c>
      <c r="X36" s="695">
        <v>2.7203176000000004</v>
      </c>
      <c r="Y36" s="695">
        <v>0</v>
      </c>
      <c r="Z36" s="695">
        <v>0</v>
      </c>
      <c r="AA36" s="695">
        <v>0</v>
      </c>
      <c r="AB36" s="695">
        <v>0</v>
      </c>
      <c r="AC36" s="695">
        <v>0</v>
      </c>
      <c r="AD36" s="695">
        <v>0</v>
      </c>
      <c r="AE36" s="695">
        <v>0</v>
      </c>
      <c r="AF36" s="695">
        <v>0</v>
      </c>
      <c r="AG36" s="695">
        <v>0</v>
      </c>
      <c r="AH36" s="695">
        <v>0</v>
      </c>
      <c r="AI36" s="695">
        <v>0</v>
      </c>
      <c r="AJ36" s="695">
        <v>0</v>
      </c>
      <c r="AK36" s="695">
        <v>0</v>
      </c>
      <c r="AL36" s="695">
        <v>0</v>
      </c>
      <c r="AM36" s="695">
        <v>0</v>
      </c>
      <c r="AN36" s="695">
        <v>0</v>
      </c>
      <c r="AO36" s="696">
        <v>0</v>
      </c>
      <c r="AP36" s="633"/>
      <c r="AQ36" s="709">
        <v>15806.949478319999</v>
      </c>
      <c r="AR36" s="710">
        <v>15806.949478319999</v>
      </c>
      <c r="AS36" s="711">
        <v>15806.949478319999</v>
      </c>
      <c r="AT36" s="710">
        <v>15806.949478319999</v>
      </c>
      <c r="AU36" s="711">
        <v>15806.949478319999</v>
      </c>
      <c r="AV36" s="710">
        <v>15806.949478319999</v>
      </c>
      <c r="AW36" s="711">
        <v>15806.949478319999</v>
      </c>
      <c r="AX36" s="710">
        <v>15806.949478319999</v>
      </c>
      <c r="AY36" s="711">
        <v>15806.949478319999</v>
      </c>
      <c r="AZ36" s="710">
        <v>15806.949478319999</v>
      </c>
      <c r="BA36" s="711">
        <v>15806.949478319999</v>
      </c>
      <c r="BB36" s="710">
        <v>15806.949478319999</v>
      </c>
      <c r="BC36" s="711">
        <v>15806.949478319999</v>
      </c>
      <c r="BD36" s="710">
        <v>0</v>
      </c>
      <c r="BE36" s="711">
        <v>0</v>
      </c>
      <c r="BF36" s="710">
        <v>0</v>
      </c>
      <c r="BG36" s="711">
        <v>0</v>
      </c>
      <c r="BH36" s="710">
        <v>0</v>
      </c>
      <c r="BI36" s="711">
        <v>0</v>
      </c>
      <c r="BJ36" s="710">
        <v>0</v>
      </c>
      <c r="BK36" s="711">
        <v>0</v>
      </c>
      <c r="BL36" s="710">
        <v>0</v>
      </c>
      <c r="BM36" s="711">
        <v>0</v>
      </c>
      <c r="BN36" s="710">
        <v>0</v>
      </c>
      <c r="BO36" s="711">
        <v>0</v>
      </c>
      <c r="BP36" s="710">
        <v>0</v>
      </c>
      <c r="BQ36" s="711">
        <v>0</v>
      </c>
      <c r="BR36" s="710">
        <v>0</v>
      </c>
      <c r="BS36" s="711">
        <v>0</v>
      </c>
      <c r="BT36" s="712">
        <v>0</v>
      </c>
      <c r="BU36" s="16"/>
    </row>
    <row r="37" spans="2:73" s="17" customFormat="1" ht="15.75">
      <c r="B37" s="690"/>
      <c r="C37" s="690" t="s">
        <v>17</v>
      </c>
      <c r="D37" s="690"/>
      <c r="E37" s="690" t="s">
        <v>687</v>
      </c>
      <c r="F37" s="690" t="s">
        <v>686</v>
      </c>
      <c r="G37" s="690"/>
      <c r="H37" s="690">
        <v>2011</v>
      </c>
      <c r="I37" s="644" t="s">
        <v>576</v>
      </c>
      <c r="J37" s="644" t="s">
        <v>594</v>
      </c>
      <c r="K37" s="633"/>
      <c r="L37" s="694">
        <v>43.656999999999996</v>
      </c>
      <c r="M37" s="695">
        <v>43.656999999999996</v>
      </c>
      <c r="N37" s="695">
        <v>43.656999999999996</v>
      </c>
      <c r="O37" s="695">
        <v>43.656999999999996</v>
      </c>
      <c r="P37" s="695">
        <v>43.657000000000004</v>
      </c>
      <c r="Q37" s="695">
        <v>43.657000000000004</v>
      </c>
      <c r="R37" s="695">
        <v>43.657000000000004</v>
      </c>
      <c r="S37" s="695">
        <v>43.657000000000004</v>
      </c>
      <c r="T37" s="695">
        <v>43.657000000000004</v>
      </c>
      <c r="U37" s="695">
        <v>43.657000000000004</v>
      </c>
      <c r="V37" s="695">
        <v>43.657000000000004</v>
      </c>
      <c r="W37" s="695">
        <v>43.657000000000004</v>
      </c>
      <c r="X37" s="695">
        <v>43.657000000000004</v>
      </c>
      <c r="Y37" s="695">
        <v>43.657000000000004</v>
      </c>
      <c r="Z37" s="695">
        <v>43.657000000000004</v>
      </c>
      <c r="AA37" s="695">
        <v>39.765996405997242</v>
      </c>
      <c r="AB37" s="695">
        <v>39.765996405997242</v>
      </c>
      <c r="AC37" s="695">
        <v>39.765996405997242</v>
      </c>
      <c r="AD37" s="695">
        <v>39.765996405997242</v>
      </c>
      <c r="AE37" s="695">
        <v>39.765996405997242</v>
      </c>
      <c r="AF37" s="695">
        <v>39.765996405997242</v>
      </c>
      <c r="AG37" s="695">
        <v>39.765996405997242</v>
      </c>
      <c r="AH37" s="695">
        <v>39.765996405997242</v>
      </c>
      <c r="AI37" s="695">
        <v>39.765996405997242</v>
      </c>
      <c r="AJ37" s="695">
        <v>39.765996405997242</v>
      </c>
      <c r="AK37" s="695">
        <v>39.765996405997242</v>
      </c>
      <c r="AL37" s="695">
        <v>0</v>
      </c>
      <c r="AM37" s="695">
        <v>0</v>
      </c>
      <c r="AN37" s="695">
        <v>0</v>
      </c>
      <c r="AO37" s="696">
        <v>0</v>
      </c>
      <c r="AP37" s="633"/>
      <c r="AQ37" s="705">
        <v>157827.75200000001</v>
      </c>
      <c r="AR37" s="706">
        <v>157827.75200000001</v>
      </c>
      <c r="AS37" s="707">
        <v>157827.75200000001</v>
      </c>
      <c r="AT37" s="706">
        <v>157827.75200000001</v>
      </c>
      <c r="AU37" s="707">
        <v>157827.75200000001</v>
      </c>
      <c r="AV37" s="706">
        <v>157827.75200000001</v>
      </c>
      <c r="AW37" s="707">
        <v>157827.75200000001</v>
      </c>
      <c r="AX37" s="706">
        <v>157827.75200000001</v>
      </c>
      <c r="AY37" s="707">
        <v>157827.75200000001</v>
      </c>
      <c r="AZ37" s="706">
        <v>157827.75200000001</v>
      </c>
      <c r="BA37" s="707">
        <v>157827.75200000001</v>
      </c>
      <c r="BB37" s="706">
        <v>157827.75200000001</v>
      </c>
      <c r="BC37" s="707">
        <v>157827.75200000001</v>
      </c>
      <c r="BD37" s="706">
        <v>157827.75200000001</v>
      </c>
      <c r="BE37" s="707">
        <v>157827.75200000001</v>
      </c>
      <c r="BF37" s="706">
        <v>204238.15754120183</v>
      </c>
      <c r="BG37" s="707">
        <v>204238.15754120183</v>
      </c>
      <c r="BH37" s="706">
        <v>204238.15754120183</v>
      </c>
      <c r="BI37" s="707">
        <v>204238.15754120183</v>
      </c>
      <c r="BJ37" s="706">
        <v>204238.15754120183</v>
      </c>
      <c r="BK37" s="707">
        <v>204238.15754120183</v>
      </c>
      <c r="BL37" s="706">
        <v>204238.15754120183</v>
      </c>
      <c r="BM37" s="707">
        <v>204238.15754120183</v>
      </c>
      <c r="BN37" s="706">
        <v>204238.15754120183</v>
      </c>
      <c r="BO37" s="707">
        <v>204238.15754120183</v>
      </c>
      <c r="BP37" s="706">
        <v>204238.15754120183</v>
      </c>
      <c r="BQ37" s="707">
        <v>0</v>
      </c>
      <c r="BR37" s="706">
        <v>0</v>
      </c>
      <c r="BS37" s="707">
        <v>0</v>
      </c>
      <c r="BT37" s="708">
        <v>0</v>
      </c>
      <c r="BU37" s="16"/>
    </row>
    <row r="38" spans="2:73" s="17" customFormat="1" ht="15.75">
      <c r="B38" s="690"/>
      <c r="C38" s="690" t="s">
        <v>3</v>
      </c>
      <c r="D38" s="690"/>
      <c r="E38" s="690" t="s">
        <v>687</v>
      </c>
      <c r="F38" s="690" t="s">
        <v>29</v>
      </c>
      <c r="G38" s="690"/>
      <c r="H38" s="690">
        <v>2012</v>
      </c>
      <c r="I38" s="644" t="s">
        <v>577</v>
      </c>
      <c r="J38" s="644" t="s">
        <v>594</v>
      </c>
      <c r="K38" s="633"/>
      <c r="L38" s="694">
        <v>0</v>
      </c>
      <c r="M38" s="695">
        <v>26.946122801105282</v>
      </c>
      <c r="N38" s="695">
        <v>26.946122801105282</v>
      </c>
      <c r="O38" s="695">
        <v>26.946122801105282</v>
      </c>
      <c r="P38" s="695">
        <v>26.946122801105282</v>
      </c>
      <c r="Q38" s="695">
        <v>26.946122801105282</v>
      </c>
      <c r="R38" s="695">
        <v>26.946122801105282</v>
      </c>
      <c r="S38" s="695">
        <v>26.946122801105282</v>
      </c>
      <c r="T38" s="695">
        <v>26.946122801105282</v>
      </c>
      <c r="U38" s="695">
        <v>26.946122801105282</v>
      </c>
      <c r="V38" s="695">
        <v>26.946122801105282</v>
      </c>
      <c r="W38" s="695">
        <v>26.946122801105282</v>
      </c>
      <c r="X38" s="695">
        <v>26.946122801105282</v>
      </c>
      <c r="Y38" s="695">
        <v>26.946122801105282</v>
      </c>
      <c r="Z38" s="695">
        <v>26.946122801105282</v>
      </c>
      <c r="AA38" s="695">
        <v>26.946122801105282</v>
      </c>
      <c r="AB38" s="695">
        <v>26.946122801105282</v>
      </c>
      <c r="AC38" s="695">
        <v>26.946122801105282</v>
      </c>
      <c r="AD38" s="695">
        <v>26.946122801105282</v>
      </c>
      <c r="AE38" s="695">
        <v>23.312402920656346</v>
      </c>
      <c r="AF38" s="695">
        <v>0</v>
      </c>
      <c r="AG38" s="695">
        <v>0</v>
      </c>
      <c r="AH38" s="695">
        <v>0</v>
      </c>
      <c r="AI38" s="695">
        <v>0</v>
      </c>
      <c r="AJ38" s="695">
        <v>0</v>
      </c>
      <c r="AK38" s="695">
        <v>0</v>
      </c>
      <c r="AL38" s="695">
        <v>0</v>
      </c>
      <c r="AM38" s="695">
        <v>0</v>
      </c>
      <c r="AN38" s="695">
        <v>0</v>
      </c>
      <c r="AO38" s="696">
        <v>0</v>
      </c>
      <c r="AP38" s="633"/>
      <c r="AQ38" s="709">
        <v>0</v>
      </c>
      <c r="AR38" s="710">
        <v>48252.680964467334</v>
      </c>
      <c r="AS38" s="711">
        <v>48252.680964467334</v>
      </c>
      <c r="AT38" s="710">
        <v>48252.680964467334</v>
      </c>
      <c r="AU38" s="711">
        <v>48252.680964467334</v>
      </c>
      <c r="AV38" s="710">
        <v>48252.680964467334</v>
      </c>
      <c r="AW38" s="711">
        <v>48252.680964467334</v>
      </c>
      <c r="AX38" s="710">
        <v>48252.680964467334</v>
      </c>
      <c r="AY38" s="711">
        <v>48252.680964467334</v>
      </c>
      <c r="AZ38" s="710">
        <v>48252.680964467334</v>
      </c>
      <c r="BA38" s="711">
        <v>48252.680964467334</v>
      </c>
      <c r="BB38" s="710">
        <v>48252.680964467334</v>
      </c>
      <c r="BC38" s="711">
        <v>48252.680964467334</v>
      </c>
      <c r="BD38" s="710">
        <v>48252.680964467334</v>
      </c>
      <c r="BE38" s="711">
        <v>48252.680964467334</v>
      </c>
      <c r="BF38" s="710">
        <v>48252.680964467334</v>
      </c>
      <c r="BG38" s="711">
        <v>48252.680964467334</v>
      </c>
      <c r="BH38" s="710">
        <v>48252.680964467334</v>
      </c>
      <c r="BI38" s="711">
        <v>48252.680964467334</v>
      </c>
      <c r="BJ38" s="710">
        <v>45003.210899170626</v>
      </c>
      <c r="BK38" s="711">
        <v>0</v>
      </c>
      <c r="BL38" s="710">
        <v>0</v>
      </c>
      <c r="BM38" s="711">
        <v>0</v>
      </c>
      <c r="BN38" s="710">
        <v>0</v>
      </c>
      <c r="BO38" s="711">
        <v>0</v>
      </c>
      <c r="BP38" s="710">
        <v>0</v>
      </c>
      <c r="BQ38" s="711">
        <v>0</v>
      </c>
      <c r="BR38" s="710">
        <v>0</v>
      </c>
      <c r="BS38" s="711">
        <v>0</v>
      </c>
      <c r="BT38" s="712">
        <v>0</v>
      </c>
      <c r="BU38" s="16"/>
    </row>
    <row r="39" spans="2:73" s="17" customFormat="1" ht="15.75">
      <c r="B39" s="690"/>
      <c r="C39" s="690" t="s">
        <v>22</v>
      </c>
      <c r="D39" s="690"/>
      <c r="E39" s="690" t="s">
        <v>687</v>
      </c>
      <c r="F39" s="690" t="s">
        <v>686</v>
      </c>
      <c r="G39" s="690"/>
      <c r="H39" s="690">
        <v>2012</v>
      </c>
      <c r="I39" s="644" t="s">
        <v>577</v>
      </c>
      <c r="J39" s="644" t="s">
        <v>594</v>
      </c>
      <c r="K39" s="633"/>
      <c r="L39" s="694">
        <v>0</v>
      </c>
      <c r="M39" s="695">
        <v>267.51327501047115</v>
      </c>
      <c r="N39" s="695">
        <v>258.2416110905416</v>
      </c>
      <c r="O39" s="695">
        <v>257.59348573683076</v>
      </c>
      <c r="P39" s="695">
        <v>242.40570548131012</v>
      </c>
      <c r="Q39" s="695">
        <v>242.40570548131012</v>
      </c>
      <c r="R39" s="695">
        <v>241.27083157862057</v>
      </c>
      <c r="S39" s="695">
        <v>234.93532770854429</v>
      </c>
      <c r="T39" s="695">
        <v>234.93532770854429</v>
      </c>
      <c r="U39" s="695">
        <v>206.76778675027953</v>
      </c>
      <c r="V39" s="695">
        <v>137.36350477173204</v>
      </c>
      <c r="W39" s="695">
        <v>134.60259449279454</v>
      </c>
      <c r="X39" s="695">
        <v>134.60259449279454</v>
      </c>
      <c r="Y39" s="695">
        <v>59.530823070282587</v>
      </c>
      <c r="Z39" s="695">
        <v>41.738076955732147</v>
      </c>
      <c r="AA39" s="695">
        <v>41.738076955732147</v>
      </c>
      <c r="AB39" s="695">
        <v>26.293623372941639</v>
      </c>
      <c r="AC39" s="695">
        <v>0</v>
      </c>
      <c r="AD39" s="695">
        <v>0</v>
      </c>
      <c r="AE39" s="695">
        <v>0</v>
      </c>
      <c r="AF39" s="695">
        <v>0</v>
      </c>
      <c r="AG39" s="695">
        <v>0</v>
      </c>
      <c r="AH39" s="695">
        <v>0</v>
      </c>
      <c r="AI39" s="695">
        <v>0</v>
      </c>
      <c r="AJ39" s="695">
        <v>0</v>
      </c>
      <c r="AK39" s="695">
        <v>0</v>
      </c>
      <c r="AL39" s="695">
        <v>0</v>
      </c>
      <c r="AM39" s="695">
        <v>0</v>
      </c>
      <c r="AN39" s="695">
        <v>0</v>
      </c>
      <c r="AO39" s="696">
        <v>0</v>
      </c>
      <c r="AP39" s="633"/>
      <c r="AQ39" s="705">
        <v>0</v>
      </c>
      <c r="AR39" s="706">
        <v>1338949.9999999995</v>
      </c>
      <c r="AS39" s="707">
        <v>1316740.9085892967</v>
      </c>
      <c r="AT39" s="706">
        <v>1315188.4067567813</v>
      </c>
      <c r="AU39" s="707">
        <v>1278808.0112923293</v>
      </c>
      <c r="AV39" s="706">
        <v>1278808.0112923293</v>
      </c>
      <c r="AW39" s="707">
        <v>1276061.020276367</v>
      </c>
      <c r="AX39" s="706">
        <v>1262218.2564969042</v>
      </c>
      <c r="AY39" s="707">
        <v>1262218.2564969042</v>
      </c>
      <c r="AZ39" s="706">
        <v>1187772.2102303214</v>
      </c>
      <c r="BA39" s="707">
        <v>682976.82626781112</v>
      </c>
      <c r="BB39" s="706">
        <v>657771.11738316377</v>
      </c>
      <c r="BC39" s="707">
        <v>650737.81909311796</v>
      </c>
      <c r="BD39" s="706">
        <v>320081.06746284041</v>
      </c>
      <c r="BE39" s="707">
        <v>277460.80767796177</v>
      </c>
      <c r="BF39" s="706">
        <v>277460.80767796177</v>
      </c>
      <c r="BG39" s="707">
        <v>190581.15447414212</v>
      </c>
      <c r="BH39" s="706">
        <v>0</v>
      </c>
      <c r="BI39" s="707">
        <v>0</v>
      </c>
      <c r="BJ39" s="706">
        <v>0</v>
      </c>
      <c r="BK39" s="707">
        <v>0</v>
      </c>
      <c r="BL39" s="706">
        <v>0</v>
      </c>
      <c r="BM39" s="707">
        <v>0</v>
      </c>
      <c r="BN39" s="706">
        <v>0</v>
      </c>
      <c r="BO39" s="707">
        <v>0</v>
      </c>
      <c r="BP39" s="706">
        <v>0</v>
      </c>
      <c r="BQ39" s="707">
        <v>0</v>
      </c>
      <c r="BR39" s="706">
        <v>0</v>
      </c>
      <c r="BS39" s="707">
        <v>0</v>
      </c>
      <c r="BT39" s="708">
        <v>0</v>
      </c>
      <c r="BU39" s="16"/>
    </row>
    <row r="40" spans="2:73" s="17" customFormat="1" ht="15.75">
      <c r="B40" s="690"/>
      <c r="C40" s="690" t="s">
        <v>21</v>
      </c>
      <c r="D40" s="690"/>
      <c r="E40" s="690" t="s">
        <v>687</v>
      </c>
      <c r="F40" s="690" t="s">
        <v>686</v>
      </c>
      <c r="G40" s="690"/>
      <c r="H40" s="690">
        <v>2012</v>
      </c>
      <c r="I40" s="644" t="s">
        <v>577</v>
      </c>
      <c r="J40" s="644" t="s">
        <v>594</v>
      </c>
      <c r="K40" s="633"/>
      <c r="L40" s="694">
        <v>0</v>
      </c>
      <c r="M40" s="695">
        <v>46.955552418229622</v>
      </c>
      <c r="N40" s="695">
        <v>46.955552418229622</v>
      </c>
      <c r="O40" s="695">
        <v>46.955552418229622</v>
      </c>
      <c r="P40" s="695">
        <v>31.663990904127669</v>
      </c>
      <c r="Q40" s="695">
        <v>31.434557888425051</v>
      </c>
      <c r="R40" s="695">
        <v>6.4295317587025691</v>
      </c>
      <c r="S40" s="695">
        <v>5.1486035074728917</v>
      </c>
      <c r="T40" s="695">
        <v>5.1486035074728917</v>
      </c>
      <c r="U40" s="695">
        <v>5.1486035074728917</v>
      </c>
      <c r="V40" s="695">
        <v>5.1486035074728917</v>
      </c>
      <c r="W40" s="695">
        <v>4.7262381831112474</v>
      </c>
      <c r="X40" s="695">
        <v>4.7061255486178357</v>
      </c>
      <c r="Y40" s="695">
        <v>0.25284635699011832</v>
      </c>
      <c r="Z40" s="695">
        <v>0</v>
      </c>
      <c r="AA40" s="695">
        <v>0</v>
      </c>
      <c r="AB40" s="695">
        <v>0</v>
      </c>
      <c r="AC40" s="695">
        <v>0</v>
      </c>
      <c r="AD40" s="695">
        <v>0</v>
      </c>
      <c r="AE40" s="695">
        <v>0</v>
      </c>
      <c r="AF40" s="695">
        <v>0</v>
      </c>
      <c r="AG40" s="695">
        <v>0</v>
      </c>
      <c r="AH40" s="695">
        <v>0</v>
      </c>
      <c r="AI40" s="695">
        <v>0</v>
      </c>
      <c r="AJ40" s="695">
        <v>0</v>
      </c>
      <c r="AK40" s="695">
        <v>0</v>
      </c>
      <c r="AL40" s="695">
        <v>0</v>
      </c>
      <c r="AM40" s="695">
        <v>0</v>
      </c>
      <c r="AN40" s="695">
        <v>0</v>
      </c>
      <c r="AO40" s="696">
        <v>0</v>
      </c>
      <c r="AP40" s="633"/>
      <c r="AQ40" s="709">
        <v>0</v>
      </c>
      <c r="AR40" s="710">
        <v>179920.70160477798</v>
      </c>
      <c r="AS40" s="711">
        <v>179920.70160477801</v>
      </c>
      <c r="AT40" s="710">
        <v>179920.70160477801</v>
      </c>
      <c r="AU40" s="711">
        <v>116076.88019301899</v>
      </c>
      <c r="AV40" s="710">
        <v>116076.88019301899</v>
      </c>
      <c r="AW40" s="711">
        <v>21155.651674336819</v>
      </c>
      <c r="AX40" s="710">
        <v>21155.651674336819</v>
      </c>
      <c r="AY40" s="711">
        <v>21155.651674336819</v>
      </c>
      <c r="AZ40" s="710">
        <v>21155.651674336819</v>
      </c>
      <c r="BA40" s="711">
        <v>21155.651674336819</v>
      </c>
      <c r="BB40" s="710">
        <v>16826.101206858173</v>
      </c>
      <c r="BC40" s="711">
        <v>16826.101206858173</v>
      </c>
      <c r="BD40" s="710">
        <v>0</v>
      </c>
      <c r="BE40" s="711">
        <v>0</v>
      </c>
      <c r="BF40" s="710">
        <v>0</v>
      </c>
      <c r="BG40" s="711">
        <v>0</v>
      </c>
      <c r="BH40" s="710">
        <v>0</v>
      </c>
      <c r="BI40" s="711">
        <v>0</v>
      </c>
      <c r="BJ40" s="710">
        <v>0</v>
      </c>
      <c r="BK40" s="711">
        <v>0</v>
      </c>
      <c r="BL40" s="710">
        <v>0</v>
      </c>
      <c r="BM40" s="711">
        <v>0</v>
      </c>
      <c r="BN40" s="710">
        <v>0</v>
      </c>
      <c r="BO40" s="711">
        <v>0</v>
      </c>
      <c r="BP40" s="710">
        <v>0</v>
      </c>
      <c r="BQ40" s="711">
        <v>0</v>
      </c>
      <c r="BR40" s="710">
        <v>0</v>
      </c>
      <c r="BS40" s="711">
        <v>0</v>
      </c>
      <c r="BT40" s="712">
        <v>0</v>
      </c>
      <c r="BU40" s="16"/>
    </row>
    <row r="41" spans="2:73" s="17" customFormat="1" ht="15.75">
      <c r="B41" s="690"/>
      <c r="C41" s="690" t="s">
        <v>2</v>
      </c>
      <c r="D41" s="690"/>
      <c r="E41" s="690" t="s">
        <v>687</v>
      </c>
      <c r="F41" s="690" t="s">
        <v>29</v>
      </c>
      <c r="G41" s="690"/>
      <c r="H41" s="690">
        <v>2012</v>
      </c>
      <c r="I41" s="644" t="s">
        <v>577</v>
      </c>
      <c r="J41" s="644" t="s">
        <v>594</v>
      </c>
      <c r="K41" s="633"/>
      <c r="L41" s="694">
        <v>0</v>
      </c>
      <c r="M41" s="695">
        <v>0.30700225932008651</v>
      </c>
      <c r="N41" s="695">
        <v>0.30700225932008651</v>
      </c>
      <c r="O41" s="695">
        <v>0.30700225932008651</v>
      </c>
      <c r="P41" s="695">
        <v>0.30092695980086182</v>
      </c>
      <c r="Q41" s="695">
        <v>0</v>
      </c>
      <c r="R41" s="695">
        <v>0</v>
      </c>
      <c r="S41" s="695">
        <v>0</v>
      </c>
      <c r="T41" s="695">
        <v>0</v>
      </c>
      <c r="U41" s="695">
        <v>0</v>
      </c>
      <c r="V41" s="695">
        <v>0</v>
      </c>
      <c r="W41" s="695">
        <v>0</v>
      </c>
      <c r="X41" s="695">
        <v>0</v>
      </c>
      <c r="Y41" s="695">
        <v>0</v>
      </c>
      <c r="Z41" s="695">
        <v>0</v>
      </c>
      <c r="AA41" s="695">
        <v>0</v>
      </c>
      <c r="AB41" s="695">
        <v>0</v>
      </c>
      <c r="AC41" s="695">
        <v>0</v>
      </c>
      <c r="AD41" s="695">
        <v>0</v>
      </c>
      <c r="AE41" s="695">
        <v>0</v>
      </c>
      <c r="AF41" s="695">
        <v>0</v>
      </c>
      <c r="AG41" s="695">
        <v>0</v>
      </c>
      <c r="AH41" s="695">
        <v>0</v>
      </c>
      <c r="AI41" s="695">
        <v>0</v>
      </c>
      <c r="AJ41" s="695">
        <v>0</v>
      </c>
      <c r="AK41" s="695">
        <v>0</v>
      </c>
      <c r="AL41" s="695">
        <v>0</v>
      </c>
      <c r="AM41" s="695">
        <v>0</v>
      </c>
      <c r="AN41" s="695">
        <v>0</v>
      </c>
      <c r="AO41" s="696">
        <v>0</v>
      </c>
      <c r="AP41" s="633"/>
      <c r="AQ41" s="705">
        <v>0</v>
      </c>
      <c r="AR41" s="706">
        <v>542.0042224714316</v>
      </c>
      <c r="AS41" s="707">
        <v>542.0042224714316</v>
      </c>
      <c r="AT41" s="706">
        <v>542.0042224714316</v>
      </c>
      <c r="AU41" s="707">
        <v>536.57135902159587</v>
      </c>
      <c r="AV41" s="706">
        <v>0</v>
      </c>
      <c r="AW41" s="707">
        <v>0</v>
      </c>
      <c r="AX41" s="706">
        <v>0</v>
      </c>
      <c r="AY41" s="707">
        <v>0</v>
      </c>
      <c r="AZ41" s="706">
        <v>0</v>
      </c>
      <c r="BA41" s="707">
        <v>0</v>
      </c>
      <c r="BB41" s="706">
        <v>0</v>
      </c>
      <c r="BC41" s="707">
        <v>0</v>
      </c>
      <c r="BD41" s="706">
        <v>0</v>
      </c>
      <c r="BE41" s="707">
        <v>0</v>
      </c>
      <c r="BF41" s="706">
        <v>0</v>
      </c>
      <c r="BG41" s="707">
        <v>0</v>
      </c>
      <c r="BH41" s="706">
        <v>0</v>
      </c>
      <c r="BI41" s="707">
        <v>0</v>
      </c>
      <c r="BJ41" s="706">
        <v>0</v>
      </c>
      <c r="BK41" s="707">
        <v>0</v>
      </c>
      <c r="BL41" s="706">
        <v>0</v>
      </c>
      <c r="BM41" s="707">
        <v>0</v>
      </c>
      <c r="BN41" s="706">
        <v>0</v>
      </c>
      <c r="BO41" s="707">
        <v>0</v>
      </c>
      <c r="BP41" s="706">
        <v>0</v>
      </c>
      <c r="BQ41" s="707">
        <v>0</v>
      </c>
      <c r="BR41" s="706">
        <v>0</v>
      </c>
      <c r="BS41" s="707">
        <v>0</v>
      </c>
      <c r="BT41" s="708">
        <v>0</v>
      </c>
      <c r="BU41" s="16"/>
    </row>
    <row r="42" spans="2:73" s="17" customFormat="1" ht="15.75">
      <c r="B42" s="690"/>
      <c r="C42" s="690" t="s">
        <v>1</v>
      </c>
      <c r="D42" s="690"/>
      <c r="E42" s="690" t="s">
        <v>687</v>
      </c>
      <c r="F42" s="690" t="s">
        <v>29</v>
      </c>
      <c r="G42" s="690"/>
      <c r="H42" s="690">
        <v>2012</v>
      </c>
      <c r="I42" s="644" t="s">
        <v>577</v>
      </c>
      <c r="J42" s="644" t="s">
        <v>594</v>
      </c>
      <c r="K42" s="633"/>
      <c r="L42" s="694">
        <v>0</v>
      </c>
      <c r="M42" s="695">
        <v>5.1713546641434291</v>
      </c>
      <c r="N42" s="695">
        <v>5.1713546641434291</v>
      </c>
      <c r="O42" s="695">
        <v>5.1713546641434291</v>
      </c>
      <c r="P42" s="695">
        <v>5.1713546641434291</v>
      </c>
      <c r="Q42" s="695">
        <v>3.5817314430221332</v>
      </c>
      <c r="R42" s="695">
        <v>0</v>
      </c>
      <c r="S42" s="695">
        <v>0</v>
      </c>
      <c r="T42" s="695">
        <v>0</v>
      </c>
      <c r="U42" s="695">
        <v>0</v>
      </c>
      <c r="V42" s="695">
        <v>0</v>
      </c>
      <c r="W42" s="695">
        <v>0</v>
      </c>
      <c r="X42" s="695">
        <v>0</v>
      </c>
      <c r="Y42" s="695">
        <v>0</v>
      </c>
      <c r="Z42" s="695">
        <v>0</v>
      </c>
      <c r="AA42" s="695">
        <v>0</v>
      </c>
      <c r="AB42" s="695">
        <v>0</v>
      </c>
      <c r="AC42" s="695">
        <v>0</v>
      </c>
      <c r="AD42" s="695">
        <v>0</v>
      </c>
      <c r="AE42" s="695">
        <v>0</v>
      </c>
      <c r="AF42" s="695">
        <v>0</v>
      </c>
      <c r="AG42" s="695">
        <v>0</v>
      </c>
      <c r="AH42" s="695">
        <v>0</v>
      </c>
      <c r="AI42" s="695">
        <v>0</v>
      </c>
      <c r="AJ42" s="695">
        <v>0</v>
      </c>
      <c r="AK42" s="695">
        <v>0</v>
      </c>
      <c r="AL42" s="695">
        <v>0</v>
      </c>
      <c r="AM42" s="695">
        <v>0</v>
      </c>
      <c r="AN42" s="695">
        <v>0</v>
      </c>
      <c r="AO42" s="696">
        <v>0</v>
      </c>
      <c r="AP42" s="633"/>
      <c r="AQ42" s="709">
        <v>0</v>
      </c>
      <c r="AR42" s="710">
        <v>38949.134989276099</v>
      </c>
      <c r="AS42" s="711">
        <v>38949.134989276099</v>
      </c>
      <c r="AT42" s="710">
        <v>38949.134989276099</v>
      </c>
      <c r="AU42" s="711">
        <v>38949.134989276099</v>
      </c>
      <c r="AV42" s="710">
        <v>27241.702004079536</v>
      </c>
      <c r="AW42" s="711">
        <v>0</v>
      </c>
      <c r="AX42" s="710">
        <v>0</v>
      </c>
      <c r="AY42" s="711">
        <v>0</v>
      </c>
      <c r="AZ42" s="710">
        <v>0</v>
      </c>
      <c r="BA42" s="711">
        <v>0</v>
      </c>
      <c r="BB42" s="710">
        <v>0</v>
      </c>
      <c r="BC42" s="711">
        <v>0</v>
      </c>
      <c r="BD42" s="710">
        <v>0</v>
      </c>
      <c r="BE42" s="711">
        <v>0</v>
      </c>
      <c r="BF42" s="710">
        <v>0</v>
      </c>
      <c r="BG42" s="711">
        <v>0</v>
      </c>
      <c r="BH42" s="710">
        <v>0</v>
      </c>
      <c r="BI42" s="711">
        <v>0</v>
      </c>
      <c r="BJ42" s="710">
        <v>0</v>
      </c>
      <c r="BK42" s="711">
        <v>0</v>
      </c>
      <c r="BL42" s="710">
        <v>0</v>
      </c>
      <c r="BM42" s="711">
        <v>0</v>
      </c>
      <c r="BN42" s="710">
        <v>0</v>
      </c>
      <c r="BO42" s="711">
        <v>0</v>
      </c>
      <c r="BP42" s="710">
        <v>0</v>
      </c>
      <c r="BQ42" s="711">
        <v>0</v>
      </c>
      <c r="BR42" s="710">
        <v>0</v>
      </c>
      <c r="BS42" s="711">
        <v>0</v>
      </c>
      <c r="BT42" s="712">
        <v>0</v>
      </c>
      <c r="BU42" s="16"/>
    </row>
    <row r="43" spans="2:73" s="17" customFormat="1" ht="15.75">
      <c r="B43" s="690"/>
      <c r="C43" s="690" t="s">
        <v>5</v>
      </c>
      <c r="D43" s="690"/>
      <c r="E43" s="690" t="s">
        <v>687</v>
      </c>
      <c r="F43" s="690" t="s">
        <v>29</v>
      </c>
      <c r="G43" s="690"/>
      <c r="H43" s="690">
        <v>2012</v>
      </c>
      <c r="I43" s="644" t="s">
        <v>577</v>
      </c>
      <c r="J43" s="644" t="s">
        <v>594</v>
      </c>
      <c r="K43" s="633"/>
      <c r="L43" s="694">
        <v>0</v>
      </c>
      <c r="M43" s="695">
        <v>4.2294320984335121</v>
      </c>
      <c r="N43" s="695">
        <v>4.2294320984335121</v>
      </c>
      <c r="O43" s="695">
        <v>4.2294320984335121</v>
      </c>
      <c r="P43" s="695">
        <v>4.2294320984335121</v>
      </c>
      <c r="Q43" s="695">
        <v>3.871280876622532</v>
      </c>
      <c r="R43" s="695">
        <v>3.2760159118619909</v>
      </c>
      <c r="S43" s="695">
        <v>2.4525333066829149</v>
      </c>
      <c r="T43" s="695">
        <v>2.4434782179035053</v>
      </c>
      <c r="U43" s="695">
        <v>2.4434782179035053</v>
      </c>
      <c r="V43" s="695">
        <v>1.5758260534113691</v>
      </c>
      <c r="W43" s="695">
        <v>0.61652493721572144</v>
      </c>
      <c r="X43" s="695">
        <v>0.616470805199551</v>
      </c>
      <c r="Y43" s="695">
        <v>0.616470805199551</v>
      </c>
      <c r="Z43" s="695">
        <v>0.6058917108330516</v>
      </c>
      <c r="AA43" s="695">
        <v>0.6058917108330516</v>
      </c>
      <c r="AB43" s="695">
        <v>0.59083794054024041</v>
      </c>
      <c r="AC43" s="695">
        <v>0.1657777296075516</v>
      </c>
      <c r="AD43" s="695">
        <v>0.1657777296075516</v>
      </c>
      <c r="AE43" s="695">
        <v>0.1657777296075516</v>
      </c>
      <c r="AF43" s="695">
        <v>0.1657777296075516</v>
      </c>
      <c r="AG43" s="695">
        <v>0</v>
      </c>
      <c r="AH43" s="695">
        <v>0</v>
      </c>
      <c r="AI43" s="695">
        <v>0</v>
      </c>
      <c r="AJ43" s="695">
        <v>0</v>
      </c>
      <c r="AK43" s="695">
        <v>0</v>
      </c>
      <c r="AL43" s="695">
        <v>0</v>
      </c>
      <c r="AM43" s="695">
        <v>0</v>
      </c>
      <c r="AN43" s="695">
        <v>0</v>
      </c>
      <c r="AO43" s="696">
        <v>0</v>
      </c>
      <c r="AP43" s="633"/>
      <c r="AQ43" s="713">
        <v>0</v>
      </c>
      <c r="AR43" s="714">
        <v>76535.503542561826</v>
      </c>
      <c r="AS43" s="715">
        <v>76535.503542561826</v>
      </c>
      <c r="AT43" s="714">
        <v>76535.503542561826</v>
      </c>
      <c r="AU43" s="715">
        <v>76535.503542561826</v>
      </c>
      <c r="AV43" s="714">
        <v>68800.548836341186</v>
      </c>
      <c r="AW43" s="715">
        <v>55944.67327254705</v>
      </c>
      <c r="AX43" s="714">
        <v>38160.005052757042</v>
      </c>
      <c r="AY43" s="715">
        <v>38080.68247504942</v>
      </c>
      <c r="AZ43" s="714">
        <v>38080.68247504942</v>
      </c>
      <c r="BA43" s="715">
        <v>19342.088874374971</v>
      </c>
      <c r="BB43" s="714">
        <v>14354.352827056342</v>
      </c>
      <c r="BC43" s="715">
        <v>13908.243088721732</v>
      </c>
      <c r="BD43" s="714">
        <v>13908.243088721732</v>
      </c>
      <c r="BE43" s="715">
        <v>12937.240662527356</v>
      </c>
      <c r="BF43" s="714">
        <v>12937.240662527356</v>
      </c>
      <c r="BG43" s="715">
        <v>12760.265581914942</v>
      </c>
      <c r="BH43" s="714">
        <v>3580.2843930859085</v>
      </c>
      <c r="BI43" s="715">
        <v>3580.2843930859085</v>
      </c>
      <c r="BJ43" s="714">
        <v>3580.2843930859085</v>
      </c>
      <c r="BK43" s="715">
        <v>3580.2843930859085</v>
      </c>
      <c r="BL43" s="714">
        <v>0</v>
      </c>
      <c r="BM43" s="715">
        <v>0</v>
      </c>
      <c r="BN43" s="714">
        <v>0</v>
      </c>
      <c r="BO43" s="715">
        <v>0</v>
      </c>
      <c r="BP43" s="714">
        <v>0</v>
      </c>
      <c r="BQ43" s="715">
        <v>0</v>
      </c>
      <c r="BR43" s="714">
        <v>0</v>
      </c>
      <c r="BS43" s="715">
        <v>0</v>
      </c>
      <c r="BT43" s="716">
        <v>0</v>
      </c>
      <c r="BU43" s="16"/>
    </row>
    <row r="44" spans="2:73" s="17" customFormat="1" ht="15.75">
      <c r="B44" s="690"/>
      <c r="C44" s="690" t="s">
        <v>4</v>
      </c>
      <c r="D44" s="690"/>
      <c r="E44" s="690" t="s">
        <v>687</v>
      </c>
      <c r="F44" s="690" t="s">
        <v>29</v>
      </c>
      <c r="G44" s="690"/>
      <c r="H44" s="690">
        <v>2012</v>
      </c>
      <c r="I44" s="644" t="s">
        <v>577</v>
      </c>
      <c r="J44" s="644" t="s">
        <v>594</v>
      </c>
      <c r="K44" s="633"/>
      <c r="L44" s="694">
        <v>0</v>
      </c>
      <c r="M44" s="695">
        <v>0.65847157903660603</v>
      </c>
      <c r="N44" s="695">
        <v>0.65847157903660603</v>
      </c>
      <c r="O44" s="695">
        <v>0.65847157903660603</v>
      </c>
      <c r="P44" s="695">
        <v>0.65847157903660603</v>
      </c>
      <c r="Q44" s="695">
        <v>0.65569202851862141</v>
      </c>
      <c r="R44" s="695">
        <v>0.65569202851862141</v>
      </c>
      <c r="S44" s="695">
        <v>0.55927135041890519</v>
      </c>
      <c r="T44" s="695">
        <v>0.55810372054998147</v>
      </c>
      <c r="U44" s="695">
        <v>0.55810372054998147</v>
      </c>
      <c r="V44" s="695">
        <v>0.55810372054998147</v>
      </c>
      <c r="W44" s="695">
        <v>1.0266144038402977E-2</v>
      </c>
      <c r="X44" s="695">
        <v>1.025907389546646E-2</v>
      </c>
      <c r="Y44" s="695">
        <v>1.025907389546646E-2</v>
      </c>
      <c r="Z44" s="695">
        <v>9.8896538218546538E-3</v>
      </c>
      <c r="AA44" s="695">
        <v>9.8896538218546538E-3</v>
      </c>
      <c r="AB44" s="695">
        <v>9.2377188879140121E-3</v>
      </c>
      <c r="AC44" s="695">
        <v>0</v>
      </c>
      <c r="AD44" s="695">
        <v>0</v>
      </c>
      <c r="AE44" s="695">
        <v>0</v>
      </c>
      <c r="AF44" s="695">
        <v>0</v>
      </c>
      <c r="AG44" s="695">
        <v>0</v>
      </c>
      <c r="AH44" s="695">
        <v>0</v>
      </c>
      <c r="AI44" s="695">
        <v>0</v>
      </c>
      <c r="AJ44" s="695">
        <v>0</v>
      </c>
      <c r="AK44" s="695">
        <v>0</v>
      </c>
      <c r="AL44" s="695">
        <v>0</v>
      </c>
      <c r="AM44" s="695">
        <v>0</v>
      </c>
      <c r="AN44" s="695">
        <v>0</v>
      </c>
      <c r="AO44" s="696">
        <v>0</v>
      </c>
      <c r="AP44" s="633"/>
      <c r="AQ44" s="694">
        <v>0</v>
      </c>
      <c r="AR44" s="695">
        <v>3995.7204263027816</v>
      </c>
      <c r="AS44" s="695">
        <v>3995.7204263027816</v>
      </c>
      <c r="AT44" s="695">
        <v>3995.7204263027816</v>
      </c>
      <c r="AU44" s="695">
        <v>3995.7204263027816</v>
      </c>
      <c r="AV44" s="695">
        <v>3935.6907627111013</v>
      </c>
      <c r="AW44" s="695">
        <v>3935.6907627111013</v>
      </c>
      <c r="AX44" s="695">
        <v>1853.3034011010466</v>
      </c>
      <c r="AY44" s="695">
        <v>1843.0749634492736</v>
      </c>
      <c r="AZ44" s="695">
        <v>1843.0749634492736</v>
      </c>
      <c r="BA44" s="695">
        <v>1843.0749634492736</v>
      </c>
      <c r="BB44" s="695">
        <v>299.34362563543237</v>
      </c>
      <c r="BC44" s="695">
        <v>241.07755984784004</v>
      </c>
      <c r="BD44" s="695">
        <v>241.07755984784004</v>
      </c>
      <c r="BE44" s="695">
        <v>207.17032966962338</v>
      </c>
      <c r="BF44" s="695">
        <v>207.17032966962338</v>
      </c>
      <c r="BG44" s="695">
        <v>199.50605452499124</v>
      </c>
      <c r="BH44" s="695">
        <v>0</v>
      </c>
      <c r="BI44" s="695">
        <v>0</v>
      </c>
      <c r="BJ44" s="695">
        <v>0</v>
      </c>
      <c r="BK44" s="695">
        <v>0</v>
      </c>
      <c r="BL44" s="695">
        <v>0</v>
      </c>
      <c r="BM44" s="695">
        <v>0</v>
      </c>
      <c r="BN44" s="695">
        <v>0</v>
      </c>
      <c r="BO44" s="695">
        <v>0</v>
      </c>
      <c r="BP44" s="695">
        <v>0</v>
      </c>
      <c r="BQ44" s="695">
        <v>0</v>
      </c>
      <c r="BR44" s="695">
        <v>0</v>
      </c>
      <c r="BS44" s="695">
        <v>0</v>
      </c>
      <c r="BT44" s="696">
        <v>0</v>
      </c>
      <c r="BU44" s="16"/>
    </row>
    <row r="45" spans="2:73" s="17" customFormat="1" ht="15.75">
      <c r="B45" s="690"/>
      <c r="C45" s="690" t="s">
        <v>14</v>
      </c>
      <c r="D45" s="690"/>
      <c r="E45" s="690" t="s">
        <v>687</v>
      </c>
      <c r="F45" s="690" t="s">
        <v>29</v>
      </c>
      <c r="G45" s="690"/>
      <c r="H45" s="690">
        <v>2012</v>
      </c>
      <c r="I45" s="644" t="s">
        <v>577</v>
      </c>
      <c r="J45" s="644" t="s">
        <v>594</v>
      </c>
      <c r="K45" s="633"/>
      <c r="L45" s="694">
        <v>0</v>
      </c>
      <c r="M45" s="695">
        <v>1.1396128369960934</v>
      </c>
      <c r="N45" s="695">
        <v>1.0961857405491173</v>
      </c>
      <c r="O45" s="695">
        <v>1.0961857405491173</v>
      </c>
      <c r="P45" s="695">
        <v>1.0961857405491173</v>
      </c>
      <c r="Q45" s="695">
        <v>1.0961857405491173</v>
      </c>
      <c r="R45" s="695">
        <v>1.0961857405491173</v>
      </c>
      <c r="S45" s="695">
        <v>1.0716585735790434</v>
      </c>
      <c r="T45" s="695">
        <v>1.0716585735790434</v>
      </c>
      <c r="U45" s="695">
        <v>0.63219298096373677</v>
      </c>
      <c r="V45" s="695">
        <v>0.63219298096373677</v>
      </c>
      <c r="W45" s="695">
        <v>0.57442610058933496</v>
      </c>
      <c r="X45" s="695">
        <v>0.57442610058933496</v>
      </c>
      <c r="Y45" s="695">
        <v>0.28266652021557098</v>
      </c>
      <c r="Z45" s="695">
        <v>0.28266652021557098</v>
      </c>
      <c r="AA45" s="695">
        <v>0.19645622465759516</v>
      </c>
      <c r="AB45" s="695">
        <v>8.586110919713974E-2</v>
      </c>
      <c r="AC45" s="695">
        <v>8.586110919713974E-2</v>
      </c>
      <c r="AD45" s="695">
        <v>8.586110919713974E-2</v>
      </c>
      <c r="AE45" s="695">
        <v>8.586110919713974E-2</v>
      </c>
      <c r="AF45" s="695">
        <v>8.586110919713974E-2</v>
      </c>
      <c r="AG45" s="695">
        <v>8.586110919713974E-2</v>
      </c>
      <c r="AH45" s="695">
        <v>0</v>
      </c>
      <c r="AI45" s="695">
        <v>0</v>
      </c>
      <c r="AJ45" s="695">
        <v>0</v>
      </c>
      <c r="AK45" s="695">
        <v>0</v>
      </c>
      <c r="AL45" s="695">
        <v>0</v>
      </c>
      <c r="AM45" s="695">
        <v>0</v>
      </c>
      <c r="AN45" s="695">
        <v>0</v>
      </c>
      <c r="AO45" s="696">
        <v>0</v>
      </c>
      <c r="AP45" s="633"/>
      <c r="AQ45" s="694">
        <v>0</v>
      </c>
      <c r="AR45" s="695">
        <v>14523.323989868164</v>
      </c>
      <c r="AS45" s="695">
        <v>14523.324035644531</v>
      </c>
      <c r="AT45" s="695">
        <v>14523.324035644531</v>
      </c>
      <c r="AU45" s="695">
        <v>13687.323989868166</v>
      </c>
      <c r="AV45" s="695">
        <v>13372.323989868162</v>
      </c>
      <c r="AW45" s="695">
        <v>13372.323989868162</v>
      </c>
      <c r="AX45" s="695">
        <v>12900.15998840332</v>
      </c>
      <c r="AY45" s="695">
        <v>12159.940002441406</v>
      </c>
      <c r="AZ45" s="695">
        <v>3699.9400024414063</v>
      </c>
      <c r="BA45" s="695">
        <v>3699.9400024414063</v>
      </c>
      <c r="BB45" s="695">
        <v>3190</v>
      </c>
      <c r="BC45" s="695">
        <v>3190</v>
      </c>
      <c r="BD45" s="695">
        <v>2220</v>
      </c>
      <c r="BE45" s="695">
        <v>2220</v>
      </c>
      <c r="BF45" s="695">
        <v>1545</v>
      </c>
      <c r="BG45" s="695">
        <v>633</v>
      </c>
      <c r="BH45" s="695">
        <v>633</v>
      </c>
      <c r="BI45" s="695">
        <v>633</v>
      </c>
      <c r="BJ45" s="695">
        <v>633</v>
      </c>
      <c r="BK45" s="695">
        <v>633</v>
      </c>
      <c r="BL45" s="695">
        <v>633</v>
      </c>
      <c r="BM45" s="695">
        <v>0</v>
      </c>
      <c r="BN45" s="695">
        <v>0</v>
      </c>
      <c r="BO45" s="695">
        <v>0</v>
      </c>
      <c r="BP45" s="695">
        <v>0</v>
      </c>
      <c r="BQ45" s="695">
        <v>0</v>
      </c>
      <c r="BR45" s="695">
        <v>0</v>
      </c>
      <c r="BS45" s="695">
        <v>0</v>
      </c>
      <c r="BT45" s="696">
        <v>0</v>
      </c>
      <c r="BU45" s="16"/>
    </row>
    <row r="46" spans="2:73" s="17" customFormat="1" ht="15.75">
      <c r="B46" s="690"/>
      <c r="C46" s="690" t="s">
        <v>17</v>
      </c>
      <c r="D46" s="690"/>
      <c r="E46" s="690" t="s">
        <v>687</v>
      </c>
      <c r="F46" s="690" t="s">
        <v>686</v>
      </c>
      <c r="G46" s="690"/>
      <c r="H46" s="690">
        <v>2012</v>
      </c>
      <c r="I46" s="644" t="s">
        <v>577</v>
      </c>
      <c r="J46" s="644" t="s">
        <v>594</v>
      </c>
      <c r="K46" s="633"/>
      <c r="L46" s="694">
        <v>0</v>
      </c>
      <c r="M46" s="695">
        <v>0.32292648347659642</v>
      </c>
      <c r="N46" s="695">
        <v>0.32292648347659642</v>
      </c>
      <c r="O46" s="695">
        <v>0.32292648347659642</v>
      </c>
      <c r="P46" s="695">
        <v>0.32292648347659642</v>
      </c>
      <c r="Q46" s="695">
        <v>0.32292648347659642</v>
      </c>
      <c r="R46" s="695">
        <v>0.32292648347659642</v>
      </c>
      <c r="S46" s="695">
        <v>0.32292648347659642</v>
      </c>
      <c r="T46" s="695">
        <v>0.32292648347659642</v>
      </c>
      <c r="U46" s="695">
        <v>0.32292648347659642</v>
      </c>
      <c r="V46" s="695">
        <v>0.32292648347659642</v>
      </c>
      <c r="W46" s="695">
        <v>0.32292648347659642</v>
      </c>
      <c r="X46" s="695">
        <v>0.32292648347659642</v>
      </c>
      <c r="Y46" s="695">
        <v>0</v>
      </c>
      <c r="Z46" s="695">
        <v>0</v>
      </c>
      <c r="AA46" s="695">
        <v>0</v>
      </c>
      <c r="AB46" s="695">
        <v>0</v>
      </c>
      <c r="AC46" s="695">
        <v>0</v>
      </c>
      <c r="AD46" s="695">
        <v>0</v>
      </c>
      <c r="AE46" s="695">
        <v>0</v>
      </c>
      <c r="AF46" s="695">
        <v>0</v>
      </c>
      <c r="AG46" s="695">
        <v>0</v>
      </c>
      <c r="AH46" s="695">
        <v>0</v>
      </c>
      <c r="AI46" s="695">
        <v>0</v>
      </c>
      <c r="AJ46" s="695">
        <v>0</v>
      </c>
      <c r="AK46" s="695">
        <v>0</v>
      </c>
      <c r="AL46" s="695">
        <v>0</v>
      </c>
      <c r="AM46" s="695">
        <v>0</v>
      </c>
      <c r="AN46" s="695">
        <v>0</v>
      </c>
      <c r="AO46" s="696">
        <v>0</v>
      </c>
      <c r="AP46" s="633"/>
      <c r="AQ46" s="694">
        <v>0</v>
      </c>
      <c r="AR46" s="695">
        <v>312.86289399373942</v>
      </c>
      <c r="AS46" s="695">
        <v>312.86289399373942</v>
      </c>
      <c r="AT46" s="695">
        <v>312.86289399373942</v>
      </c>
      <c r="AU46" s="695">
        <v>312.86289399373942</v>
      </c>
      <c r="AV46" s="695">
        <v>312.86289399373942</v>
      </c>
      <c r="AW46" s="695">
        <v>312.86289399373942</v>
      </c>
      <c r="AX46" s="695">
        <v>312.86289399373942</v>
      </c>
      <c r="AY46" s="695">
        <v>312.86289399373942</v>
      </c>
      <c r="AZ46" s="695">
        <v>312.86289399373942</v>
      </c>
      <c r="BA46" s="695">
        <v>312.86289399373942</v>
      </c>
      <c r="BB46" s="695">
        <v>312.86289399373942</v>
      </c>
      <c r="BC46" s="695">
        <v>312.86289399373942</v>
      </c>
      <c r="BD46" s="695">
        <v>0</v>
      </c>
      <c r="BE46" s="695">
        <v>0</v>
      </c>
      <c r="BF46" s="695">
        <v>0</v>
      </c>
      <c r="BG46" s="695">
        <v>0</v>
      </c>
      <c r="BH46" s="695">
        <v>0</v>
      </c>
      <c r="BI46" s="695">
        <v>0</v>
      </c>
      <c r="BJ46" s="695">
        <v>0</v>
      </c>
      <c r="BK46" s="695">
        <v>0</v>
      </c>
      <c r="BL46" s="695">
        <v>0</v>
      </c>
      <c r="BM46" s="695">
        <v>0</v>
      </c>
      <c r="BN46" s="695">
        <v>0</v>
      </c>
      <c r="BO46" s="695">
        <v>0</v>
      </c>
      <c r="BP46" s="695">
        <v>0</v>
      </c>
      <c r="BQ46" s="695">
        <v>0</v>
      </c>
      <c r="BR46" s="695">
        <v>0</v>
      </c>
      <c r="BS46" s="695">
        <v>0</v>
      </c>
      <c r="BT46" s="696">
        <v>0</v>
      </c>
      <c r="BU46" s="16"/>
    </row>
    <row r="47" spans="2:73" s="17" customFormat="1" ht="15.75">
      <c r="B47" s="690"/>
      <c r="C47" s="690" t="s">
        <v>9</v>
      </c>
      <c r="D47" s="690"/>
      <c r="E47" s="690" t="s">
        <v>687</v>
      </c>
      <c r="F47" s="690" t="s">
        <v>688</v>
      </c>
      <c r="G47" s="690"/>
      <c r="H47" s="690">
        <v>2012</v>
      </c>
      <c r="I47" s="644" t="s">
        <v>577</v>
      </c>
      <c r="J47" s="644" t="s">
        <v>594</v>
      </c>
      <c r="K47" s="633"/>
      <c r="L47" s="694">
        <v>0</v>
      </c>
      <c r="M47" s="695">
        <v>37.274569499999998</v>
      </c>
      <c r="N47" s="695">
        <v>0</v>
      </c>
      <c r="O47" s="695">
        <v>0</v>
      </c>
      <c r="P47" s="695">
        <v>0</v>
      </c>
      <c r="Q47" s="695">
        <v>0</v>
      </c>
      <c r="R47" s="695">
        <v>0</v>
      </c>
      <c r="S47" s="695">
        <v>0</v>
      </c>
      <c r="T47" s="695">
        <v>0</v>
      </c>
      <c r="U47" s="695">
        <v>0</v>
      </c>
      <c r="V47" s="695">
        <v>0</v>
      </c>
      <c r="W47" s="695">
        <v>0</v>
      </c>
      <c r="X47" s="695">
        <v>0</v>
      </c>
      <c r="Y47" s="695">
        <v>0</v>
      </c>
      <c r="Z47" s="695">
        <v>0</v>
      </c>
      <c r="AA47" s="695">
        <v>0</v>
      </c>
      <c r="AB47" s="695">
        <v>0</v>
      </c>
      <c r="AC47" s="695">
        <v>0</v>
      </c>
      <c r="AD47" s="695">
        <v>0</v>
      </c>
      <c r="AE47" s="695">
        <v>0</v>
      </c>
      <c r="AF47" s="695">
        <v>0</v>
      </c>
      <c r="AG47" s="695">
        <v>0</v>
      </c>
      <c r="AH47" s="695">
        <v>0</v>
      </c>
      <c r="AI47" s="695">
        <v>0</v>
      </c>
      <c r="AJ47" s="695">
        <v>0</v>
      </c>
      <c r="AK47" s="695">
        <v>0</v>
      </c>
      <c r="AL47" s="695">
        <v>0</v>
      </c>
      <c r="AM47" s="695">
        <v>0</v>
      </c>
      <c r="AN47" s="695">
        <v>0</v>
      </c>
      <c r="AO47" s="696">
        <v>0</v>
      </c>
      <c r="AP47" s="633"/>
      <c r="AQ47" s="694">
        <v>0</v>
      </c>
      <c r="AR47" s="695">
        <v>541.79780000000005</v>
      </c>
      <c r="AS47" s="695">
        <v>0</v>
      </c>
      <c r="AT47" s="695">
        <v>0</v>
      </c>
      <c r="AU47" s="695">
        <v>0</v>
      </c>
      <c r="AV47" s="695">
        <v>0</v>
      </c>
      <c r="AW47" s="695">
        <v>0</v>
      </c>
      <c r="AX47" s="695">
        <v>0</v>
      </c>
      <c r="AY47" s="695">
        <v>0</v>
      </c>
      <c r="AZ47" s="695">
        <v>0</v>
      </c>
      <c r="BA47" s="695">
        <v>0</v>
      </c>
      <c r="BB47" s="695">
        <v>0</v>
      </c>
      <c r="BC47" s="695">
        <v>0</v>
      </c>
      <c r="BD47" s="695">
        <v>0</v>
      </c>
      <c r="BE47" s="695">
        <v>0</v>
      </c>
      <c r="BF47" s="695">
        <v>0</v>
      </c>
      <c r="BG47" s="695">
        <v>0</v>
      </c>
      <c r="BH47" s="695">
        <v>0</v>
      </c>
      <c r="BI47" s="695">
        <v>0</v>
      </c>
      <c r="BJ47" s="695">
        <v>0</v>
      </c>
      <c r="BK47" s="695">
        <v>0</v>
      </c>
      <c r="BL47" s="695">
        <v>0</v>
      </c>
      <c r="BM47" s="695">
        <v>0</v>
      </c>
      <c r="BN47" s="695">
        <v>0</v>
      </c>
      <c r="BO47" s="695">
        <v>0</v>
      </c>
      <c r="BP47" s="695">
        <v>0</v>
      </c>
      <c r="BQ47" s="695">
        <v>0</v>
      </c>
      <c r="BR47" s="695">
        <v>0</v>
      </c>
      <c r="BS47" s="695">
        <v>0</v>
      </c>
      <c r="BT47" s="696">
        <v>0</v>
      </c>
      <c r="BU47" s="16"/>
    </row>
    <row r="48" spans="2:73" s="17" customFormat="1" ht="15.75">
      <c r="B48" s="690"/>
      <c r="C48" s="690" t="s">
        <v>20</v>
      </c>
      <c r="D48" s="690"/>
      <c r="E48" s="690" t="s">
        <v>687</v>
      </c>
      <c r="F48" s="690" t="s">
        <v>686</v>
      </c>
      <c r="G48" s="690"/>
      <c r="H48" s="690">
        <v>2012</v>
      </c>
      <c r="I48" s="644" t="s">
        <v>577</v>
      </c>
      <c r="J48" s="644" t="s">
        <v>594</v>
      </c>
      <c r="K48" s="633"/>
      <c r="L48" s="694">
        <v>0</v>
      </c>
      <c r="M48" s="695">
        <v>0</v>
      </c>
      <c r="N48" s="695">
        <v>0</v>
      </c>
      <c r="O48" s="695">
        <v>0</v>
      </c>
      <c r="P48" s="695">
        <v>0</v>
      </c>
      <c r="Q48" s="695">
        <v>0</v>
      </c>
      <c r="R48" s="695">
        <v>0</v>
      </c>
      <c r="S48" s="695">
        <v>0</v>
      </c>
      <c r="T48" s="695">
        <v>0</v>
      </c>
      <c r="U48" s="695">
        <v>0</v>
      </c>
      <c r="V48" s="695">
        <v>0</v>
      </c>
      <c r="W48" s="695">
        <v>0</v>
      </c>
      <c r="X48" s="695">
        <v>0</v>
      </c>
      <c r="Y48" s="695">
        <v>0</v>
      </c>
      <c r="Z48" s="695">
        <v>0</v>
      </c>
      <c r="AA48" s="695">
        <v>0</v>
      </c>
      <c r="AB48" s="695">
        <v>0</v>
      </c>
      <c r="AC48" s="695">
        <v>0</v>
      </c>
      <c r="AD48" s="695">
        <v>0</v>
      </c>
      <c r="AE48" s="695">
        <v>0</v>
      </c>
      <c r="AF48" s="695">
        <v>0</v>
      </c>
      <c r="AG48" s="695">
        <v>0</v>
      </c>
      <c r="AH48" s="695">
        <v>0</v>
      </c>
      <c r="AI48" s="695">
        <v>0</v>
      </c>
      <c r="AJ48" s="695">
        <v>0</v>
      </c>
      <c r="AK48" s="695">
        <v>0</v>
      </c>
      <c r="AL48" s="695">
        <v>0</v>
      </c>
      <c r="AM48" s="695">
        <v>0</v>
      </c>
      <c r="AN48" s="695">
        <v>0</v>
      </c>
      <c r="AO48" s="696">
        <v>0</v>
      </c>
      <c r="AP48" s="633"/>
      <c r="AQ48" s="694">
        <v>0</v>
      </c>
      <c r="AR48" s="695">
        <v>17855</v>
      </c>
      <c r="AS48" s="695">
        <v>17855</v>
      </c>
      <c r="AT48" s="695">
        <v>17855</v>
      </c>
      <c r="AU48" s="695">
        <v>17855</v>
      </c>
      <c r="AV48" s="695">
        <v>0</v>
      </c>
      <c r="AW48" s="695">
        <v>0</v>
      </c>
      <c r="AX48" s="695">
        <v>0</v>
      </c>
      <c r="AY48" s="695">
        <v>0</v>
      </c>
      <c r="AZ48" s="695">
        <v>0</v>
      </c>
      <c r="BA48" s="695">
        <v>0</v>
      </c>
      <c r="BB48" s="695">
        <v>0</v>
      </c>
      <c r="BC48" s="695">
        <v>0</v>
      </c>
      <c r="BD48" s="695">
        <v>0</v>
      </c>
      <c r="BE48" s="695">
        <v>0</v>
      </c>
      <c r="BF48" s="695">
        <v>0</v>
      </c>
      <c r="BG48" s="695">
        <v>0</v>
      </c>
      <c r="BH48" s="695">
        <v>0</v>
      </c>
      <c r="BI48" s="695">
        <v>0</v>
      </c>
      <c r="BJ48" s="695">
        <v>0</v>
      </c>
      <c r="BK48" s="695">
        <v>0</v>
      </c>
      <c r="BL48" s="695">
        <v>0</v>
      </c>
      <c r="BM48" s="695">
        <v>0</v>
      </c>
      <c r="BN48" s="695">
        <v>0</v>
      </c>
      <c r="BO48" s="695">
        <v>0</v>
      </c>
      <c r="BP48" s="695">
        <v>0</v>
      </c>
      <c r="BQ48" s="695">
        <v>0</v>
      </c>
      <c r="BR48" s="695">
        <v>0</v>
      </c>
      <c r="BS48" s="695">
        <v>0</v>
      </c>
      <c r="BT48" s="696">
        <v>0</v>
      </c>
      <c r="BU48" s="16"/>
    </row>
    <row r="49" spans="2:73" s="17" customFormat="1" ht="15.75">
      <c r="B49" s="690"/>
      <c r="C49" s="690" t="s">
        <v>22</v>
      </c>
      <c r="D49" s="690"/>
      <c r="E49" s="690" t="s">
        <v>687</v>
      </c>
      <c r="F49" s="690" t="s">
        <v>686</v>
      </c>
      <c r="G49" s="690"/>
      <c r="H49" s="690">
        <v>2013</v>
      </c>
      <c r="I49" s="644" t="s">
        <v>578</v>
      </c>
      <c r="J49" s="644" t="s">
        <v>594</v>
      </c>
      <c r="K49" s="633"/>
      <c r="L49" s="694">
        <v>0</v>
      </c>
      <c r="M49" s="695">
        <v>0</v>
      </c>
      <c r="N49" s="695">
        <v>178.86134415618662</v>
      </c>
      <c r="O49" s="695">
        <v>178.86134415618662</v>
      </c>
      <c r="P49" s="695">
        <v>177.8275051476511</v>
      </c>
      <c r="Q49" s="695">
        <v>177.8275051476511</v>
      </c>
      <c r="R49" s="695">
        <v>171.51420577817336</v>
      </c>
      <c r="S49" s="695">
        <v>164.37154174240908</v>
      </c>
      <c r="T49" s="695">
        <v>164.37154174240908</v>
      </c>
      <c r="U49" s="695">
        <v>164.37154174240908</v>
      </c>
      <c r="V49" s="695">
        <v>164.17318850368616</v>
      </c>
      <c r="W49" s="695">
        <v>148.55369093701233</v>
      </c>
      <c r="X49" s="695">
        <v>130.35114389348058</v>
      </c>
      <c r="Y49" s="695">
        <v>130.35114389348058</v>
      </c>
      <c r="Z49" s="695">
        <v>87.867501416930153</v>
      </c>
      <c r="AA49" s="695">
        <v>73.812676088149047</v>
      </c>
      <c r="AB49" s="695">
        <v>73.812676088149047</v>
      </c>
      <c r="AC49" s="695">
        <v>60.945369587539524</v>
      </c>
      <c r="AD49" s="695">
        <v>8.0914329224736932</v>
      </c>
      <c r="AE49" s="695">
        <v>8.0914329224736932</v>
      </c>
      <c r="AF49" s="695">
        <v>8.0914329224736932</v>
      </c>
      <c r="AG49" s="695">
        <v>8.0914329224736932</v>
      </c>
      <c r="AH49" s="695">
        <v>0</v>
      </c>
      <c r="AI49" s="695">
        <v>0</v>
      </c>
      <c r="AJ49" s="695">
        <v>0</v>
      </c>
      <c r="AK49" s="695">
        <v>0</v>
      </c>
      <c r="AL49" s="695">
        <v>0</v>
      </c>
      <c r="AM49" s="695">
        <v>0</v>
      </c>
      <c r="AN49" s="695">
        <v>0</v>
      </c>
      <c r="AO49" s="696">
        <v>0</v>
      </c>
      <c r="AP49" s="633"/>
      <c r="AQ49" s="694">
        <v>0</v>
      </c>
      <c r="AR49" s="695">
        <v>0</v>
      </c>
      <c r="AS49" s="695">
        <v>1047116.7699332013</v>
      </c>
      <c r="AT49" s="695">
        <v>1030338.4733909436</v>
      </c>
      <c r="AU49" s="695">
        <v>1027108.7872834338</v>
      </c>
      <c r="AV49" s="695">
        <v>1027108.7872834338</v>
      </c>
      <c r="AW49" s="695">
        <v>1006547.374169114</v>
      </c>
      <c r="AX49" s="695">
        <v>996103.70773962722</v>
      </c>
      <c r="AY49" s="695">
        <v>996103.70773962722</v>
      </c>
      <c r="AZ49" s="695">
        <v>992633.79295179737</v>
      </c>
      <c r="BA49" s="695">
        <v>990094.13585562445</v>
      </c>
      <c r="BB49" s="695">
        <v>913962.35800350958</v>
      </c>
      <c r="BC49" s="695">
        <v>790842.15730844915</v>
      </c>
      <c r="BD49" s="695">
        <v>762071.48700074444</v>
      </c>
      <c r="BE49" s="695">
        <v>519004.40141774382</v>
      </c>
      <c r="BF49" s="695">
        <v>475190.76751172019</v>
      </c>
      <c r="BG49" s="695">
        <v>475190.76751172019</v>
      </c>
      <c r="BH49" s="695">
        <v>386751.0300939146</v>
      </c>
      <c r="BI49" s="695">
        <v>23474.669191629779</v>
      </c>
      <c r="BJ49" s="695">
        <v>23474.669191629779</v>
      </c>
      <c r="BK49" s="695">
        <v>23474.669191629779</v>
      </c>
      <c r="BL49" s="695">
        <v>23474.669191629779</v>
      </c>
      <c r="BM49" s="695">
        <v>0</v>
      </c>
      <c r="BN49" s="695">
        <v>0</v>
      </c>
      <c r="BO49" s="695">
        <v>0</v>
      </c>
      <c r="BP49" s="695">
        <v>0</v>
      </c>
      <c r="BQ49" s="695">
        <v>0</v>
      </c>
      <c r="BR49" s="695">
        <v>0</v>
      </c>
      <c r="BS49" s="695">
        <v>0</v>
      </c>
      <c r="BT49" s="696">
        <v>0</v>
      </c>
      <c r="BU49" s="16"/>
    </row>
    <row r="50" spans="2:73" s="17" customFormat="1" ht="15.75">
      <c r="B50" s="690"/>
      <c r="C50" s="690" t="s">
        <v>3</v>
      </c>
      <c r="D50" s="690"/>
      <c r="E50" s="690" t="s">
        <v>687</v>
      </c>
      <c r="F50" s="690" t="s">
        <v>29</v>
      </c>
      <c r="G50" s="690"/>
      <c r="H50" s="690">
        <v>2013</v>
      </c>
      <c r="I50" s="644" t="s">
        <v>578</v>
      </c>
      <c r="J50" s="644" t="s">
        <v>594</v>
      </c>
      <c r="K50" s="633"/>
      <c r="L50" s="694">
        <v>0</v>
      </c>
      <c r="M50" s="695">
        <v>0</v>
      </c>
      <c r="N50" s="695">
        <v>34.690399470213187</v>
      </c>
      <c r="O50" s="695">
        <v>34.690399470213187</v>
      </c>
      <c r="P50" s="695">
        <v>34.690399470213187</v>
      </c>
      <c r="Q50" s="695">
        <v>34.690399470213187</v>
      </c>
      <c r="R50" s="695">
        <v>34.690399470213187</v>
      </c>
      <c r="S50" s="695">
        <v>34.690399470213187</v>
      </c>
      <c r="T50" s="695">
        <v>34.690399470213187</v>
      </c>
      <c r="U50" s="695">
        <v>34.690399470213187</v>
      </c>
      <c r="V50" s="695">
        <v>34.690399470213187</v>
      </c>
      <c r="W50" s="695">
        <v>34.690399470213187</v>
      </c>
      <c r="X50" s="695">
        <v>34.690399470213187</v>
      </c>
      <c r="Y50" s="695">
        <v>34.690399470213187</v>
      </c>
      <c r="Z50" s="695">
        <v>34.690399470213187</v>
      </c>
      <c r="AA50" s="695">
        <v>34.690399470213187</v>
      </c>
      <c r="AB50" s="695">
        <v>34.690399470213187</v>
      </c>
      <c r="AC50" s="695">
        <v>34.690399470213187</v>
      </c>
      <c r="AD50" s="695">
        <v>34.690399470213187</v>
      </c>
      <c r="AE50" s="695">
        <v>34.690399470213187</v>
      </c>
      <c r="AF50" s="695">
        <v>30.76362644597053</v>
      </c>
      <c r="AG50" s="695">
        <v>0</v>
      </c>
      <c r="AH50" s="695">
        <v>0</v>
      </c>
      <c r="AI50" s="695">
        <v>0</v>
      </c>
      <c r="AJ50" s="695">
        <v>0</v>
      </c>
      <c r="AK50" s="695">
        <v>0</v>
      </c>
      <c r="AL50" s="695">
        <v>0</v>
      </c>
      <c r="AM50" s="695">
        <v>0</v>
      </c>
      <c r="AN50" s="695">
        <v>0</v>
      </c>
      <c r="AO50" s="696">
        <v>0</v>
      </c>
      <c r="AP50" s="633"/>
      <c r="AQ50" s="694">
        <v>0</v>
      </c>
      <c r="AR50" s="695">
        <v>0</v>
      </c>
      <c r="AS50" s="695">
        <v>63246.155788642405</v>
      </c>
      <c r="AT50" s="695">
        <v>63246.155788642405</v>
      </c>
      <c r="AU50" s="695">
        <v>63246.155788642405</v>
      </c>
      <c r="AV50" s="695">
        <v>63246.155788642405</v>
      </c>
      <c r="AW50" s="695">
        <v>63246.155788642405</v>
      </c>
      <c r="AX50" s="695">
        <v>63246.155788642405</v>
      </c>
      <c r="AY50" s="695">
        <v>63246.155788642405</v>
      </c>
      <c r="AZ50" s="695">
        <v>63246.155788642405</v>
      </c>
      <c r="BA50" s="695">
        <v>63246.155788642405</v>
      </c>
      <c r="BB50" s="695">
        <v>63246.155788642405</v>
      </c>
      <c r="BC50" s="695">
        <v>63246.155788642405</v>
      </c>
      <c r="BD50" s="695">
        <v>63246.155788642405</v>
      </c>
      <c r="BE50" s="695">
        <v>63246.155788642405</v>
      </c>
      <c r="BF50" s="695">
        <v>63246.155788642405</v>
      </c>
      <c r="BG50" s="695">
        <v>63246.155788642405</v>
      </c>
      <c r="BH50" s="695">
        <v>63246.155788642405</v>
      </c>
      <c r="BI50" s="695">
        <v>63246.155788642405</v>
      </c>
      <c r="BJ50" s="695">
        <v>63246.155788642405</v>
      </c>
      <c r="BK50" s="695">
        <v>59734.621654119408</v>
      </c>
      <c r="BL50" s="695">
        <v>0</v>
      </c>
      <c r="BM50" s="695">
        <v>0</v>
      </c>
      <c r="BN50" s="695">
        <v>0</v>
      </c>
      <c r="BO50" s="695">
        <v>0</v>
      </c>
      <c r="BP50" s="695">
        <v>0</v>
      </c>
      <c r="BQ50" s="695">
        <v>0</v>
      </c>
      <c r="BR50" s="695">
        <v>0</v>
      </c>
      <c r="BS50" s="695">
        <v>0</v>
      </c>
      <c r="BT50" s="696">
        <v>0</v>
      </c>
      <c r="BU50" s="16"/>
    </row>
    <row r="51" spans="2:73" s="17" customFormat="1" ht="15.75">
      <c r="B51" s="690"/>
      <c r="C51" s="690" t="s">
        <v>1</v>
      </c>
      <c r="D51" s="690"/>
      <c r="E51" s="690" t="s">
        <v>687</v>
      </c>
      <c r="F51" s="690" t="s">
        <v>29</v>
      </c>
      <c r="G51" s="690"/>
      <c r="H51" s="690">
        <v>2013</v>
      </c>
      <c r="I51" s="644" t="s">
        <v>578</v>
      </c>
      <c r="J51" s="644" t="s">
        <v>594</v>
      </c>
      <c r="K51" s="633"/>
      <c r="L51" s="694">
        <v>0</v>
      </c>
      <c r="M51" s="695">
        <v>0</v>
      </c>
      <c r="N51" s="695">
        <v>2.9523212232111886</v>
      </c>
      <c r="O51" s="695">
        <v>2.9523212232111886</v>
      </c>
      <c r="P51" s="695">
        <v>2.9523212232111886</v>
      </c>
      <c r="Q51" s="695">
        <v>2.847537193591164</v>
      </c>
      <c r="R51" s="695">
        <v>1.5778427170262748</v>
      </c>
      <c r="S51" s="695">
        <v>0</v>
      </c>
      <c r="T51" s="695">
        <v>0</v>
      </c>
      <c r="U51" s="695">
        <v>0</v>
      </c>
      <c r="V51" s="695">
        <v>0</v>
      </c>
      <c r="W51" s="695">
        <v>0</v>
      </c>
      <c r="X51" s="695">
        <v>0</v>
      </c>
      <c r="Y51" s="695">
        <v>0</v>
      </c>
      <c r="Z51" s="695">
        <v>0</v>
      </c>
      <c r="AA51" s="695">
        <v>0</v>
      </c>
      <c r="AB51" s="695">
        <v>0</v>
      </c>
      <c r="AC51" s="695">
        <v>0</v>
      </c>
      <c r="AD51" s="695">
        <v>0</v>
      </c>
      <c r="AE51" s="695">
        <v>0</v>
      </c>
      <c r="AF51" s="695">
        <v>0</v>
      </c>
      <c r="AG51" s="695">
        <v>0</v>
      </c>
      <c r="AH51" s="695">
        <v>0</v>
      </c>
      <c r="AI51" s="695">
        <v>0</v>
      </c>
      <c r="AJ51" s="695">
        <v>0</v>
      </c>
      <c r="AK51" s="695">
        <v>0</v>
      </c>
      <c r="AL51" s="695">
        <v>0</v>
      </c>
      <c r="AM51" s="695">
        <v>0</v>
      </c>
      <c r="AN51" s="695">
        <v>0</v>
      </c>
      <c r="AO51" s="696">
        <v>0</v>
      </c>
      <c r="AP51" s="633"/>
      <c r="AQ51" s="694">
        <v>0</v>
      </c>
      <c r="AR51" s="695">
        <v>0</v>
      </c>
      <c r="AS51" s="695">
        <v>19121.61350430387</v>
      </c>
      <c r="AT51" s="695">
        <v>19121.61350430387</v>
      </c>
      <c r="AU51" s="695">
        <v>19121.61350430387</v>
      </c>
      <c r="AV51" s="695">
        <v>19019.068985970534</v>
      </c>
      <c r="AW51" s="695">
        <v>10735.90253343334</v>
      </c>
      <c r="AX51" s="695">
        <v>0</v>
      </c>
      <c r="AY51" s="695">
        <v>0</v>
      </c>
      <c r="AZ51" s="695">
        <v>0</v>
      </c>
      <c r="BA51" s="695">
        <v>0</v>
      </c>
      <c r="BB51" s="695">
        <v>0</v>
      </c>
      <c r="BC51" s="695">
        <v>0</v>
      </c>
      <c r="BD51" s="695">
        <v>0</v>
      </c>
      <c r="BE51" s="695">
        <v>0</v>
      </c>
      <c r="BF51" s="695">
        <v>0</v>
      </c>
      <c r="BG51" s="695">
        <v>0</v>
      </c>
      <c r="BH51" s="695">
        <v>0</v>
      </c>
      <c r="BI51" s="695">
        <v>0</v>
      </c>
      <c r="BJ51" s="695">
        <v>0</v>
      </c>
      <c r="BK51" s="695">
        <v>0</v>
      </c>
      <c r="BL51" s="695">
        <v>0</v>
      </c>
      <c r="BM51" s="695">
        <v>0</v>
      </c>
      <c r="BN51" s="695">
        <v>0</v>
      </c>
      <c r="BO51" s="695">
        <v>0</v>
      </c>
      <c r="BP51" s="695">
        <v>0</v>
      </c>
      <c r="BQ51" s="695">
        <v>0</v>
      </c>
      <c r="BR51" s="695">
        <v>0</v>
      </c>
      <c r="BS51" s="695">
        <v>0</v>
      </c>
      <c r="BT51" s="696">
        <v>0</v>
      </c>
      <c r="BU51" s="16"/>
    </row>
    <row r="52" spans="2:73" s="17" customFormat="1" ht="15.75">
      <c r="B52" s="690"/>
      <c r="C52" s="690" t="s">
        <v>2</v>
      </c>
      <c r="D52" s="690"/>
      <c r="E52" s="690" t="s">
        <v>687</v>
      </c>
      <c r="F52" s="690" t="s">
        <v>29</v>
      </c>
      <c r="G52" s="690"/>
      <c r="H52" s="690">
        <v>2013</v>
      </c>
      <c r="I52" s="644" t="s">
        <v>578</v>
      </c>
      <c r="J52" s="644" t="s">
        <v>594</v>
      </c>
      <c r="K52" s="633"/>
      <c r="L52" s="694">
        <v>0</v>
      </c>
      <c r="M52" s="695">
        <v>0</v>
      </c>
      <c r="N52" s="695">
        <v>4.3510760798331551</v>
      </c>
      <c r="O52" s="695">
        <v>4.3510760798331551</v>
      </c>
      <c r="P52" s="695">
        <v>4.3510760798331551</v>
      </c>
      <c r="Q52" s="695">
        <v>4.3510760798331551</v>
      </c>
      <c r="R52" s="695">
        <v>0</v>
      </c>
      <c r="S52" s="695">
        <v>0</v>
      </c>
      <c r="T52" s="695">
        <v>0</v>
      </c>
      <c r="U52" s="695">
        <v>0</v>
      </c>
      <c r="V52" s="695">
        <v>0</v>
      </c>
      <c r="W52" s="695">
        <v>0</v>
      </c>
      <c r="X52" s="695">
        <v>0</v>
      </c>
      <c r="Y52" s="695">
        <v>0</v>
      </c>
      <c r="Z52" s="695">
        <v>0</v>
      </c>
      <c r="AA52" s="695">
        <v>0</v>
      </c>
      <c r="AB52" s="695">
        <v>0</v>
      </c>
      <c r="AC52" s="695">
        <v>0</v>
      </c>
      <c r="AD52" s="695">
        <v>0</v>
      </c>
      <c r="AE52" s="695">
        <v>0</v>
      </c>
      <c r="AF52" s="695">
        <v>0</v>
      </c>
      <c r="AG52" s="695">
        <v>0</v>
      </c>
      <c r="AH52" s="695">
        <v>0</v>
      </c>
      <c r="AI52" s="695">
        <v>0</v>
      </c>
      <c r="AJ52" s="695">
        <v>0</v>
      </c>
      <c r="AK52" s="695">
        <v>0</v>
      </c>
      <c r="AL52" s="695">
        <v>0</v>
      </c>
      <c r="AM52" s="695">
        <v>0</v>
      </c>
      <c r="AN52" s="695">
        <v>0</v>
      </c>
      <c r="AO52" s="696">
        <v>0</v>
      </c>
      <c r="AP52" s="633"/>
      <c r="AQ52" s="694">
        <v>0</v>
      </c>
      <c r="AR52" s="695">
        <v>0</v>
      </c>
      <c r="AS52" s="695">
        <v>7758.2374371089982</v>
      </c>
      <c r="AT52" s="695">
        <v>7758.2374371089982</v>
      </c>
      <c r="AU52" s="695">
        <v>7758.2374371089982</v>
      </c>
      <c r="AV52" s="695">
        <v>7758.2374371089982</v>
      </c>
      <c r="AW52" s="695">
        <v>0</v>
      </c>
      <c r="AX52" s="695">
        <v>0</v>
      </c>
      <c r="AY52" s="695">
        <v>0</v>
      </c>
      <c r="AZ52" s="695">
        <v>0</v>
      </c>
      <c r="BA52" s="695">
        <v>0</v>
      </c>
      <c r="BB52" s="695">
        <v>0</v>
      </c>
      <c r="BC52" s="695">
        <v>0</v>
      </c>
      <c r="BD52" s="695">
        <v>0</v>
      </c>
      <c r="BE52" s="695">
        <v>0</v>
      </c>
      <c r="BF52" s="695">
        <v>0</v>
      </c>
      <c r="BG52" s="695">
        <v>0</v>
      </c>
      <c r="BH52" s="695">
        <v>0</v>
      </c>
      <c r="BI52" s="695">
        <v>0</v>
      </c>
      <c r="BJ52" s="695">
        <v>0</v>
      </c>
      <c r="BK52" s="695">
        <v>0</v>
      </c>
      <c r="BL52" s="695">
        <v>0</v>
      </c>
      <c r="BM52" s="695">
        <v>0</v>
      </c>
      <c r="BN52" s="695">
        <v>0</v>
      </c>
      <c r="BO52" s="695">
        <v>0</v>
      </c>
      <c r="BP52" s="695">
        <v>0</v>
      </c>
      <c r="BQ52" s="695">
        <v>0</v>
      </c>
      <c r="BR52" s="695">
        <v>0</v>
      </c>
      <c r="BS52" s="695">
        <v>0</v>
      </c>
      <c r="BT52" s="696">
        <v>0</v>
      </c>
      <c r="BU52" s="16"/>
    </row>
    <row r="53" spans="2:73">
      <c r="B53" s="690"/>
      <c r="C53" s="690" t="s">
        <v>42</v>
      </c>
      <c r="D53" s="690"/>
      <c r="E53" s="690" t="s">
        <v>687</v>
      </c>
      <c r="F53" s="690" t="s">
        <v>29</v>
      </c>
      <c r="G53" s="690"/>
      <c r="H53" s="690">
        <v>2013</v>
      </c>
      <c r="I53" s="644" t="s">
        <v>578</v>
      </c>
      <c r="J53" s="644" t="s">
        <v>594</v>
      </c>
      <c r="K53" s="633"/>
      <c r="L53" s="694">
        <v>0</v>
      </c>
      <c r="M53" s="695">
        <v>0</v>
      </c>
      <c r="N53" s="695">
        <v>142.23673700000001</v>
      </c>
      <c r="O53" s="695">
        <v>0</v>
      </c>
      <c r="P53" s="695">
        <v>0</v>
      </c>
      <c r="Q53" s="695">
        <v>0</v>
      </c>
      <c r="R53" s="695">
        <v>0</v>
      </c>
      <c r="S53" s="695">
        <v>0</v>
      </c>
      <c r="T53" s="695">
        <v>0</v>
      </c>
      <c r="U53" s="695">
        <v>0</v>
      </c>
      <c r="V53" s="695">
        <v>0</v>
      </c>
      <c r="W53" s="695">
        <v>0</v>
      </c>
      <c r="X53" s="695">
        <v>0</v>
      </c>
      <c r="Y53" s="695">
        <v>0</v>
      </c>
      <c r="Z53" s="695">
        <v>0</v>
      </c>
      <c r="AA53" s="695">
        <v>0</v>
      </c>
      <c r="AB53" s="695">
        <v>0</v>
      </c>
      <c r="AC53" s="695">
        <v>0</v>
      </c>
      <c r="AD53" s="695">
        <v>0</v>
      </c>
      <c r="AE53" s="695">
        <v>0</v>
      </c>
      <c r="AF53" s="695">
        <v>0</v>
      </c>
      <c r="AG53" s="695">
        <v>0</v>
      </c>
      <c r="AH53" s="695">
        <v>0</v>
      </c>
      <c r="AI53" s="695">
        <v>0</v>
      </c>
      <c r="AJ53" s="695">
        <v>0</v>
      </c>
      <c r="AK53" s="695">
        <v>0</v>
      </c>
      <c r="AL53" s="695">
        <v>0</v>
      </c>
      <c r="AM53" s="695">
        <v>0</v>
      </c>
      <c r="AN53" s="695">
        <v>0</v>
      </c>
      <c r="AO53" s="696">
        <v>0</v>
      </c>
      <c r="AP53" s="633"/>
      <c r="AQ53" s="694">
        <v>0</v>
      </c>
      <c r="AR53" s="695">
        <v>0</v>
      </c>
      <c r="AS53" s="695">
        <v>0</v>
      </c>
      <c r="AT53" s="695">
        <v>0</v>
      </c>
      <c r="AU53" s="695">
        <v>0</v>
      </c>
      <c r="AV53" s="695">
        <v>0</v>
      </c>
      <c r="AW53" s="695">
        <v>0</v>
      </c>
      <c r="AX53" s="695">
        <v>0</v>
      </c>
      <c r="AY53" s="695">
        <v>0</v>
      </c>
      <c r="AZ53" s="695">
        <v>0</v>
      </c>
      <c r="BA53" s="695">
        <v>0</v>
      </c>
      <c r="BB53" s="695">
        <v>0</v>
      </c>
      <c r="BC53" s="695">
        <v>0</v>
      </c>
      <c r="BD53" s="695">
        <v>0</v>
      </c>
      <c r="BE53" s="695">
        <v>0</v>
      </c>
      <c r="BF53" s="695">
        <v>0</v>
      </c>
      <c r="BG53" s="695">
        <v>0</v>
      </c>
      <c r="BH53" s="695">
        <v>0</v>
      </c>
      <c r="BI53" s="695">
        <v>0</v>
      </c>
      <c r="BJ53" s="695">
        <v>0</v>
      </c>
      <c r="BK53" s="695">
        <v>0</v>
      </c>
      <c r="BL53" s="695">
        <v>0</v>
      </c>
      <c r="BM53" s="695">
        <v>0</v>
      </c>
      <c r="BN53" s="695">
        <v>0</v>
      </c>
      <c r="BO53" s="695">
        <v>0</v>
      </c>
      <c r="BP53" s="695">
        <v>0</v>
      </c>
      <c r="BQ53" s="695">
        <v>0</v>
      </c>
      <c r="BR53" s="695">
        <v>0</v>
      </c>
      <c r="BS53" s="695">
        <v>0</v>
      </c>
      <c r="BT53" s="696">
        <v>0</v>
      </c>
    </row>
    <row r="54" spans="2:73">
      <c r="B54" s="690"/>
      <c r="C54" s="690" t="s">
        <v>21</v>
      </c>
      <c r="D54" s="690"/>
      <c r="E54" s="690" t="s">
        <v>687</v>
      </c>
      <c r="F54" s="690" t="s">
        <v>686</v>
      </c>
      <c r="G54" s="690"/>
      <c r="H54" s="690">
        <v>2013</v>
      </c>
      <c r="I54" s="644" t="s">
        <v>578</v>
      </c>
      <c r="J54" s="644" t="s">
        <v>594</v>
      </c>
      <c r="K54" s="633"/>
      <c r="L54" s="694">
        <v>0</v>
      </c>
      <c r="M54" s="695">
        <v>0</v>
      </c>
      <c r="N54" s="695">
        <v>107.72378851764815</v>
      </c>
      <c r="O54" s="695">
        <v>107.72378851764815</v>
      </c>
      <c r="P54" s="695">
        <v>107.08467863821969</v>
      </c>
      <c r="Q54" s="695">
        <v>81.466509935737079</v>
      </c>
      <c r="R54" s="695">
        <v>56.799909660251394</v>
      </c>
      <c r="S54" s="695">
        <v>56.799909660251394</v>
      </c>
      <c r="T54" s="695">
        <v>56.799909660251394</v>
      </c>
      <c r="U54" s="695">
        <v>56.799909660251394</v>
      </c>
      <c r="V54" s="695">
        <v>56.799909660251394</v>
      </c>
      <c r="W54" s="695">
        <v>56.799909660251394</v>
      </c>
      <c r="X54" s="695">
        <v>55.63746421652445</v>
      </c>
      <c r="Y54" s="695">
        <v>9.7016528137499467</v>
      </c>
      <c r="Z54" s="695">
        <v>0</v>
      </c>
      <c r="AA54" s="695">
        <v>0</v>
      </c>
      <c r="AB54" s="695">
        <v>0</v>
      </c>
      <c r="AC54" s="695">
        <v>0</v>
      </c>
      <c r="AD54" s="695">
        <v>0</v>
      </c>
      <c r="AE54" s="695">
        <v>0</v>
      </c>
      <c r="AF54" s="695">
        <v>0</v>
      </c>
      <c r="AG54" s="695">
        <v>0</v>
      </c>
      <c r="AH54" s="695">
        <v>0</v>
      </c>
      <c r="AI54" s="695">
        <v>0</v>
      </c>
      <c r="AJ54" s="695">
        <v>0</v>
      </c>
      <c r="AK54" s="695">
        <v>0</v>
      </c>
      <c r="AL54" s="695">
        <v>0</v>
      </c>
      <c r="AM54" s="695">
        <v>0</v>
      </c>
      <c r="AN54" s="695">
        <v>0</v>
      </c>
      <c r="AO54" s="696">
        <v>0</v>
      </c>
      <c r="AP54" s="633"/>
      <c r="AQ54" s="694">
        <v>0</v>
      </c>
      <c r="AR54" s="695">
        <v>0</v>
      </c>
      <c r="AS54" s="695">
        <v>399272.25947202044</v>
      </c>
      <c r="AT54" s="695">
        <v>399272.25947202044</v>
      </c>
      <c r="AU54" s="695">
        <v>397003.58726406761</v>
      </c>
      <c r="AV54" s="695">
        <v>298359.06338051625</v>
      </c>
      <c r="AW54" s="695">
        <v>219011.73278247629</v>
      </c>
      <c r="AX54" s="695">
        <v>219011.73278247629</v>
      </c>
      <c r="AY54" s="695">
        <v>219011.73278247629</v>
      </c>
      <c r="AZ54" s="695">
        <v>219011.73278247629</v>
      </c>
      <c r="BA54" s="695">
        <v>219011.73278247629</v>
      </c>
      <c r="BB54" s="695">
        <v>219011.73278247629</v>
      </c>
      <c r="BC54" s="695">
        <v>208466.17315011992</v>
      </c>
      <c r="BD54" s="695">
        <v>31639.221114271153</v>
      </c>
      <c r="BE54" s="695">
        <v>0</v>
      </c>
      <c r="BF54" s="695">
        <v>0</v>
      </c>
      <c r="BG54" s="695">
        <v>0</v>
      </c>
      <c r="BH54" s="695">
        <v>0</v>
      </c>
      <c r="BI54" s="695">
        <v>0</v>
      </c>
      <c r="BJ54" s="695">
        <v>0</v>
      </c>
      <c r="BK54" s="695">
        <v>0</v>
      </c>
      <c r="BL54" s="695">
        <v>0</v>
      </c>
      <c r="BM54" s="695">
        <v>0</v>
      </c>
      <c r="BN54" s="695">
        <v>0</v>
      </c>
      <c r="BO54" s="695">
        <v>0</v>
      </c>
      <c r="BP54" s="695">
        <v>0</v>
      </c>
      <c r="BQ54" s="695">
        <v>0</v>
      </c>
      <c r="BR54" s="695">
        <v>0</v>
      </c>
      <c r="BS54" s="695">
        <v>0</v>
      </c>
      <c r="BT54" s="696">
        <v>0</v>
      </c>
    </row>
    <row r="55" spans="2:73">
      <c r="B55" s="690"/>
      <c r="C55" s="690" t="s">
        <v>14</v>
      </c>
      <c r="D55" s="690"/>
      <c r="E55" s="690" t="s">
        <v>687</v>
      </c>
      <c r="F55" s="690" t="s">
        <v>29</v>
      </c>
      <c r="G55" s="690"/>
      <c r="H55" s="690">
        <v>2013</v>
      </c>
      <c r="I55" s="644" t="s">
        <v>578</v>
      </c>
      <c r="J55" s="644" t="s">
        <v>594</v>
      </c>
      <c r="K55" s="633"/>
      <c r="L55" s="694">
        <v>0</v>
      </c>
      <c r="M55" s="695">
        <v>0</v>
      </c>
      <c r="N55" s="695">
        <v>2.5121929044835269</v>
      </c>
      <c r="O55" s="695">
        <v>2.5026842509396374</v>
      </c>
      <c r="P55" s="695">
        <v>2.5018198271282017</v>
      </c>
      <c r="Q55" s="695">
        <v>2.2270978040266898</v>
      </c>
      <c r="R55" s="695">
        <v>2.0798311721596714</v>
      </c>
      <c r="S55" s="695">
        <v>1.9459278567859806</v>
      </c>
      <c r="T55" s="695">
        <v>1.883456002285508</v>
      </c>
      <c r="U55" s="695">
        <v>1.883456002285508</v>
      </c>
      <c r="V55" s="695">
        <v>0.82835080288350582</v>
      </c>
      <c r="W55" s="695">
        <v>0.82835080288350582</v>
      </c>
      <c r="X55" s="695">
        <v>0.78799083270132542</v>
      </c>
      <c r="Y55" s="695">
        <v>0.78799083270132542</v>
      </c>
      <c r="Z55" s="695">
        <v>0.46041923202574253</v>
      </c>
      <c r="AA55" s="695">
        <v>0.46041923202574253</v>
      </c>
      <c r="AB55" s="695">
        <v>0.28844084776937962</v>
      </c>
      <c r="AC55" s="695">
        <v>8.5640899837017059E-2</v>
      </c>
      <c r="AD55" s="695">
        <v>8.5640899837017059E-2</v>
      </c>
      <c r="AE55" s="695">
        <v>8.5640899837017059E-2</v>
      </c>
      <c r="AF55" s="695">
        <v>8.5640899837017059E-2</v>
      </c>
      <c r="AG55" s="695">
        <v>8.5640899837017059E-2</v>
      </c>
      <c r="AH55" s="695">
        <v>8.5640899837017059E-2</v>
      </c>
      <c r="AI55" s="695">
        <v>0</v>
      </c>
      <c r="AJ55" s="695">
        <v>0</v>
      </c>
      <c r="AK55" s="695">
        <v>0</v>
      </c>
      <c r="AL55" s="695">
        <v>0</v>
      </c>
      <c r="AM55" s="695">
        <v>0</v>
      </c>
      <c r="AN55" s="695">
        <v>0</v>
      </c>
      <c r="AO55" s="696">
        <v>0</v>
      </c>
      <c r="AP55" s="633"/>
      <c r="AQ55" s="694">
        <v>0</v>
      </c>
      <c r="AR55" s="695">
        <v>0</v>
      </c>
      <c r="AS55" s="695">
        <v>24452.999999999993</v>
      </c>
      <c r="AT55" s="695">
        <v>24269.952178955071</v>
      </c>
      <c r="AU55" s="695">
        <v>24253.311492919915</v>
      </c>
      <c r="AV55" s="695">
        <v>21513.347449457426</v>
      </c>
      <c r="AW55" s="695">
        <v>19774.383681253639</v>
      </c>
      <c r="AX55" s="695">
        <v>18470.96450665985</v>
      </c>
      <c r="AY55" s="695">
        <v>17268.340376410826</v>
      </c>
      <c r="AZ55" s="695">
        <v>16388.49851850067</v>
      </c>
      <c r="BA55" s="695">
        <v>5072.1454849243164</v>
      </c>
      <c r="BB55" s="695">
        <v>5072.1454849243164</v>
      </c>
      <c r="BC55" s="695">
        <v>4739.3252410888672</v>
      </c>
      <c r="BD55" s="695">
        <v>4739.3252410888672</v>
      </c>
      <c r="BE55" s="695">
        <v>3650.2626190185547</v>
      </c>
      <c r="BF55" s="695">
        <v>3650.2626190185547</v>
      </c>
      <c r="BG55" s="695">
        <v>2303.7248992919922</v>
      </c>
      <c r="BH55" s="695">
        <v>631.3765869140625</v>
      </c>
      <c r="BI55" s="695">
        <v>631.3765869140625</v>
      </c>
      <c r="BJ55" s="695">
        <v>631.3765869140625</v>
      </c>
      <c r="BK55" s="695">
        <v>631.3765869140625</v>
      </c>
      <c r="BL55" s="695">
        <v>631.3765869140625</v>
      </c>
      <c r="BM55" s="695">
        <v>631.3765869140625</v>
      </c>
      <c r="BN55" s="695">
        <v>0</v>
      </c>
      <c r="BO55" s="695">
        <v>0</v>
      </c>
      <c r="BP55" s="695">
        <v>0</v>
      </c>
      <c r="BQ55" s="695">
        <v>0</v>
      </c>
      <c r="BR55" s="695">
        <v>0</v>
      </c>
      <c r="BS55" s="695">
        <v>0</v>
      </c>
      <c r="BT55" s="696">
        <v>0</v>
      </c>
    </row>
    <row r="56" spans="2:73">
      <c r="B56" s="690"/>
      <c r="C56" s="690" t="s">
        <v>9</v>
      </c>
      <c r="D56" s="690"/>
      <c r="E56" s="690" t="s">
        <v>687</v>
      </c>
      <c r="F56" s="690" t="s">
        <v>688</v>
      </c>
      <c r="G56" s="690"/>
      <c r="H56" s="690">
        <v>2013</v>
      </c>
      <c r="I56" s="644" t="s">
        <v>578</v>
      </c>
      <c r="J56" s="644" t="s">
        <v>594</v>
      </c>
      <c r="K56" s="633"/>
      <c r="L56" s="694">
        <v>0</v>
      </c>
      <c r="M56" s="695">
        <v>0</v>
      </c>
      <c r="N56" s="695">
        <v>38</v>
      </c>
      <c r="O56" s="695">
        <v>0</v>
      </c>
      <c r="P56" s="695">
        <v>0</v>
      </c>
      <c r="Q56" s="695">
        <v>0</v>
      </c>
      <c r="R56" s="695">
        <v>0</v>
      </c>
      <c r="S56" s="695">
        <v>0</v>
      </c>
      <c r="T56" s="695">
        <v>0</v>
      </c>
      <c r="U56" s="695">
        <v>0</v>
      </c>
      <c r="V56" s="695">
        <v>0</v>
      </c>
      <c r="W56" s="695">
        <v>0</v>
      </c>
      <c r="X56" s="695">
        <v>0</v>
      </c>
      <c r="Y56" s="695">
        <v>0</v>
      </c>
      <c r="Z56" s="695">
        <v>0</v>
      </c>
      <c r="AA56" s="695">
        <v>0</v>
      </c>
      <c r="AB56" s="695">
        <v>0</v>
      </c>
      <c r="AC56" s="695">
        <v>0</v>
      </c>
      <c r="AD56" s="695">
        <v>0</v>
      </c>
      <c r="AE56" s="695">
        <v>0</v>
      </c>
      <c r="AF56" s="695">
        <v>0</v>
      </c>
      <c r="AG56" s="695">
        <v>0</v>
      </c>
      <c r="AH56" s="695">
        <v>0</v>
      </c>
      <c r="AI56" s="695">
        <v>0</v>
      </c>
      <c r="AJ56" s="695">
        <v>0</v>
      </c>
      <c r="AK56" s="695">
        <v>0</v>
      </c>
      <c r="AL56" s="695">
        <v>0</v>
      </c>
      <c r="AM56" s="695">
        <v>0</v>
      </c>
      <c r="AN56" s="695">
        <v>0</v>
      </c>
      <c r="AO56" s="696">
        <v>0</v>
      </c>
      <c r="AP56" s="633"/>
      <c r="AQ56" s="694">
        <v>0</v>
      </c>
      <c r="AR56" s="695">
        <v>0</v>
      </c>
      <c r="AS56" s="695">
        <v>505</v>
      </c>
      <c r="AT56" s="695">
        <v>0</v>
      </c>
      <c r="AU56" s="695">
        <v>0</v>
      </c>
      <c r="AV56" s="695">
        <v>0</v>
      </c>
      <c r="AW56" s="695">
        <v>0</v>
      </c>
      <c r="AX56" s="695">
        <v>0</v>
      </c>
      <c r="AY56" s="695">
        <v>0</v>
      </c>
      <c r="AZ56" s="695">
        <v>0</v>
      </c>
      <c r="BA56" s="695">
        <v>0</v>
      </c>
      <c r="BB56" s="695">
        <v>0</v>
      </c>
      <c r="BC56" s="695">
        <v>0</v>
      </c>
      <c r="BD56" s="695">
        <v>0</v>
      </c>
      <c r="BE56" s="695">
        <v>0</v>
      </c>
      <c r="BF56" s="695">
        <v>0</v>
      </c>
      <c r="BG56" s="695">
        <v>0</v>
      </c>
      <c r="BH56" s="695">
        <v>0</v>
      </c>
      <c r="BI56" s="695">
        <v>0</v>
      </c>
      <c r="BJ56" s="695">
        <v>0</v>
      </c>
      <c r="BK56" s="695">
        <v>0</v>
      </c>
      <c r="BL56" s="695">
        <v>0</v>
      </c>
      <c r="BM56" s="695">
        <v>0</v>
      </c>
      <c r="BN56" s="695">
        <v>0</v>
      </c>
      <c r="BO56" s="695">
        <v>0</v>
      </c>
      <c r="BP56" s="695">
        <v>0</v>
      </c>
      <c r="BQ56" s="695">
        <v>0</v>
      </c>
      <c r="BR56" s="695">
        <v>0</v>
      </c>
      <c r="BS56" s="695">
        <v>0</v>
      </c>
      <c r="BT56" s="696">
        <v>0</v>
      </c>
    </row>
    <row r="57" spans="2:73">
      <c r="B57" s="690"/>
      <c r="C57" s="690" t="s">
        <v>4</v>
      </c>
      <c r="D57" s="690"/>
      <c r="E57" s="690" t="s">
        <v>687</v>
      </c>
      <c r="F57" s="690" t="s">
        <v>29</v>
      </c>
      <c r="G57" s="690"/>
      <c r="H57" s="690">
        <v>2013</v>
      </c>
      <c r="I57" s="644" t="s">
        <v>578</v>
      </c>
      <c r="J57" s="644" t="s">
        <v>594</v>
      </c>
      <c r="K57" s="633"/>
      <c r="L57" s="694">
        <v>0</v>
      </c>
      <c r="M57" s="695">
        <v>0</v>
      </c>
      <c r="N57" s="695">
        <v>1</v>
      </c>
      <c r="O57" s="695">
        <v>0.93289548605882433</v>
      </c>
      <c r="P57" s="695">
        <v>0.90046644158979638</v>
      </c>
      <c r="Q57" s="695">
        <v>0.90046644158979638</v>
      </c>
      <c r="R57" s="695">
        <v>0.90046644158979638</v>
      </c>
      <c r="S57" s="695">
        <v>0.90046644158979638</v>
      </c>
      <c r="T57" s="695">
        <v>0.90046644158979638</v>
      </c>
      <c r="U57" s="695">
        <v>0.86181925413837235</v>
      </c>
      <c r="V57" s="695">
        <v>0.86181925413837235</v>
      </c>
      <c r="W57" s="695">
        <v>0.71400096049362416</v>
      </c>
      <c r="X57" s="695">
        <v>0.65993461865077307</v>
      </c>
      <c r="Y57" s="695">
        <v>0.65198072391122686</v>
      </c>
      <c r="Z57" s="695">
        <v>0.65198072391122686</v>
      </c>
      <c r="AA57" s="695">
        <v>0.6482321061304781</v>
      </c>
      <c r="AB57" s="695">
        <v>0.6482321061304781</v>
      </c>
      <c r="AC57" s="695">
        <v>0.64725668346634735</v>
      </c>
      <c r="AD57" s="695">
        <v>0.30583198477418327</v>
      </c>
      <c r="AE57" s="695">
        <v>0.30583198477418327</v>
      </c>
      <c r="AF57" s="695">
        <v>0.30583198477418327</v>
      </c>
      <c r="AG57" s="695">
        <v>0.30557347223836678</v>
      </c>
      <c r="AH57" s="695">
        <v>0</v>
      </c>
      <c r="AI57" s="695">
        <v>0</v>
      </c>
      <c r="AJ57" s="695">
        <v>0</v>
      </c>
      <c r="AK57" s="695">
        <v>0</v>
      </c>
      <c r="AL57" s="695">
        <v>0</v>
      </c>
      <c r="AM57" s="695">
        <v>0</v>
      </c>
      <c r="AN57" s="695">
        <v>0</v>
      </c>
      <c r="AO57" s="696">
        <v>0</v>
      </c>
      <c r="AP57" s="633"/>
      <c r="AQ57" s="694">
        <v>0</v>
      </c>
      <c r="AR57" s="695">
        <v>0</v>
      </c>
      <c r="AS57" s="695">
        <v>22093</v>
      </c>
      <c r="AT57" s="695">
        <v>22093</v>
      </c>
      <c r="AU57" s="695">
        <v>20610.459973497607</v>
      </c>
      <c r="AV57" s="695">
        <v>19894.005094043372</v>
      </c>
      <c r="AW57" s="695">
        <v>19894.005094043372</v>
      </c>
      <c r="AX57" s="695">
        <v>19894.005094043372</v>
      </c>
      <c r="AY57" s="695">
        <v>19894.005094043372</v>
      </c>
      <c r="AZ57" s="695">
        <v>19894.005094043372</v>
      </c>
      <c r="BA57" s="695">
        <v>19040.172781679059</v>
      </c>
      <c r="BB57" s="695">
        <v>19040.172781679059</v>
      </c>
      <c r="BC57" s="695">
        <v>15774.423220185639</v>
      </c>
      <c r="BD57" s="695">
        <v>14579.935529851529</v>
      </c>
      <c r="BE57" s="695">
        <v>14404.210133370734</v>
      </c>
      <c r="BF57" s="695">
        <v>14404.210133370734</v>
      </c>
      <c r="BG57" s="695">
        <v>14321.391920740652</v>
      </c>
      <c r="BH57" s="695">
        <v>14321.391920740652</v>
      </c>
      <c r="BI57" s="695">
        <v>14299.841907822012</v>
      </c>
      <c r="BJ57" s="695">
        <v>6756.7460396160313</v>
      </c>
      <c r="BK57" s="695">
        <v>6756.7460396160313</v>
      </c>
      <c r="BL57" s="695">
        <v>6756.7460396160313</v>
      </c>
      <c r="BM57" s="695">
        <v>6751.0347221622369</v>
      </c>
      <c r="BN57" s="695">
        <v>0</v>
      </c>
      <c r="BO57" s="695">
        <v>0</v>
      </c>
      <c r="BP57" s="695">
        <v>0</v>
      </c>
      <c r="BQ57" s="695">
        <v>0</v>
      </c>
      <c r="BR57" s="695">
        <v>0</v>
      </c>
      <c r="BS57" s="695">
        <v>0</v>
      </c>
      <c r="BT57" s="696">
        <v>0</v>
      </c>
    </row>
    <row r="58" spans="2:73">
      <c r="B58" s="690"/>
      <c r="C58" s="690" t="s">
        <v>5</v>
      </c>
      <c r="D58" s="690"/>
      <c r="E58" s="690" t="s">
        <v>687</v>
      </c>
      <c r="F58" s="690" t="s">
        <v>29</v>
      </c>
      <c r="G58" s="690"/>
      <c r="H58" s="690">
        <v>2013</v>
      </c>
      <c r="I58" s="644" t="s">
        <v>578</v>
      </c>
      <c r="J58" s="644" t="s">
        <v>594</v>
      </c>
      <c r="K58" s="633"/>
      <c r="L58" s="694">
        <v>0</v>
      </c>
      <c r="M58" s="695">
        <v>0</v>
      </c>
      <c r="N58" s="695">
        <v>3</v>
      </c>
      <c r="O58" s="695">
        <v>2.6024683099010941</v>
      </c>
      <c r="P58" s="695">
        <v>2.3952968043414682</v>
      </c>
      <c r="Q58" s="695">
        <v>2.3952968043414682</v>
      </c>
      <c r="R58" s="695">
        <v>2.3952968043414682</v>
      </c>
      <c r="S58" s="695">
        <v>2.3952968043414682</v>
      </c>
      <c r="T58" s="695">
        <v>2.3952968043414682</v>
      </c>
      <c r="U58" s="695">
        <v>2.3942591981269361</v>
      </c>
      <c r="V58" s="695">
        <v>2.3942591981269361</v>
      </c>
      <c r="W58" s="695">
        <v>2.2267940713945822</v>
      </c>
      <c r="X58" s="695">
        <v>2.164867892988859</v>
      </c>
      <c r="Y58" s="695">
        <v>1.8306303904557031</v>
      </c>
      <c r="Z58" s="695">
        <v>1.8306303904557031</v>
      </c>
      <c r="AA58" s="695">
        <v>1.8044159207601336</v>
      </c>
      <c r="AB58" s="695">
        <v>1.8044159207601336</v>
      </c>
      <c r="AC58" s="695">
        <v>1.8018648914462818</v>
      </c>
      <c r="AD58" s="695">
        <v>1.464797777191289</v>
      </c>
      <c r="AE58" s="695">
        <v>1.464797777191289</v>
      </c>
      <c r="AF58" s="695">
        <v>1.464797777191289</v>
      </c>
      <c r="AG58" s="695">
        <v>1.464797777191289</v>
      </c>
      <c r="AH58" s="695">
        <v>0</v>
      </c>
      <c r="AI58" s="695">
        <v>0</v>
      </c>
      <c r="AJ58" s="695">
        <v>0</v>
      </c>
      <c r="AK58" s="695">
        <v>0</v>
      </c>
      <c r="AL58" s="695">
        <v>0</v>
      </c>
      <c r="AM58" s="695">
        <v>0</v>
      </c>
      <c r="AN58" s="695">
        <v>0</v>
      </c>
      <c r="AO58" s="696">
        <v>0</v>
      </c>
      <c r="AP58" s="633"/>
      <c r="AQ58" s="694">
        <v>0</v>
      </c>
      <c r="AR58" s="695">
        <v>0</v>
      </c>
      <c r="AS58" s="695">
        <v>49096</v>
      </c>
      <c r="AT58" s="695">
        <v>49096</v>
      </c>
      <c r="AU58" s="695">
        <v>42590.261380968041</v>
      </c>
      <c r="AV58" s="695">
        <v>39199.830635316241</v>
      </c>
      <c r="AW58" s="695">
        <v>39199.830635316241</v>
      </c>
      <c r="AX58" s="695">
        <v>39199.830635316241</v>
      </c>
      <c r="AY58" s="695">
        <v>39199.830635316241</v>
      </c>
      <c r="AZ58" s="695">
        <v>39199.830635316241</v>
      </c>
      <c r="BA58" s="695">
        <v>39182.849863746684</v>
      </c>
      <c r="BB58" s="695">
        <v>39182.849863746684</v>
      </c>
      <c r="BC58" s="695">
        <v>36442.227243062807</v>
      </c>
      <c r="BD58" s="695">
        <v>35428.784691393674</v>
      </c>
      <c r="BE58" s="695">
        <v>29958.876549937733</v>
      </c>
      <c r="BF58" s="695">
        <v>29958.876549937733</v>
      </c>
      <c r="BG58" s="695">
        <v>29529.868015213175</v>
      </c>
      <c r="BH58" s="695">
        <v>29529.868015213175</v>
      </c>
      <c r="BI58" s="695">
        <v>29488.119570148883</v>
      </c>
      <c r="BJ58" s="695">
        <v>23971.903889661178</v>
      </c>
      <c r="BK58" s="695">
        <v>23971.903889661178</v>
      </c>
      <c r="BL58" s="695">
        <v>23971.903889661178</v>
      </c>
      <c r="BM58" s="695">
        <v>23971.903889661178</v>
      </c>
      <c r="BN58" s="695">
        <v>0</v>
      </c>
      <c r="BO58" s="695">
        <v>0</v>
      </c>
      <c r="BP58" s="695">
        <v>0</v>
      </c>
      <c r="BQ58" s="695">
        <v>0</v>
      </c>
      <c r="BR58" s="695">
        <v>0</v>
      </c>
      <c r="BS58" s="695">
        <v>0</v>
      </c>
      <c r="BT58" s="696">
        <v>0</v>
      </c>
    </row>
    <row r="59" spans="2:73">
      <c r="B59" s="690"/>
      <c r="C59" s="690" t="s">
        <v>21</v>
      </c>
      <c r="D59" s="690"/>
      <c r="E59" s="690" t="s">
        <v>687</v>
      </c>
      <c r="F59" s="690" t="s">
        <v>686</v>
      </c>
      <c r="G59" s="690"/>
      <c r="H59" s="690">
        <v>2014</v>
      </c>
      <c r="I59" s="644" t="s">
        <v>579</v>
      </c>
      <c r="J59" s="644" t="s">
        <v>594</v>
      </c>
      <c r="K59" s="633"/>
      <c r="L59" s="694">
        <v>0</v>
      </c>
      <c r="M59" s="695">
        <v>0</v>
      </c>
      <c r="N59" s="695">
        <v>0</v>
      </c>
      <c r="O59" s="695">
        <v>277.1682909162646</v>
      </c>
      <c r="P59" s="695">
        <v>276.23313329525052</v>
      </c>
      <c r="Q59" s="695">
        <v>183.89620350297886</v>
      </c>
      <c r="R59" s="695">
        <v>166.5157575141879</v>
      </c>
      <c r="S59" s="695">
        <v>166.5157575141879</v>
      </c>
      <c r="T59" s="695">
        <v>166.5157575141879</v>
      </c>
      <c r="U59" s="695">
        <v>166.5157575141879</v>
      </c>
      <c r="V59" s="695">
        <v>166.5157575141879</v>
      </c>
      <c r="W59" s="695">
        <v>166.5157575141879</v>
      </c>
      <c r="X59" s="695">
        <v>166.5157575141879</v>
      </c>
      <c r="Y59" s="695">
        <v>166.03570915651983</v>
      </c>
      <c r="Z59" s="695">
        <v>7.7194159537891762</v>
      </c>
      <c r="AA59" s="695">
        <v>0</v>
      </c>
      <c r="AB59" s="695">
        <v>0</v>
      </c>
      <c r="AC59" s="695">
        <v>0</v>
      </c>
      <c r="AD59" s="695">
        <v>0</v>
      </c>
      <c r="AE59" s="695">
        <v>0</v>
      </c>
      <c r="AF59" s="695">
        <v>0</v>
      </c>
      <c r="AG59" s="695">
        <v>0</v>
      </c>
      <c r="AH59" s="695">
        <v>0</v>
      </c>
      <c r="AI59" s="695">
        <v>0</v>
      </c>
      <c r="AJ59" s="695">
        <v>0</v>
      </c>
      <c r="AK59" s="695">
        <v>0</v>
      </c>
      <c r="AL59" s="695">
        <v>0</v>
      </c>
      <c r="AM59" s="695">
        <v>0</v>
      </c>
      <c r="AN59" s="695">
        <v>0</v>
      </c>
      <c r="AO59" s="696">
        <v>0</v>
      </c>
      <c r="AP59" s="633"/>
      <c r="AQ59" s="694">
        <v>0</v>
      </c>
      <c r="AR59" s="695">
        <v>0</v>
      </c>
      <c r="AS59" s="695">
        <v>0</v>
      </c>
      <c r="AT59" s="695">
        <v>992786.09652314859</v>
      </c>
      <c r="AU59" s="695">
        <v>989532.81157215475</v>
      </c>
      <c r="AV59" s="695">
        <v>664982.44568356324</v>
      </c>
      <c r="AW59" s="695">
        <v>605510.42184878653</v>
      </c>
      <c r="AX59" s="695">
        <v>605510.42184878653</v>
      </c>
      <c r="AY59" s="695">
        <v>605510.42184878653</v>
      </c>
      <c r="AZ59" s="695">
        <v>605510.42184878653</v>
      </c>
      <c r="BA59" s="695">
        <v>605510.42184878653</v>
      </c>
      <c r="BB59" s="695">
        <v>605510.42184878653</v>
      </c>
      <c r="BC59" s="695">
        <v>605510.42184878653</v>
      </c>
      <c r="BD59" s="695">
        <v>601083.88042755506</v>
      </c>
      <c r="BE59" s="695">
        <v>24209.167320633864</v>
      </c>
      <c r="BF59" s="695">
        <v>0</v>
      </c>
      <c r="BG59" s="695">
        <v>0</v>
      </c>
      <c r="BH59" s="695">
        <v>0</v>
      </c>
      <c r="BI59" s="695">
        <v>0</v>
      </c>
      <c r="BJ59" s="695">
        <v>0</v>
      </c>
      <c r="BK59" s="695">
        <v>0</v>
      </c>
      <c r="BL59" s="695">
        <v>0</v>
      </c>
      <c r="BM59" s="695">
        <v>0</v>
      </c>
      <c r="BN59" s="695">
        <v>0</v>
      </c>
      <c r="BO59" s="695">
        <v>0</v>
      </c>
      <c r="BP59" s="695">
        <v>0</v>
      </c>
      <c r="BQ59" s="695">
        <v>0</v>
      </c>
      <c r="BR59" s="695">
        <v>0</v>
      </c>
      <c r="BS59" s="695">
        <v>0</v>
      </c>
      <c r="BT59" s="696">
        <v>0</v>
      </c>
    </row>
    <row r="60" spans="2:73" ht="15.75">
      <c r="B60" s="690"/>
      <c r="C60" s="690" t="s">
        <v>22</v>
      </c>
      <c r="D60" s="690"/>
      <c r="E60" s="690" t="s">
        <v>687</v>
      </c>
      <c r="F60" s="690" t="s">
        <v>686</v>
      </c>
      <c r="G60" s="690"/>
      <c r="H60" s="690">
        <v>2014</v>
      </c>
      <c r="I60" s="644" t="s">
        <v>579</v>
      </c>
      <c r="J60" s="644" t="s">
        <v>594</v>
      </c>
      <c r="K60" s="633"/>
      <c r="L60" s="694">
        <v>0</v>
      </c>
      <c r="M60" s="695">
        <v>0</v>
      </c>
      <c r="N60" s="695">
        <v>0</v>
      </c>
      <c r="O60" s="695">
        <v>83.101029357371075</v>
      </c>
      <c r="P60" s="695">
        <v>82.83799597055625</v>
      </c>
      <c r="Q60" s="695">
        <v>82.83799597055625</v>
      </c>
      <c r="R60" s="695">
        <v>79.820037542958829</v>
      </c>
      <c r="S60" s="695">
        <v>79.820037542958829</v>
      </c>
      <c r="T60" s="695">
        <v>79.820037542958829</v>
      </c>
      <c r="U60" s="695">
        <v>78.208603564165131</v>
      </c>
      <c r="V60" s="695">
        <v>78.208603564165131</v>
      </c>
      <c r="W60" s="695">
        <v>77.414195063849178</v>
      </c>
      <c r="X60" s="695">
        <v>70.587378159759226</v>
      </c>
      <c r="Y60" s="695">
        <v>63.521687307388468</v>
      </c>
      <c r="Z60" s="695">
        <v>63.010068085792746</v>
      </c>
      <c r="AA60" s="695">
        <v>11.422788042189056</v>
      </c>
      <c r="AB60" s="695">
        <v>8.1870966732732331</v>
      </c>
      <c r="AC60" s="695">
        <v>8.1870966732732331</v>
      </c>
      <c r="AD60" s="695">
        <v>6.2247014067430939</v>
      </c>
      <c r="AE60" s="695">
        <v>3.19518800867271</v>
      </c>
      <c r="AF60" s="695">
        <v>3.19518800867271</v>
      </c>
      <c r="AG60" s="695">
        <v>3.19518800867271</v>
      </c>
      <c r="AH60" s="695">
        <v>3.19518800867271</v>
      </c>
      <c r="AI60" s="695">
        <v>0</v>
      </c>
      <c r="AJ60" s="695">
        <v>0</v>
      </c>
      <c r="AK60" s="695">
        <v>0</v>
      </c>
      <c r="AL60" s="695">
        <v>0</v>
      </c>
      <c r="AM60" s="695">
        <v>0</v>
      </c>
      <c r="AN60" s="695">
        <v>0</v>
      </c>
      <c r="AO60" s="696">
        <v>0</v>
      </c>
      <c r="AP60" s="633"/>
      <c r="AQ60" s="694">
        <v>0</v>
      </c>
      <c r="AR60" s="695">
        <v>0</v>
      </c>
      <c r="AS60" s="695">
        <v>0</v>
      </c>
      <c r="AT60" s="695">
        <v>552594.79435522202</v>
      </c>
      <c r="AU60" s="695">
        <v>551678.52056968457</v>
      </c>
      <c r="AV60" s="695">
        <v>551678.52056968457</v>
      </c>
      <c r="AW60" s="695">
        <v>541165.49700816954</v>
      </c>
      <c r="AX60" s="695">
        <v>541165.49700816954</v>
      </c>
      <c r="AY60" s="695">
        <v>541165.49700816954</v>
      </c>
      <c r="AZ60" s="695">
        <v>529470.61972881772</v>
      </c>
      <c r="BA60" s="695">
        <v>529470.61972881772</v>
      </c>
      <c r="BB60" s="695">
        <v>526821.64176762477</v>
      </c>
      <c r="BC60" s="695">
        <v>476661.55142668163</v>
      </c>
      <c r="BD60" s="695">
        <v>426550.34979712788</v>
      </c>
      <c r="BE60" s="695">
        <v>424392.01976097783</v>
      </c>
      <c r="BF60" s="695">
        <v>82576.508243462886</v>
      </c>
      <c r="BG60" s="695">
        <v>71305.014478625468</v>
      </c>
      <c r="BH60" s="695">
        <v>71305.014478625468</v>
      </c>
      <c r="BI60" s="695">
        <v>56107.693072473507</v>
      </c>
      <c r="BJ60" s="695">
        <v>11130.380520763027</v>
      </c>
      <c r="BK60" s="695">
        <v>11130.380520763027</v>
      </c>
      <c r="BL60" s="695">
        <v>11130.380520763027</v>
      </c>
      <c r="BM60" s="695">
        <v>11130.380520763027</v>
      </c>
      <c r="BN60" s="695">
        <v>0</v>
      </c>
      <c r="BO60" s="695">
        <v>0</v>
      </c>
      <c r="BP60" s="695">
        <v>0</v>
      </c>
      <c r="BQ60" s="695">
        <v>0</v>
      </c>
      <c r="BR60" s="695">
        <v>0</v>
      </c>
      <c r="BS60" s="695">
        <v>0</v>
      </c>
      <c r="BT60" s="696">
        <v>0</v>
      </c>
      <c r="BU60" s="165"/>
    </row>
    <row r="61" spans="2:73">
      <c r="B61" s="690"/>
      <c r="C61" s="690" t="s">
        <v>20</v>
      </c>
      <c r="D61" s="690"/>
      <c r="E61" s="690" t="s">
        <v>687</v>
      </c>
      <c r="F61" s="690" t="s">
        <v>686</v>
      </c>
      <c r="G61" s="690"/>
      <c r="H61" s="690">
        <v>2014</v>
      </c>
      <c r="I61" s="644" t="s">
        <v>579</v>
      </c>
      <c r="J61" s="644" t="s">
        <v>594</v>
      </c>
      <c r="K61" s="633"/>
      <c r="L61" s="694">
        <v>0</v>
      </c>
      <c r="M61" s="695">
        <v>0</v>
      </c>
      <c r="N61" s="695">
        <v>0</v>
      </c>
      <c r="O61" s="695">
        <v>40.100791547459252</v>
      </c>
      <c r="P61" s="695">
        <v>40.100791547459252</v>
      </c>
      <c r="Q61" s="695">
        <v>40.100791547459252</v>
      </c>
      <c r="R61" s="695">
        <v>40.100791547459252</v>
      </c>
      <c r="S61" s="695">
        <v>0</v>
      </c>
      <c r="T61" s="695">
        <v>0</v>
      </c>
      <c r="U61" s="695">
        <v>0</v>
      </c>
      <c r="V61" s="695">
        <v>0</v>
      </c>
      <c r="W61" s="695">
        <v>0</v>
      </c>
      <c r="X61" s="695">
        <v>0</v>
      </c>
      <c r="Y61" s="695">
        <v>0</v>
      </c>
      <c r="Z61" s="695">
        <v>0</v>
      </c>
      <c r="AA61" s="695">
        <v>0</v>
      </c>
      <c r="AB61" s="695">
        <v>0</v>
      </c>
      <c r="AC61" s="695">
        <v>0</v>
      </c>
      <c r="AD61" s="695">
        <v>0</v>
      </c>
      <c r="AE61" s="695">
        <v>0</v>
      </c>
      <c r="AF61" s="695">
        <v>0</v>
      </c>
      <c r="AG61" s="695">
        <v>0</v>
      </c>
      <c r="AH61" s="695">
        <v>0</v>
      </c>
      <c r="AI61" s="695">
        <v>0</v>
      </c>
      <c r="AJ61" s="695">
        <v>0</v>
      </c>
      <c r="AK61" s="695">
        <v>0</v>
      </c>
      <c r="AL61" s="695">
        <v>0</v>
      </c>
      <c r="AM61" s="695">
        <v>0</v>
      </c>
      <c r="AN61" s="695">
        <v>0</v>
      </c>
      <c r="AO61" s="696">
        <v>0</v>
      </c>
      <c r="AP61" s="633"/>
      <c r="AQ61" s="694">
        <v>0</v>
      </c>
      <c r="AR61" s="695">
        <v>0</v>
      </c>
      <c r="AS61" s="695">
        <v>0</v>
      </c>
      <c r="AT61" s="695">
        <v>195820.71016667038</v>
      </c>
      <c r="AU61" s="695">
        <v>195820.71016667038</v>
      </c>
      <c r="AV61" s="695">
        <v>195820.71016667038</v>
      </c>
      <c r="AW61" s="695">
        <v>195820.71016667038</v>
      </c>
      <c r="AX61" s="695">
        <v>0</v>
      </c>
      <c r="AY61" s="695">
        <v>0</v>
      </c>
      <c r="AZ61" s="695">
        <v>0</v>
      </c>
      <c r="BA61" s="695">
        <v>0</v>
      </c>
      <c r="BB61" s="695">
        <v>0</v>
      </c>
      <c r="BC61" s="695">
        <v>0</v>
      </c>
      <c r="BD61" s="695">
        <v>0</v>
      </c>
      <c r="BE61" s="695">
        <v>0</v>
      </c>
      <c r="BF61" s="695">
        <v>0</v>
      </c>
      <c r="BG61" s="695">
        <v>0</v>
      </c>
      <c r="BH61" s="695">
        <v>0</v>
      </c>
      <c r="BI61" s="695">
        <v>0</v>
      </c>
      <c r="BJ61" s="695">
        <v>0</v>
      </c>
      <c r="BK61" s="695">
        <v>0</v>
      </c>
      <c r="BL61" s="695">
        <v>0</v>
      </c>
      <c r="BM61" s="695">
        <v>0</v>
      </c>
      <c r="BN61" s="695">
        <v>0</v>
      </c>
      <c r="BO61" s="695">
        <v>0</v>
      </c>
      <c r="BP61" s="695">
        <v>0</v>
      </c>
      <c r="BQ61" s="695">
        <v>0</v>
      </c>
      <c r="BR61" s="695">
        <v>0</v>
      </c>
      <c r="BS61" s="695">
        <v>0</v>
      </c>
      <c r="BT61" s="696">
        <v>0</v>
      </c>
    </row>
    <row r="62" spans="2:73">
      <c r="B62" s="690"/>
      <c r="C62" s="690" t="s">
        <v>1</v>
      </c>
      <c r="D62" s="690"/>
      <c r="E62" s="690" t="s">
        <v>687</v>
      </c>
      <c r="F62" s="690" t="s">
        <v>29</v>
      </c>
      <c r="G62" s="690"/>
      <c r="H62" s="690">
        <v>2014</v>
      </c>
      <c r="I62" s="644" t="s">
        <v>579</v>
      </c>
      <c r="J62" s="644" t="s">
        <v>594</v>
      </c>
      <c r="K62" s="633"/>
      <c r="L62" s="694">
        <v>0</v>
      </c>
      <c r="M62" s="695">
        <v>0</v>
      </c>
      <c r="N62" s="695">
        <v>0</v>
      </c>
      <c r="O62" s="695">
        <v>4.1298378761077768</v>
      </c>
      <c r="P62" s="695">
        <v>4.1298378761077768</v>
      </c>
      <c r="Q62" s="695">
        <v>4.1298378761077768</v>
      </c>
      <c r="R62" s="695">
        <v>4.0130835786335872</v>
      </c>
      <c r="S62" s="695">
        <v>2.7596109521709673</v>
      </c>
      <c r="T62" s="695">
        <v>0</v>
      </c>
      <c r="U62" s="695">
        <v>0</v>
      </c>
      <c r="V62" s="695">
        <v>0</v>
      </c>
      <c r="W62" s="695">
        <v>0</v>
      </c>
      <c r="X62" s="695">
        <v>0</v>
      </c>
      <c r="Y62" s="695">
        <v>0</v>
      </c>
      <c r="Z62" s="695">
        <v>0</v>
      </c>
      <c r="AA62" s="695">
        <v>0</v>
      </c>
      <c r="AB62" s="695">
        <v>0</v>
      </c>
      <c r="AC62" s="695">
        <v>0</v>
      </c>
      <c r="AD62" s="695">
        <v>0</v>
      </c>
      <c r="AE62" s="695">
        <v>0</v>
      </c>
      <c r="AF62" s="695">
        <v>0</v>
      </c>
      <c r="AG62" s="695">
        <v>0</v>
      </c>
      <c r="AH62" s="695">
        <v>0</v>
      </c>
      <c r="AI62" s="695">
        <v>0</v>
      </c>
      <c r="AJ62" s="695">
        <v>0</v>
      </c>
      <c r="AK62" s="695">
        <v>0</v>
      </c>
      <c r="AL62" s="695">
        <v>0</v>
      </c>
      <c r="AM62" s="695">
        <v>0</v>
      </c>
      <c r="AN62" s="695">
        <v>0</v>
      </c>
      <c r="AO62" s="696">
        <v>0</v>
      </c>
      <c r="AP62" s="633"/>
      <c r="AQ62" s="694">
        <v>0</v>
      </c>
      <c r="AR62" s="695">
        <v>0</v>
      </c>
      <c r="AS62" s="695">
        <v>0</v>
      </c>
      <c r="AT62" s="695">
        <v>27957.705229729738</v>
      </c>
      <c r="AU62" s="695">
        <v>27957.705229729738</v>
      </c>
      <c r="AV62" s="695">
        <v>27957.705229729738</v>
      </c>
      <c r="AW62" s="695">
        <v>27853.297183122068</v>
      </c>
      <c r="AX62" s="695">
        <v>18777.442687282917</v>
      </c>
      <c r="AY62" s="695">
        <v>0</v>
      </c>
      <c r="AZ62" s="695">
        <v>0</v>
      </c>
      <c r="BA62" s="695">
        <v>0</v>
      </c>
      <c r="BB62" s="695">
        <v>0</v>
      </c>
      <c r="BC62" s="695">
        <v>0</v>
      </c>
      <c r="BD62" s="695">
        <v>0</v>
      </c>
      <c r="BE62" s="695">
        <v>0</v>
      </c>
      <c r="BF62" s="695">
        <v>0</v>
      </c>
      <c r="BG62" s="695">
        <v>0</v>
      </c>
      <c r="BH62" s="695">
        <v>0</v>
      </c>
      <c r="BI62" s="695">
        <v>0</v>
      </c>
      <c r="BJ62" s="695">
        <v>0</v>
      </c>
      <c r="BK62" s="695">
        <v>0</v>
      </c>
      <c r="BL62" s="695">
        <v>0</v>
      </c>
      <c r="BM62" s="695">
        <v>0</v>
      </c>
      <c r="BN62" s="695">
        <v>0</v>
      </c>
      <c r="BO62" s="695">
        <v>0</v>
      </c>
      <c r="BP62" s="695">
        <v>0</v>
      </c>
      <c r="BQ62" s="695">
        <v>0</v>
      </c>
      <c r="BR62" s="695">
        <v>0</v>
      </c>
      <c r="BS62" s="695">
        <v>0</v>
      </c>
      <c r="BT62" s="696">
        <v>0</v>
      </c>
    </row>
    <row r="63" spans="2:73">
      <c r="B63" s="690"/>
      <c r="C63" s="690" t="s">
        <v>2</v>
      </c>
      <c r="D63" s="690"/>
      <c r="E63" s="690" t="s">
        <v>687</v>
      </c>
      <c r="F63" s="690" t="s">
        <v>29</v>
      </c>
      <c r="G63" s="690"/>
      <c r="H63" s="690">
        <v>2014</v>
      </c>
      <c r="I63" s="644" t="s">
        <v>579</v>
      </c>
      <c r="J63" s="644" t="s">
        <v>594</v>
      </c>
      <c r="K63" s="633"/>
      <c r="L63" s="694">
        <v>0</v>
      </c>
      <c r="M63" s="695">
        <v>0</v>
      </c>
      <c r="N63" s="695">
        <v>0</v>
      </c>
      <c r="O63" s="695">
        <v>3.7294937827141337</v>
      </c>
      <c r="P63" s="695">
        <v>3.7294937827141337</v>
      </c>
      <c r="Q63" s="695">
        <v>3.7294937827141337</v>
      </c>
      <c r="R63" s="695">
        <v>3.7294937827141337</v>
      </c>
      <c r="S63" s="695">
        <v>0</v>
      </c>
      <c r="T63" s="695">
        <v>0</v>
      </c>
      <c r="U63" s="695">
        <v>0</v>
      </c>
      <c r="V63" s="695">
        <v>0</v>
      </c>
      <c r="W63" s="695">
        <v>0</v>
      </c>
      <c r="X63" s="695">
        <v>0</v>
      </c>
      <c r="Y63" s="695">
        <v>0</v>
      </c>
      <c r="Z63" s="695">
        <v>0</v>
      </c>
      <c r="AA63" s="695">
        <v>0</v>
      </c>
      <c r="AB63" s="695">
        <v>0</v>
      </c>
      <c r="AC63" s="695">
        <v>0</v>
      </c>
      <c r="AD63" s="695">
        <v>0</v>
      </c>
      <c r="AE63" s="695">
        <v>0</v>
      </c>
      <c r="AF63" s="695">
        <v>0</v>
      </c>
      <c r="AG63" s="695">
        <v>0</v>
      </c>
      <c r="AH63" s="695">
        <v>0</v>
      </c>
      <c r="AI63" s="695">
        <v>0</v>
      </c>
      <c r="AJ63" s="695">
        <v>0</v>
      </c>
      <c r="AK63" s="695">
        <v>0</v>
      </c>
      <c r="AL63" s="695">
        <v>0</v>
      </c>
      <c r="AM63" s="695">
        <v>0</v>
      </c>
      <c r="AN63" s="695">
        <v>0</v>
      </c>
      <c r="AO63" s="696">
        <v>0</v>
      </c>
      <c r="AP63" s="633"/>
      <c r="AQ63" s="694">
        <v>0</v>
      </c>
      <c r="AR63" s="695">
        <v>0</v>
      </c>
      <c r="AS63" s="695">
        <v>0</v>
      </c>
      <c r="AT63" s="695">
        <v>6649.9178032362843</v>
      </c>
      <c r="AU63" s="695">
        <v>6649.9178032362843</v>
      </c>
      <c r="AV63" s="695">
        <v>6649.9178032362843</v>
      </c>
      <c r="AW63" s="695">
        <v>6649.9178032362843</v>
      </c>
      <c r="AX63" s="695">
        <v>0</v>
      </c>
      <c r="AY63" s="695">
        <v>0</v>
      </c>
      <c r="AZ63" s="695">
        <v>0</v>
      </c>
      <c r="BA63" s="695">
        <v>0</v>
      </c>
      <c r="BB63" s="695">
        <v>0</v>
      </c>
      <c r="BC63" s="695">
        <v>0</v>
      </c>
      <c r="BD63" s="695">
        <v>0</v>
      </c>
      <c r="BE63" s="695">
        <v>0</v>
      </c>
      <c r="BF63" s="695">
        <v>0</v>
      </c>
      <c r="BG63" s="695">
        <v>0</v>
      </c>
      <c r="BH63" s="695">
        <v>0</v>
      </c>
      <c r="BI63" s="695">
        <v>0</v>
      </c>
      <c r="BJ63" s="695">
        <v>0</v>
      </c>
      <c r="BK63" s="695">
        <v>0</v>
      </c>
      <c r="BL63" s="695">
        <v>0</v>
      </c>
      <c r="BM63" s="695">
        <v>0</v>
      </c>
      <c r="BN63" s="695">
        <v>0</v>
      </c>
      <c r="BO63" s="695">
        <v>0</v>
      </c>
      <c r="BP63" s="695">
        <v>0</v>
      </c>
      <c r="BQ63" s="695">
        <v>0</v>
      </c>
      <c r="BR63" s="695">
        <v>0</v>
      </c>
      <c r="BS63" s="695">
        <v>0</v>
      </c>
      <c r="BT63" s="696">
        <v>0</v>
      </c>
    </row>
    <row r="64" spans="2:73">
      <c r="B64" s="690"/>
      <c r="C64" s="690" t="s">
        <v>3</v>
      </c>
      <c r="D64" s="690"/>
      <c r="E64" s="690" t="s">
        <v>687</v>
      </c>
      <c r="F64" s="690" t="s">
        <v>29</v>
      </c>
      <c r="G64" s="690"/>
      <c r="H64" s="690">
        <v>2014</v>
      </c>
      <c r="I64" s="644" t="s">
        <v>579</v>
      </c>
      <c r="J64" s="644" t="s">
        <v>594</v>
      </c>
      <c r="K64" s="633"/>
      <c r="L64" s="694">
        <v>0</v>
      </c>
      <c r="M64" s="695">
        <v>0</v>
      </c>
      <c r="N64" s="695">
        <v>0</v>
      </c>
      <c r="O64" s="695">
        <v>44.894053371686638</v>
      </c>
      <c r="P64" s="695">
        <v>44.894053371686638</v>
      </c>
      <c r="Q64" s="695">
        <v>44.894053371686638</v>
      </c>
      <c r="R64" s="695">
        <v>44.894053371686638</v>
      </c>
      <c r="S64" s="695">
        <v>44.894053371686638</v>
      </c>
      <c r="T64" s="695">
        <v>44.894053371686638</v>
      </c>
      <c r="U64" s="695">
        <v>44.894053371686638</v>
      </c>
      <c r="V64" s="695">
        <v>44.894053371686638</v>
      </c>
      <c r="W64" s="695">
        <v>44.894053371686638</v>
      </c>
      <c r="X64" s="695">
        <v>44.894053371686638</v>
      </c>
      <c r="Y64" s="695">
        <v>44.894053371686638</v>
      </c>
      <c r="Z64" s="695">
        <v>44.894053371686638</v>
      </c>
      <c r="AA64" s="695">
        <v>44.894053371686638</v>
      </c>
      <c r="AB64" s="695">
        <v>44.894053371686638</v>
      </c>
      <c r="AC64" s="695">
        <v>44.894053371686638</v>
      </c>
      <c r="AD64" s="695">
        <v>44.894053371686638</v>
      </c>
      <c r="AE64" s="695">
        <v>44.894053371686638</v>
      </c>
      <c r="AF64" s="695">
        <v>44.894053371686638</v>
      </c>
      <c r="AG64" s="695">
        <v>41.045677733959515</v>
      </c>
      <c r="AH64" s="695">
        <v>0</v>
      </c>
      <c r="AI64" s="695">
        <v>0</v>
      </c>
      <c r="AJ64" s="695">
        <v>0</v>
      </c>
      <c r="AK64" s="695">
        <v>0</v>
      </c>
      <c r="AL64" s="695">
        <v>0</v>
      </c>
      <c r="AM64" s="695">
        <v>0</v>
      </c>
      <c r="AN64" s="695">
        <v>0</v>
      </c>
      <c r="AO64" s="696">
        <v>0</v>
      </c>
      <c r="AP64" s="633"/>
      <c r="AQ64" s="694">
        <v>0</v>
      </c>
      <c r="AR64" s="695">
        <v>0</v>
      </c>
      <c r="AS64" s="695">
        <v>0</v>
      </c>
      <c r="AT64" s="695">
        <v>83687.272644498473</v>
      </c>
      <c r="AU64" s="695">
        <v>83687.272644498473</v>
      </c>
      <c r="AV64" s="695">
        <v>83687.272644498473</v>
      </c>
      <c r="AW64" s="695">
        <v>83687.272644498473</v>
      </c>
      <c r="AX64" s="695">
        <v>83687.272644498473</v>
      </c>
      <c r="AY64" s="695">
        <v>83687.272644498473</v>
      </c>
      <c r="AZ64" s="695">
        <v>83687.272644498473</v>
      </c>
      <c r="BA64" s="695">
        <v>83687.272644498473</v>
      </c>
      <c r="BB64" s="695">
        <v>83687.272644498473</v>
      </c>
      <c r="BC64" s="695">
        <v>83687.272644498473</v>
      </c>
      <c r="BD64" s="695">
        <v>83687.272644498473</v>
      </c>
      <c r="BE64" s="695">
        <v>83687.272644498473</v>
      </c>
      <c r="BF64" s="695">
        <v>83687.272644498473</v>
      </c>
      <c r="BG64" s="695">
        <v>83687.272644498473</v>
      </c>
      <c r="BH64" s="695">
        <v>83687.272644498473</v>
      </c>
      <c r="BI64" s="695">
        <v>83687.272644498473</v>
      </c>
      <c r="BJ64" s="695">
        <v>83687.272644498473</v>
      </c>
      <c r="BK64" s="695">
        <v>83687.272644498473</v>
      </c>
      <c r="BL64" s="695">
        <v>80245.845719408666</v>
      </c>
      <c r="BM64" s="695">
        <v>0</v>
      </c>
      <c r="BN64" s="695">
        <v>0</v>
      </c>
      <c r="BO64" s="695">
        <v>0</v>
      </c>
      <c r="BP64" s="695">
        <v>0</v>
      </c>
      <c r="BQ64" s="695">
        <v>0</v>
      </c>
      <c r="BR64" s="695">
        <v>0</v>
      </c>
      <c r="BS64" s="695">
        <v>0</v>
      </c>
      <c r="BT64" s="696">
        <v>0</v>
      </c>
    </row>
    <row r="65" spans="2:73">
      <c r="B65" s="690"/>
      <c r="C65" s="690" t="s">
        <v>4</v>
      </c>
      <c r="D65" s="690"/>
      <c r="E65" s="690" t="s">
        <v>687</v>
      </c>
      <c r="F65" s="690" t="s">
        <v>29</v>
      </c>
      <c r="G65" s="690"/>
      <c r="H65" s="690">
        <v>2014</v>
      </c>
      <c r="I65" s="644" t="s">
        <v>579</v>
      </c>
      <c r="J65" s="644" t="s">
        <v>594</v>
      </c>
      <c r="K65" s="633"/>
      <c r="L65" s="694">
        <v>0</v>
      </c>
      <c r="M65" s="695">
        <v>0</v>
      </c>
      <c r="N65" s="695">
        <v>4.7629501015884644E-3</v>
      </c>
      <c r="O65" s="695">
        <v>6.6167255093147945</v>
      </c>
      <c r="P65" s="695">
        <v>6.2377499350464882</v>
      </c>
      <c r="Q65" s="695">
        <v>6.0546055379140444</v>
      </c>
      <c r="R65" s="695">
        <v>6.0546055379140444</v>
      </c>
      <c r="S65" s="695">
        <v>6.0546055379140444</v>
      </c>
      <c r="T65" s="695">
        <v>6.0546055379140444</v>
      </c>
      <c r="U65" s="695">
        <v>6.0546055379140444</v>
      </c>
      <c r="V65" s="695">
        <v>5.8291274139485685</v>
      </c>
      <c r="W65" s="695">
        <v>5.8291274139485685</v>
      </c>
      <c r="X65" s="695">
        <v>4.9937842348215291</v>
      </c>
      <c r="Y65" s="695">
        <v>3.6698391031837043</v>
      </c>
      <c r="Z65" s="695">
        <v>3.669752277303111</v>
      </c>
      <c r="AA65" s="695">
        <v>3.669752277303111</v>
      </c>
      <c r="AB65" s="695">
        <v>3.6627885265473004</v>
      </c>
      <c r="AC65" s="695">
        <v>3.6627885265473004</v>
      </c>
      <c r="AD65" s="695">
        <v>3.6554094338673599</v>
      </c>
      <c r="AE65" s="695">
        <v>1.7271990400081405</v>
      </c>
      <c r="AF65" s="695">
        <v>1.7271990400081405</v>
      </c>
      <c r="AG65" s="695">
        <v>1.7271990400081405</v>
      </c>
      <c r="AH65" s="695">
        <v>1.7257390795529841</v>
      </c>
      <c r="AI65" s="695">
        <v>0</v>
      </c>
      <c r="AJ65" s="695">
        <v>0</v>
      </c>
      <c r="AK65" s="695">
        <v>0</v>
      </c>
      <c r="AL65" s="695">
        <v>0</v>
      </c>
      <c r="AM65" s="695">
        <v>0</v>
      </c>
      <c r="AN65" s="695">
        <v>0</v>
      </c>
      <c r="AO65" s="696">
        <v>0</v>
      </c>
      <c r="AP65" s="633"/>
      <c r="AQ65" s="694">
        <v>0</v>
      </c>
      <c r="AR65" s="695">
        <v>0</v>
      </c>
      <c r="AS65" s="695">
        <v>0</v>
      </c>
      <c r="AT65" s="695">
        <v>89961.535225374697</v>
      </c>
      <c r="AU65" s="695">
        <v>83924.710130673979</v>
      </c>
      <c r="AV65" s="695">
        <v>81007.343504348275</v>
      </c>
      <c r="AW65" s="695">
        <v>81007.343504348275</v>
      </c>
      <c r="AX65" s="695">
        <v>81007.343504348275</v>
      </c>
      <c r="AY65" s="695">
        <v>81007.343504348275</v>
      </c>
      <c r="AZ65" s="695">
        <v>81007.343504348275</v>
      </c>
      <c r="BA65" s="695">
        <v>77530.583189075332</v>
      </c>
      <c r="BB65" s="695">
        <v>77530.583189075332</v>
      </c>
      <c r="BC65" s="695">
        <v>64232.622558398536</v>
      </c>
      <c r="BD65" s="695">
        <v>59368.731442195742</v>
      </c>
      <c r="BE65" s="695">
        <v>58653.186860405127</v>
      </c>
      <c r="BF65" s="695">
        <v>58653.186860405127</v>
      </c>
      <c r="BG65" s="695">
        <v>58315.955449875837</v>
      </c>
      <c r="BH65" s="695">
        <v>58315.955449875837</v>
      </c>
      <c r="BI65" s="695">
        <v>58228.204929517007</v>
      </c>
      <c r="BJ65" s="695">
        <v>27513.114871308946</v>
      </c>
      <c r="BK65" s="695">
        <v>27513.114871308946</v>
      </c>
      <c r="BL65" s="695">
        <v>27513.114871308946</v>
      </c>
      <c r="BM65" s="695">
        <v>27489.85868671189</v>
      </c>
      <c r="BN65" s="695">
        <v>0</v>
      </c>
      <c r="BO65" s="695">
        <v>0</v>
      </c>
      <c r="BP65" s="695">
        <v>0</v>
      </c>
      <c r="BQ65" s="695">
        <v>0</v>
      </c>
      <c r="BR65" s="695">
        <v>0</v>
      </c>
      <c r="BS65" s="695">
        <v>0</v>
      </c>
      <c r="BT65" s="696">
        <v>0</v>
      </c>
    </row>
    <row r="66" spans="2:73">
      <c r="B66" s="690"/>
      <c r="C66" s="690" t="s">
        <v>5</v>
      </c>
      <c r="D66" s="690"/>
      <c r="E66" s="690" t="s">
        <v>687</v>
      </c>
      <c r="F66" s="690" t="s">
        <v>29</v>
      </c>
      <c r="G66" s="690"/>
      <c r="H66" s="690">
        <v>2014</v>
      </c>
      <c r="I66" s="644" t="s">
        <v>579</v>
      </c>
      <c r="J66" s="644" t="s">
        <v>594</v>
      </c>
      <c r="K66" s="633"/>
      <c r="L66" s="694">
        <v>0</v>
      </c>
      <c r="M66" s="695">
        <v>0</v>
      </c>
      <c r="N66" s="695">
        <v>0</v>
      </c>
      <c r="O66" s="695">
        <v>22.986101298954747</v>
      </c>
      <c r="P66" s="695">
        <v>20.064371737185652</v>
      </c>
      <c r="Q66" s="695">
        <v>18.541728065685724</v>
      </c>
      <c r="R66" s="695">
        <v>18.541728065685724</v>
      </c>
      <c r="S66" s="695">
        <v>18.541728065685724</v>
      </c>
      <c r="T66" s="695">
        <v>18.541728065685724</v>
      </c>
      <c r="U66" s="695">
        <v>18.541728065685724</v>
      </c>
      <c r="V66" s="695">
        <v>18.527860696073152</v>
      </c>
      <c r="W66" s="695">
        <v>18.527860696073152</v>
      </c>
      <c r="X66" s="695">
        <v>17.297046088016131</v>
      </c>
      <c r="Y66" s="695">
        <v>15.741374177932412</v>
      </c>
      <c r="Z66" s="695">
        <v>13.334395337030289</v>
      </c>
      <c r="AA66" s="695">
        <v>13.334395337030289</v>
      </c>
      <c r="AB66" s="695">
        <v>13.270230506662998</v>
      </c>
      <c r="AC66" s="695">
        <v>13.270230506662998</v>
      </c>
      <c r="AD66" s="695">
        <v>13.243125141401032</v>
      </c>
      <c r="AE66" s="695">
        <v>10.765790688457193</v>
      </c>
      <c r="AF66" s="695">
        <v>10.765790688457193</v>
      </c>
      <c r="AG66" s="695">
        <v>10.765790688457193</v>
      </c>
      <c r="AH66" s="695">
        <v>10.765790688457193</v>
      </c>
      <c r="AI66" s="695">
        <v>0</v>
      </c>
      <c r="AJ66" s="695">
        <v>0</v>
      </c>
      <c r="AK66" s="695">
        <v>0</v>
      </c>
      <c r="AL66" s="695">
        <v>0</v>
      </c>
      <c r="AM66" s="695">
        <v>0</v>
      </c>
      <c r="AN66" s="695">
        <v>0</v>
      </c>
      <c r="AO66" s="696">
        <v>0</v>
      </c>
      <c r="AP66" s="633"/>
      <c r="AQ66" s="694">
        <v>0</v>
      </c>
      <c r="AR66" s="695">
        <v>0</v>
      </c>
      <c r="AS66" s="695">
        <v>0</v>
      </c>
      <c r="AT66" s="695">
        <v>351226.18611423316</v>
      </c>
      <c r="AU66" s="695">
        <v>304685.00632323849</v>
      </c>
      <c r="AV66" s="695">
        <v>280430.3204001548</v>
      </c>
      <c r="AW66" s="695">
        <v>280430.3204001548</v>
      </c>
      <c r="AX66" s="695">
        <v>280430.3204001548</v>
      </c>
      <c r="AY66" s="695">
        <v>280430.3204001548</v>
      </c>
      <c r="AZ66" s="695">
        <v>280430.3204001548</v>
      </c>
      <c r="BA66" s="695">
        <v>280308.84224234865</v>
      </c>
      <c r="BB66" s="695">
        <v>280308.84224234865</v>
      </c>
      <c r="BC66" s="695">
        <v>260702.79631923485</v>
      </c>
      <c r="BD66" s="695">
        <v>253452.76449854425</v>
      </c>
      <c r="BE66" s="695">
        <v>214321.77674152204</v>
      </c>
      <c r="BF66" s="695">
        <v>214321.77674152204</v>
      </c>
      <c r="BG66" s="695">
        <v>211252.70733746135</v>
      </c>
      <c r="BH66" s="695">
        <v>211252.70733746135</v>
      </c>
      <c r="BI66" s="695">
        <v>210954.04457193811</v>
      </c>
      <c r="BJ66" s="695">
        <v>171491.77890383426</v>
      </c>
      <c r="BK66" s="695">
        <v>171491.77890383426</v>
      </c>
      <c r="BL66" s="695">
        <v>171491.77890383426</v>
      </c>
      <c r="BM66" s="695">
        <v>171491.77890383426</v>
      </c>
      <c r="BN66" s="695">
        <v>0</v>
      </c>
      <c r="BO66" s="695">
        <v>0</v>
      </c>
      <c r="BP66" s="695">
        <v>0</v>
      </c>
      <c r="BQ66" s="695">
        <v>0</v>
      </c>
      <c r="BR66" s="695">
        <v>0</v>
      </c>
      <c r="BS66" s="695">
        <v>0</v>
      </c>
      <c r="BT66" s="696">
        <v>0</v>
      </c>
    </row>
    <row r="67" spans="2:73">
      <c r="B67" s="690"/>
      <c r="C67" s="690" t="s">
        <v>14</v>
      </c>
      <c r="D67" s="690"/>
      <c r="E67" s="690" t="s">
        <v>687</v>
      </c>
      <c r="F67" s="690" t="s">
        <v>29</v>
      </c>
      <c r="G67" s="690"/>
      <c r="H67" s="690">
        <v>2014</v>
      </c>
      <c r="I67" s="644" t="s">
        <v>579</v>
      </c>
      <c r="J67" s="644" t="s">
        <v>594</v>
      </c>
      <c r="K67" s="633"/>
      <c r="L67" s="694">
        <v>0</v>
      </c>
      <c r="M67" s="695">
        <v>0</v>
      </c>
      <c r="N67" s="695">
        <v>0</v>
      </c>
      <c r="O67" s="695">
        <v>14.833026640349999</v>
      </c>
      <c r="P67" s="695">
        <v>14.828472601715475</v>
      </c>
      <c r="Q67" s="695">
        <v>14.598775725578889</v>
      </c>
      <c r="R67" s="695">
        <v>14.502143433317542</v>
      </c>
      <c r="S67" s="695">
        <v>14.405511146178469</v>
      </c>
      <c r="T67" s="695">
        <v>14.405511146178469</v>
      </c>
      <c r="U67" s="695">
        <v>14.305396658135578</v>
      </c>
      <c r="V67" s="695">
        <v>14.305396658135578</v>
      </c>
      <c r="W67" s="695">
        <v>13.39425254939124</v>
      </c>
      <c r="X67" s="695">
        <v>13.054852541070431</v>
      </c>
      <c r="Y67" s="695">
        <v>12.654932227451354</v>
      </c>
      <c r="Z67" s="695">
        <v>12.654932227451354</v>
      </c>
      <c r="AA67" s="695">
        <v>11.676243108231574</v>
      </c>
      <c r="AB67" s="695">
        <v>11.676243108231574</v>
      </c>
      <c r="AC67" s="695">
        <v>11.027543116826564</v>
      </c>
      <c r="AD67" s="695">
        <v>10.740330621600151</v>
      </c>
      <c r="AE67" s="695">
        <v>10.740330621600151</v>
      </c>
      <c r="AF67" s="695">
        <v>10.740330621600151</v>
      </c>
      <c r="AG67" s="695">
        <v>10.740330621600151</v>
      </c>
      <c r="AH67" s="695">
        <v>10.740330621600151</v>
      </c>
      <c r="AI67" s="695">
        <v>0.17180000245571136</v>
      </c>
      <c r="AJ67" s="695">
        <v>0</v>
      </c>
      <c r="AK67" s="695">
        <v>0</v>
      </c>
      <c r="AL67" s="695">
        <v>0</v>
      </c>
      <c r="AM67" s="695">
        <v>0</v>
      </c>
      <c r="AN67" s="695">
        <v>0</v>
      </c>
      <c r="AO67" s="696">
        <v>0</v>
      </c>
      <c r="AP67" s="633"/>
      <c r="AQ67" s="694">
        <v>0</v>
      </c>
      <c r="AR67" s="695">
        <v>0</v>
      </c>
      <c r="AS67" s="695">
        <v>0</v>
      </c>
      <c r="AT67" s="695">
        <v>71821.526363372803</v>
      </c>
      <c r="AU67" s="695">
        <v>71732.842437744141</v>
      </c>
      <c r="AV67" s="695">
        <v>67319.133218765259</v>
      </c>
      <c r="AW67" s="695">
        <v>65467.014835357666</v>
      </c>
      <c r="AX67" s="695">
        <v>63318.990867614746</v>
      </c>
      <c r="AY67" s="695">
        <v>63318.990867614746</v>
      </c>
      <c r="AZ67" s="695">
        <v>61398.427192687988</v>
      </c>
      <c r="BA67" s="695">
        <v>60095.036655426025</v>
      </c>
      <c r="BB67" s="695">
        <v>42588.378021240234</v>
      </c>
      <c r="BC67" s="695">
        <v>42271.378021240234</v>
      </c>
      <c r="BD67" s="695">
        <v>38972.724487304688</v>
      </c>
      <c r="BE67" s="695">
        <v>38972.724487304688</v>
      </c>
      <c r="BF67" s="695">
        <v>35716.965209960938</v>
      </c>
      <c r="BG67" s="695">
        <v>35716.965209960938</v>
      </c>
      <c r="BH67" s="695">
        <v>30382.965209960938</v>
      </c>
      <c r="BI67" s="695">
        <v>28010.340209960938</v>
      </c>
      <c r="BJ67" s="695">
        <v>28010.340209960938</v>
      </c>
      <c r="BK67" s="695">
        <v>28010.340209960938</v>
      </c>
      <c r="BL67" s="695">
        <v>28010.340209960938</v>
      </c>
      <c r="BM67" s="695">
        <v>28010.340209960938</v>
      </c>
      <c r="BN67" s="695">
        <v>1266</v>
      </c>
      <c r="BO67" s="695">
        <v>0</v>
      </c>
      <c r="BP67" s="695">
        <v>0</v>
      </c>
      <c r="BQ67" s="695">
        <v>0</v>
      </c>
      <c r="BR67" s="695">
        <v>0</v>
      </c>
      <c r="BS67" s="695">
        <v>0</v>
      </c>
      <c r="BT67" s="696">
        <v>0</v>
      </c>
    </row>
    <row r="68" spans="2:73">
      <c r="B68" s="690"/>
      <c r="C68" s="690" t="s">
        <v>42</v>
      </c>
      <c r="D68" s="690"/>
      <c r="E68" s="690" t="s">
        <v>687</v>
      </c>
      <c r="F68" s="690" t="s">
        <v>29</v>
      </c>
      <c r="G68" s="690"/>
      <c r="H68" s="690">
        <v>2014</v>
      </c>
      <c r="I68" s="644" t="s">
        <v>579</v>
      </c>
      <c r="J68" s="644" t="s">
        <v>594</v>
      </c>
      <c r="K68" s="633"/>
      <c r="L68" s="694">
        <v>0</v>
      </c>
      <c r="M68" s="695">
        <v>0</v>
      </c>
      <c r="N68" s="695">
        <v>0</v>
      </c>
      <c r="O68" s="695">
        <v>279</v>
      </c>
      <c r="P68" s="695">
        <v>0</v>
      </c>
      <c r="Q68" s="695">
        <v>0</v>
      </c>
      <c r="R68" s="695">
        <v>0</v>
      </c>
      <c r="S68" s="695">
        <v>0</v>
      </c>
      <c r="T68" s="695">
        <v>0</v>
      </c>
      <c r="U68" s="695">
        <v>0</v>
      </c>
      <c r="V68" s="695">
        <v>0</v>
      </c>
      <c r="W68" s="695">
        <v>0</v>
      </c>
      <c r="X68" s="695">
        <v>0</v>
      </c>
      <c r="Y68" s="695">
        <v>0</v>
      </c>
      <c r="Z68" s="695">
        <v>0</v>
      </c>
      <c r="AA68" s="695">
        <v>0</v>
      </c>
      <c r="AB68" s="695">
        <v>0</v>
      </c>
      <c r="AC68" s="695">
        <v>0</v>
      </c>
      <c r="AD68" s="695">
        <v>0</v>
      </c>
      <c r="AE68" s="695">
        <v>0</v>
      </c>
      <c r="AF68" s="695">
        <v>0</v>
      </c>
      <c r="AG68" s="695">
        <v>0</v>
      </c>
      <c r="AH68" s="695">
        <v>0</v>
      </c>
      <c r="AI68" s="695">
        <v>0</v>
      </c>
      <c r="AJ68" s="695">
        <v>0</v>
      </c>
      <c r="AK68" s="695">
        <v>0</v>
      </c>
      <c r="AL68" s="695">
        <v>0</v>
      </c>
      <c r="AM68" s="695">
        <v>0</v>
      </c>
      <c r="AN68" s="695">
        <v>0</v>
      </c>
      <c r="AO68" s="696">
        <v>0</v>
      </c>
      <c r="AP68" s="633"/>
      <c r="AQ68" s="694">
        <v>0</v>
      </c>
      <c r="AR68" s="695">
        <v>0</v>
      </c>
      <c r="AS68" s="695">
        <v>0</v>
      </c>
      <c r="AT68" s="695">
        <v>0</v>
      </c>
      <c r="AU68" s="695">
        <v>0</v>
      </c>
      <c r="AV68" s="695">
        <v>0</v>
      </c>
      <c r="AW68" s="695">
        <v>0</v>
      </c>
      <c r="AX68" s="695">
        <v>0</v>
      </c>
      <c r="AY68" s="695">
        <v>0</v>
      </c>
      <c r="AZ68" s="695">
        <v>0</v>
      </c>
      <c r="BA68" s="695">
        <v>0</v>
      </c>
      <c r="BB68" s="695">
        <v>0</v>
      </c>
      <c r="BC68" s="695">
        <v>0</v>
      </c>
      <c r="BD68" s="695">
        <v>0</v>
      </c>
      <c r="BE68" s="695">
        <v>0</v>
      </c>
      <c r="BF68" s="695">
        <v>0</v>
      </c>
      <c r="BG68" s="695">
        <v>0</v>
      </c>
      <c r="BH68" s="695">
        <v>0</v>
      </c>
      <c r="BI68" s="695">
        <v>0</v>
      </c>
      <c r="BJ68" s="695">
        <v>0</v>
      </c>
      <c r="BK68" s="695">
        <v>0</v>
      </c>
      <c r="BL68" s="695">
        <v>0</v>
      </c>
      <c r="BM68" s="695">
        <v>0</v>
      </c>
      <c r="BN68" s="695">
        <v>0</v>
      </c>
      <c r="BO68" s="695">
        <v>0</v>
      </c>
      <c r="BP68" s="695">
        <v>0</v>
      </c>
      <c r="BQ68" s="695">
        <v>0</v>
      </c>
      <c r="BR68" s="695">
        <v>0</v>
      </c>
      <c r="BS68" s="695">
        <v>0</v>
      </c>
      <c r="BT68" s="696">
        <v>0</v>
      </c>
    </row>
    <row r="69" spans="2:73">
      <c r="B69" s="690"/>
      <c r="C69" s="690" t="s">
        <v>9</v>
      </c>
      <c r="D69" s="690"/>
      <c r="E69" s="690" t="s">
        <v>687</v>
      </c>
      <c r="F69" s="690" t="s">
        <v>688</v>
      </c>
      <c r="G69" s="690"/>
      <c r="H69" s="690">
        <v>2014</v>
      </c>
      <c r="I69" s="644" t="s">
        <v>579</v>
      </c>
      <c r="J69" s="644" t="s">
        <v>594</v>
      </c>
      <c r="K69" s="633"/>
      <c r="L69" s="694">
        <v>0</v>
      </c>
      <c r="M69" s="695">
        <v>0</v>
      </c>
      <c r="N69" s="695">
        <v>0</v>
      </c>
      <c r="O69" s="695">
        <v>35</v>
      </c>
      <c r="P69" s="695">
        <v>0</v>
      </c>
      <c r="Q69" s="695">
        <v>0</v>
      </c>
      <c r="R69" s="695">
        <v>0</v>
      </c>
      <c r="S69" s="695">
        <v>0</v>
      </c>
      <c r="T69" s="695">
        <v>0</v>
      </c>
      <c r="U69" s="695">
        <v>0</v>
      </c>
      <c r="V69" s="695">
        <v>0</v>
      </c>
      <c r="W69" s="695">
        <v>0</v>
      </c>
      <c r="X69" s="695">
        <v>0</v>
      </c>
      <c r="Y69" s="695">
        <v>0</v>
      </c>
      <c r="Z69" s="695">
        <v>0</v>
      </c>
      <c r="AA69" s="695">
        <v>0</v>
      </c>
      <c r="AB69" s="695">
        <v>0</v>
      </c>
      <c r="AC69" s="695">
        <v>0</v>
      </c>
      <c r="AD69" s="695">
        <v>0</v>
      </c>
      <c r="AE69" s="695">
        <v>0</v>
      </c>
      <c r="AF69" s="695">
        <v>0</v>
      </c>
      <c r="AG69" s="695">
        <v>0</v>
      </c>
      <c r="AH69" s="695">
        <v>0</v>
      </c>
      <c r="AI69" s="695">
        <v>0</v>
      </c>
      <c r="AJ69" s="695">
        <v>0</v>
      </c>
      <c r="AK69" s="695">
        <v>0</v>
      </c>
      <c r="AL69" s="695">
        <v>0</v>
      </c>
      <c r="AM69" s="695">
        <v>0</v>
      </c>
      <c r="AN69" s="695">
        <v>0</v>
      </c>
      <c r="AO69" s="696">
        <v>0</v>
      </c>
      <c r="AP69" s="633"/>
      <c r="AQ69" s="694">
        <v>0</v>
      </c>
      <c r="AR69" s="695">
        <v>0</v>
      </c>
      <c r="AS69" s="695">
        <v>0</v>
      </c>
      <c r="AT69" s="695">
        <v>0</v>
      </c>
      <c r="AU69" s="695">
        <v>0</v>
      </c>
      <c r="AV69" s="695">
        <v>0</v>
      </c>
      <c r="AW69" s="695">
        <v>0</v>
      </c>
      <c r="AX69" s="695">
        <v>0</v>
      </c>
      <c r="AY69" s="695">
        <v>0</v>
      </c>
      <c r="AZ69" s="695">
        <v>0</v>
      </c>
      <c r="BA69" s="695">
        <v>0</v>
      </c>
      <c r="BB69" s="695">
        <v>0</v>
      </c>
      <c r="BC69" s="695">
        <v>0</v>
      </c>
      <c r="BD69" s="695">
        <v>0</v>
      </c>
      <c r="BE69" s="695">
        <v>0</v>
      </c>
      <c r="BF69" s="695">
        <v>0</v>
      </c>
      <c r="BG69" s="695">
        <v>0</v>
      </c>
      <c r="BH69" s="695">
        <v>0</v>
      </c>
      <c r="BI69" s="695">
        <v>0</v>
      </c>
      <c r="BJ69" s="695">
        <v>0</v>
      </c>
      <c r="BK69" s="695">
        <v>0</v>
      </c>
      <c r="BL69" s="695">
        <v>0</v>
      </c>
      <c r="BM69" s="695">
        <v>0</v>
      </c>
      <c r="BN69" s="695">
        <v>0</v>
      </c>
      <c r="BO69" s="695">
        <v>0</v>
      </c>
      <c r="BP69" s="695">
        <v>0</v>
      </c>
      <c r="BQ69" s="695">
        <v>0</v>
      </c>
      <c r="BR69" s="695">
        <v>0</v>
      </c>
      <c r="BS69" s="695">
        <v>0</v>
      </c>
      <c r="BT69" s="696">
        <v>0</v>
      </c>
    </row>
    <row r="70" spans="2:73">
      <c r="B70" s="690"/>
      <c r="C70" s="690" t="s">
        <v>97</v>
      </c>
      <c r="D70" s="690"/>
      <c r="E70" s="690" t="s">
        <v>689</v>
      </c>
      <c r="F70" s="690" t="s">
        <v>29</v>
      </c>
      <c r="G70" s="690"/>
      <c r="H70" s="690">
        <v>2015</v>
      </c>
      <c r="I70" s="644" t="s">
        <v>580</v>
      </c>
      <c r="J70" s="644" t="s">
        <v>594</v>
      </c>
      <c r="K70" s="633"/>
      <c r="L70" s="694">
        <v>0</v>
      </c>
      <c r="M70" s="695">
        <v>0</v>
      </c>
      <c r="N70" s="695">
        <v>0</v>
      </c>
      <c r="O70" s="695">
        <v>0</v>
      </c>
      <c r="P70" s="695">
        <v>1.8940619853286125</v>
      </c>
      <c r="Q70" s="695">
        <v>1.8940619853286125</v>
      </c>
      <c r="R70" s="695">
        <v>1.8940619853286125</v>
      </c>
      <c r="S70" s="695">
        <v>1.7773076878544234</v>
      </c>
      <c r="T70" s="695">
        <v>0.89716125641366173</v>
      </c>
      <c r="U70" s="695">
        <v>0</v>
      </c>
      <c r="V70" s="695">
        <v>0</v>
      </c>
      <c r="W70" s="695">
        <v>0</v>
      </c>
      <c r="X70" s="695">
        <v>0</v>
      </c>
      <c r="Y70" s="695">
        <v>0</v>
      </c>
      <c r="Z70" s="695">
        <v>0</v>
      </c>
      <c r="AA70" s="695">
        <v>0</v>
      </c>
      <c r="AB70" s="695">
        <v>0</v>
      </c>
      <c r="AC70" s="695">
        <v>0</v>
      </c>
      <c r="AD70" s="695">
        <v>0</v>
      </c>
      <c r="AE70" s="695">
        <v>0</v>
      </c>
      <c r="AF70" s="695">
        <v>0</v>
      </c>
      <c r="AG70" s="695">
        <v>0</v>
      </c>
      <c r="AH70" s="695">
        <v>0</v>
      </c>
      <c r="AI70" s="695">
        <v>0</v>
      </c>
      <c r="AJ70" s="695">
        <v>0</v>
      </c>
      <c r="AK70" s="695">
        <v>0</v>
      </c>
      <c r="AL70" s="695">
        <v>0</v>
      </c>
      <c r="AM70" s="695">
        <v>0</v>
      </c>
      <c r="AN70" s="695">
        <v>0</v>
      </c>
      <c r="AO70" s="696">
        <v>0</v>
      </c>
      <c r="AP70" s="633"/>
      <c r="AQ70" s="694">
        <v>0</v>
      </c>
      <c r="AR70" s="695">
        <v>0</v>
      </c>
      <c r="AS70" s="695">
        <v>0</v>
      </c>
      <c r="AT70" s="695">
        <v>0</v>
      </c>
      <c r="AU70" s="695">
        <v>11615.871880481795</v>
      </c>
      <c r="AV70" s="695">
        <v>11615.871880481795</v>
      </c>
      <c r="AW70" s="695">
        <v>11615.871880481795</v>
      </c>
      <c r="AX70" s="695">
        <v>11511.463833874126</v>
      </c>
      <c r="AY70" s="695">
        <v>6104.6264729110871</v>
      </c>
      <c r="AZ70" s="695">
        <v>0</v>
      </c>
      <c r="BA70" s="695">
        <v>0</v>
      </c>
      <c r="BB70" s="695">
        <v>0</v>
      </c>
      <c r="BC70" s="695">
        <v>0</v>
      </c>
      <c r="BD70" s="695">
        <v>0</v>
      </c>
      <c r="BE70" s="695">
        <v>0</v>
      </c>
      <c r="BF70" s="695">
        <v>0</v>
      </c>
      <c r="BG70" s="695">
        <v>0</v>
      </c>
      <c r="BH70" s="695">
        <v>0</v>
      </c>
      <c r="BI70" s="695">
        <v>0</v>
      </c>
      <c r="BJ70" s="695">
        <v>0</v>
      </c>
      <c r="BK70" s="695">
        <v>0</v>
      </c>
      <c r="BL70" s="695">
        <v>0</v>
      </c>
      <c r="BM70" s="695">
        <v>0</v>
      </c>
      <c r="BN70" s="695">
        <v>0</v>
      </c>
      <c r="BO70" s="695">
        <v>0</v>
      </c>
      <c r="BP70" s="695">
        <v>0</v>
      </c>
      <c r="BQ70" s="695">
        <v>0</v>
      </c>
      <c r="BR70" s="695">
        <v>0</v>
      </c>
      <c r="BS70" s="695">
        <v>0</v>
      </c>
      <c r="BT70" s="696">
        <v>0</v>
      </c>
    </row>
    <row r="71" spans="2:73">
      <c r="B71" s="690"/>
      <c r="C71" s="690" t="s">
        <v>96</v>
      </c>
      <c r="D71" s="690"/>
      <c r="E71" s="690" t="s">
        <v>689</v>
      </c>
      <c r="F71" s="690" t="s">
        <v>29</v>
      </c>
      <c r="G71" s="690"/>
      <c r="H71" s="690">
        <v>2015</v>
      </c>
      <c r="I71" s="644" t="s">
        <v>580</v>
      </c>
      <c r="J71" s="644" t="s">
        <v>594</v>
      </c>
      <c r="K71" s="633"/>
      <c r="L71" s="694">
        <v>0</v>
      </c>
      <c r="M71" s="695">
        <v>0</v>
      </c>
      <c r="N71" s="695">
        <v>0</v>
      </c>
      <c r="O71" s="695">
        <v>0</v>
      </c>
      <c r="P71" s="695">
        <v>7.1498504523071205</v>
      </c>
      <c r="Q71" s="695">
        <v>6.9420324388704344</v>
      </c>
      <c r="R71" s="695">
        <v>6.9420324388704344</v>
      </c>
      <c r="S71" s="695">
        <v>6.9420324388704344</v>
      </c>
      <c r="T71" s="695">
        <v>6.9420324388704344</v>
      </c>
      <c r="U71" s="695">
        <v>6.9420324388704344</v>
      </c>
      <c r="V71" s="695">
        <v>6.9420324388704344</v>
      </c>
      <c r="W71" s="695">
        <v>6.9420324388704344</v>
      </c>
      <c r="X71" s="695">
        <v>6.9420324388704344</v>
      </c>
      <c r="Y71" s="695">
        <v>6.9420324388704344</v>
      </c>
      <c r="Z71" s="695">
        <v>5.1701115507474809</v>
      </c>
      <c r="AA71" s="695">
        <v>4.4694759760717293</v>
      </c>
      <c r="AB71" s="695">
        <v>4.4694759760717293</v>
      </c>
      <c r="AC71" s="695">
        <v>4.4694759760717293</v>
      </c>
      <c r="AD71" s="695">
        <v>4.4694759760717293</v>
      </c>
      <c r="AE71" s="695">
        <v>4.4694759760717293</v>
      </c>
      <c r="AF71" s="695">
        <v>3.0107111400448829</v>
      </c>
      <c r="AG71" s="695">
        <v>3.0107111400448829</v>
      </c>
      <c r="AH71" s="695">
        <v>3.0107111400448829</v>
      </c>
      <c r="AI71" s="695">
        <v>3.0107111400448829</v>
      </c>
      <c r="AJ71" s="695">
        <v>0</v>
      </c>
      <c r="AK71" s="695">
        <v>0</v>
      </c>
      <c r="AL71" s="695">
        <v>0</v>
      </c>
      <c r="AM71" s="695">
        <v>0</v>
      </c>
      <c r="AN71" s="695">
        <v>0</v>
      </c>
      <c r="AO71" s="696">
        <v>0</v>
      </c>
      <c r="AP71" s="633"/>
      <c r="AQ71" s="697">
        <v>0</v>
      </c>
      <c r="AR71" s="698">
        <v>0</v>
      </c>
      <c r="AS71" s="698">
        <v>0</v>
      </c>
      <c r="AT71" s="698">
        <v>0</v>
      </c>
      <c r="AU71" s="698">
        <v>96163.765526452582</v>
      </c>
      <c r="AV71" s="698">
        <v>92853.364846757977</v>
      </c>
      <c r="AW71" s="698">
        <v>92853.364846757977</v>
      </c>
      <c r="AX71" s="698">
        <v>92853.364846757977</v>
      </c>
      <c r="AY71" s="698">
        <v>92853.364846757977</v>
      </c>
      <c r="AZ71" s="698">
        <v>92853.364846757977</v>
      </c>
      <c r="BA71" s="698">
        <v>92853.364846757977</v>
      </c>
      <c r="BB71" s="698">
        <v>92853.364846757977</v>
      </c>
      <c r="BC71" s="698">
        <v>92853.364846757977</v>
      </c>
      <c r="BD71" s="698">
        <v>92853.364846757977</v>
      </c>
      <c r="BE71" s="698">
        <v>82356.387247949242</v>
      </c>
      <c r="BF71" s="698">
        <v>71195.735462913144</v>
      </c>
      <c r="BG71" s="698">
        <v>71195.735462913144</v>
      </c>
      <c r="BH71" s="698">
        <v>71195.735462913144</v>
      </c>
      <c r="BI71" s="698">
        <v>71195.735462913144</v>
      </c>
      <c r="BJ71" s="698">
        <v>71195.735462913144</v>
      </c>
      <c r="BK71" s="698">
        <v>47958.59627156458</v>
      </c>
      <c r="BL71" s="698">
        <v>47958.59627156458</v>
      </c>
      <c r="BM71" s="698">
        <v>47958.59627156458</v>
      </c>
      <c r="BN71" s="698">
        <v>47958.59627156458</v>
      </c>
      <c r="BO71" s="698">
        <v>0</v>
      </c>
      <c r="BP71" s="698">
        <v>0</v>
      </c>
      <c r="BQ71" s="698">
        <v>0</v>
      </c>
      <c r="BR71" s="698">
        <v>0</v>
      </c>
      <c r="BS71" s="698">
        <v>0</v>
      </c>
      <c r="BT71" s="699">
        <v>0</v>
      </c>
    </row>
    <row r="72" spans="2:73">
      <c r="B72" s="690"/>
      <c r="C72" s="690" t="s">
        <v>95</v>
      </c>
      <c r="D72" s="690"/>
      <c r="E72" s="690" t="s">
        <v>689</v>
      </c>
      <c r="F72" s="690" t="s">
        <v>29</v>
      </c>
      <c r="G72" s="690"/>
      <c r="H72" s="690">
        <v>2015</v>
      </c>
      <c r="I72" s="644" t="s">
        <v>580</v>
      </c>
      <c r="J72" s="644" t="s">
        <v>594</v>
      </c>
      <c r="K72" s="633"/>
      <c r="L72" s="694">
        <v>0</v>
      </c>
      <c r="M72" s="695">
        <v>0</v>
      </c>
      <c r="N72" s="695">
        <v>0</v>
      </c>
      <c r="O72" s="695">
        <v>0</v>
      </c>
      <c r="P72" s="695">
        <v>2.5767764105022186</v>
      </c>
      <c r="Q72" s="695">
        <v>2.5541009156139545</v>
      </c>
      <c r="R72" s="695">
        <v>2.5541009156139545</v>
      </c>
      <c r="S72" s="695">
        <v>2.5541009156139545</v>
      </c>
      <c r="T72" s="695">
        <v>2.5541009156139545</v>
      </c>
      <c r="U72" s="695">
        <v>2.5541009156139545</v>
      </c>
      <c r="V72" s="695">
        <v>2.5541009156139545</v>
      </c>
      <c r="W72" s="695">
        <v>2.5528481424796112</v>
      </c>
      <c r="X72" s="695">
        <v>2.5528481424796112</v>
      </c>
      <c r="Y72" s="695">
        <v>2.5528481424796112</v>
      </c>
      <c r="Z72" s="695">
        <v>2.2181491550843311</v>
      </c>
      <c r="AA72" s="695">
        <v>2.2180895854273364</v>
      </c>
      <c r="AB72" s="695">
        <v>2.2180895854273364</v>
      </c>
      <c r="AC72" s="695">
        <v>2.2171443546298448</v>
      </c>
      <c r="AD72" s="695">
        <v>2.2171443546298448</v>
      </c>
      <c r="AE72" s="695">
        <v>2.2147993868656881</v>
      </c>
      <c r="AF72" s="695">
        <v>0.89293086398566734</v>
      </c>
      <c r="AG72" s="695">
        <v>0.89293086398566734</v>
      </c>
      <c r="AH72" s="695">
        <v>0.89293086398566734</v>
      </c>
      <c r="AI72" s="695">
        <v>0.89293086398566734</v>
      </c>
      <c r="AJ72" s="695">
        <v>0</v>
      </c>
      <c r="AK72" s="695">
        <v>0</v>
      </c>
      <c r="AL72" s="695">
        <v>0</v>
      </c>
      <c r="AM72" s="695">
        <v>0</v>
      </c>
      <c r="AN72" s="695">
        <v>0</v>
      </c>
      <c r="AO72" s="696">
        <v>0</v>
      </c>
      <c r="AP72" s="633"/>
      <c r="AQ72" s="691">
        <v>0</v>
      </c>
      <c r="AR72" s="692">
        <v>0</v>
      </c>
      <c r="AS72" s="692">
        <v>0</v>
      </c>
      <c r="AT72" s="692">
        <v>0</v>
      </c>
      <c r="AU72" s="692">
        <v>40377.861220612787</v>
      </c>
      <c r="AV72" s="692">
        <v>40016.655892695475</v>
      </c>
      <c r="AW72" s="692">
        <v>40016.655892695475</v>
      </c>
      <c r="AX72" s="692">
        <v>40016.655892695475</v>
      </c>
      <c r="AY72" s="692">
        <v>40016.655892695475</v>
      </c>
      <c r="AZ72" s="692">
        <v>40016.655892695475</v>
      </c>
      <c r="BA72" s="692">
        <v>40016.655892695475</v>
      </c>
      <c r="BB72" s="692">
        <v>40005.681600038632</v>
      </c>
      <c r="BC72" s="692">
        <v>40005.681600038632</v>
      </c>
      <c r="BD72" s="692">
        <v>40005.681600038632</v>
      </c>
      <c r="BE72" s="692">
        <v>35857.446322336975</v>
      </c>
      <c r="BF72" s="692">
        <v>35366.524203143832</v>
      </c>
      <c r="BG72" s="692">
        <v>35366.524203143832</v>
      </c>
      <c r="BH72" s="692">
        <v>35306.0974992517</v>
      </c>
      <c r="BI72" s="692">
        <v>35306.0974992517</v>
      </c>
      <c r="BJ72" s="692">
        <v>35280.259273102107</v>
      </c>
      <c r="BK72" s="692">
        <v>14223.785947020335</v>
      </c>
      <c r="BL72" s="692">
        <v>14223.785947020335</v>
      </c>
      <c r="BM72" s="692">
        <v>14223.785947020335</v>
      </c>
      <c r="BN72" s="692">
        <v>14223.785947020335</v>
      </c>
      <c r="BO72" s="692">
        <v>0</v>
      </c>
      <c r="BP72" s="692">
        <v>0</v>
      </c>
      <c r="BQ72" s="692">
        <v>0</v>
      </c>
      <c r="BR72" s="692">
        <v>0</v>
      </c>
      <c r="BS72" s="692">
        <v>0</v>
      </c>
      <c r="BT72" s="693">
        <v>0</v>
      </c>
    </row>
    <row r="73" spans="2:73">
      <c r="B73" s="690"/>
      <c r="C73" s="690" t="s">
        <v>102</v>
      </c>
      <c r="D73" s="690"/>
      <c r="E73" s="690" t="s">
        <v>689</v>
      </c>
      <c r="F73" s="690" t="s">
        <v>686</v>
      </c>
      <c r="G73" s="690"/>
      <c r="H73" s="690">
        <v>2015</v>
      </c>
      <c r="I73" s="644" t="s">
        <v>580</v>
      </c>
      <c r="J73" s="644" t="s">
        <v>594</v>
      </c>
      <c r="K73" s="633"/>
      <c r="L73" s="694">
        <v>0</v>
      </c>
      <c r="M73" s="695">
        <v>0</v>
      </c>
      <c r="N73" s="695">
        <v>0</v>
      </c>
      <c r="O73" s="695">
        <v>0</v>
      </c>
      <c r="P73" s="695">
        <v>45.679438952716225</v>
      </c>
      <c r="Q73" s="695">
        <v>39.856493080140012</v>
      </c>
      <c r="R73" s="695">
        <v>32.922001418597183</v>
      </c>
      <c r="S73" s="695">
        <v>32.922001418597183</v>
      </c>
      <c r="T73" s="695">
        <v>32.922001418597183</v>
      </c>
      <c r="U73" s="695">
        <v>32.922001418597183</v>
      </c>
      <c r="V73" s="695">
        <v>32.922001418597183</v>
      </c>
      <c r="W73" s="695">
        <v>32.922001418597183</v>
      </c>
      <c r="X73" s="695">
        <v>32.922001418597183</v>
      </c>
      <c r="Y73" s="695">
        <v>32.922001418597183</v>
      </c>
      <c r="Z73" s="695">
        <v>32.847579256715612</v>
      </c>
      <c r="AA73" s="695">
        <v>7.9725430009724514</v>
      </c>
      <c r="AB73" s="695">
        <v>0</v>
      </c>
      <c r="AC73" s="695">
        <v>0</v>
      </c>
      <c r="AD73" s="695">
        <v>0</v>
      </c>
      <c r="AE73" s="695">
        <v>0</v>
      </c>
      <c r="AF73" s="695">
        <v>0</v>
      </c>
      <c r="AG73" s="695">
        <v>0</v>
      </c>
      <c r="AH73" s="695">
        <v>0</v>
      </c>
      <c r="AI73" s="695">
        <v>0</v>
      </c>
      <c r="AJ73" s="695">
        <v>0</v>
      </c>
      <c r="AK73" s="695">
        <v>0</v>
      </c>
      <c r="AL73" s="695">
        <v>0</v>
      </c>
      <c r="AM73" s="695">
        <v>0</v>
      </c>
      <c r="AN73" s="695">
        <v>0</v>
      </c>
      <c r="AO73" s="696">
        <v>0</v>
      </c>
      <c r="AP73" s="633"/>
      <c r="AQ73" s="694">
        <v>0</v>
      </c>
      <c r="AR73" s="695">
        <v>0</v>
      </c>
      <c r="AS73" s="695">
        <v>0</v>
      </c>
      <c r="AT73" s="695">
        <v>0</v>
      </c>
      <c r="AU73" s="695">
        <v>200344.6889512011</v>
      </c>
      <c r="AV73" s="695">
        <v>173753.35174323231</v>
      </c>
      <c r="AW73" s="695">
        <v>145101.00694457217</v>
      </c>
      <c r="AX73" s="695">
        <v>145101.00694457217</v>
      </c>
      <c r="AY73" s="695">
        <v>145101.00694457217</v>
      </c>
      <c r="AZ73" s="695">
        <v>145101.00694457217</v>
      </c>
      <c r="BA73" s="695">
        <v>145101.00694457217</v>
      </c>
      <c r="BB73" s="695">
        <v>145101.00694457217</v>
      </c>
      <c r="BC73" s="695">
        <v>145101.00694457217</v>
      </c>
      <c r="BD73" s="695">
        <v>145101.00694457217</v>
      </c>
      <c r="BE73" s="695">
        <v>144301.60419036049</v>
      </c>
      <c r="BF73" s="695">
        <v>31189.216248997596</v>
      </c>
      <c r="BG73" s="695">
        <v>0</v>
      </c>
      <c r="BH73" s="695">
        <v>0</v>
      </c>
      <c r="BI73" s="695">
        <v>0</v>
      </c>
      <c r="BJ73" s="695">
        <v>0</v>
      </c>
      <c r="BK73" s="695">
        <v>0</v>
      </c>
      <c r="BL73" s="695">
        <v>0</v>
      </c>
      <c r="BM73" s="695">
        <v>0</v>
      </c>
      <c r="BN73" s="695">
        <v>0</v>
      </c>
      <c r="BO73" s="695">
        <v>0</v>
      </c>
      <c r="BP73" s="695">
        <v>0</v>
      </c>
      <c r="BQ73" s="695">
        <v>0</v>
      </c>
      <c r="BR73" s="695">
        <v>0</v>
      </c>
      <c r="BS73" s="695">
        <v>0</v>
      </c>
      <c r="BT73" s="696">
        <v>0</v>
      </c>
    </row>
    <row r="74" spans="2:73">
      <c r="B74" s="690"/>
      <c r="C74" s="690" t="s">
        <v>101</v>
      </c>
      <c r="D74" s="690"/>
      <c r="E74" s="690" t="s">
        <v>689</v>
      </c>
      <c r="F74" s="690" t="s">
        <v>688</v>
      </c>
      <c r="G74" s="690"/>
      <c r="H74" s="690">
        <v>2015</v>
      </c>
      <c r="I74" s="644" t="s">
        <v>580</v>
      </c>
      <c r="J74" s="644" t="s">
        <v>594</v>
      </c>
      <c r="K74" s="633"/>
      <c r="L74" s="694">
        <v>0</v>
      </c>
      <c r="M74" s="695">
        <v>0</v>
      </c>
      <c r="N74" s="695">
        <v>0</v>
      </c>
      <c r="O74" s="695">
        <v>0</v>
      </c>
      <c r="P74" s="695">
        <v>111.86379080205066</v>
      </c>
      <c r="Q74" s="695">
        <v>111.86379080205066</v>
      </c>
      <c r="R74" s="695">
        <v>111.17750980884584</v>
      </c>
      <c r="S74" s="695">
        <v>111.17750980884584</v>
      </c>
      <c r="T74" s="695">
        <v>111.17750980884584</v>
      </c>
      <c r="U74" s="695">
        <v>111.17750980884584</v>
      </c>
      <c r="V74" s="695">
        <v>109.37003518037534</v>
      </c>
      <c r="W74" s="695">
        <v>109.37003518037534</v>
      </c>
      <c r="X74" s="695">
        <v>108.71947250588629</v>
      </c>
      <c r="Y74" s="695">
        <v>102.82800003192216</v>
      </c>
      <c r="Z74" s="695">
        <v>88.497710279844199</v>
      </c>
      <c r="AA74" s="695">
        <v>88.497710279844199</v>
      </c>
      <c r="AB74" s="695">
        <v>77.228905239711651</v>
      </c>
      <c r="AC74" s="695">
        <v>77.228905239711651</v>
      </c>
      <c r="AD74" s="695">
        <v>77.228905239711651</v>
      </c>
      <c r="AE74" s="695">
        <v>77.228905239711651</v>
      </c>
      <c r="AF74" s="695">
        <v>77.228905239711651</v>
      </c>
      <c r="AG74" s="695">
        <v>77.228905239711651</v>
      </c>
      <c r="AH74" s="695">
        <v>77.228905239711651</v>
      </c>
      <c r="AI74" s="695">
        <v>77.228905239711651</v>
      </c>
      <c r="AJ74" s="695">
        <v>0</v>
      </c>
      <c r="AK74" s="695">
        <v>0</v>
      </c>
      <c r="AL74" s="695">
        <v>0</v>
      </c>
      <c r="AM74" s="695">
        <v>0</v>
      </c>
      <c r="AN74" s="695">
        <v>0</v>
      </c>
      <c r="AO74" s="696">
        <v>0</v>
      </c>
      <c r="AP74" s="633"/>
      <c r="AQ74" s="694">
        <v>0</v>
      </c>
      <c r="AR74" s="695">
        <v>0</v>
      </c>
      <c r="AS74" s="695">
        <v>0</v>
      </c>
      <c r="AT74" s="695">
        <v>0</v>
      </c>
      <c r="AU74" s="695">
        <v>789677.03165802034</v>
      </c>
      <c r="AV74" s="695">
        <v>789677.03165802034</v>
      </c>
      <c r="AW74" s="695">
        <v>787499.72169082006</v>
      </c>
      <c r="AX74" s="695">
        <v>787499.72169082006</v>
      </c>
      <c r="AY74" s="695">
        <v>787499.72169082006</v>
      </c>
      <c r="AZ74" s="695">
        <v>787499.72169082006</v>
      </c>
      <c r="BA74" s="695">
        <v>771496.72888958873</v>
      </c>
      <c r="BB74" s="695">
        <v>771496.72888958873</v>
      </c>
      <c r="BC74" s="695">
        <v>769440.93611847539</v>
      </c>
      <c r="BD74" s="695">
        <v>717279.10208527395</v>
      </c>
      <c r="BE74" s="695">
        <v>589923.5261265696</v>
      </c>
      <c r="BF74" s="695">
        <v>589923.5261265696</v>
      </c>
      <c r="BG74" s="695">
        <v>284332.05728253897</v>
      </c>
      <c r="BH74" s="695">
        <v>284332.05728253897</v>
      </c>
      <c r="BI74" s="695">
        <v>284332.05728253897</v>
      </c>
      <c r="BJ74" s="695">
        <v>283138.03481285955</v>
      </c>
      <c r="BK74" s="695">
        <v>280498.65606607537</v>
      </c>
      <c r="BL74" s="695">
        <v>280498.65606607537</v>
      </c>
      <c r="BM74" s="695">
        <v>280498.65606607537</v>
      </c>
      <c r="BN74" s="695">
        <v>280498.65606607537</v>
      </c>
      <c r="BO74" s="695">
        <v>0</v>
      </c>
      <c r="BP74" s="695">
        <v>0</v>
      </c>
      <c r="BQ74" s="695">
        <v>0</v>
      </c>
      <c r="BR74" s="695">
        <v>0</v>
      </c>
      <c r="BS74" s="695">
        <v>0</v>
      </c>
      <c r="BT74" s="696">
        <v>0</v>
      </c>
    </row>
    <row r="75" spans="2:73">
      <c r="B75" s="690"/>
      <c r="C75" s="690" t="s">
        <v>98</v>
      </c>
      <c r="D75" s="690"/>
      <c r="E75" s="690" t="s">
        <v>689</v>
      </c>
      <c r="F75" s="690" t="s">
        <v>29</v>
      </c>
      <c r="G75" s="690"/>
      <c r="H75" s="690">
        <v>2015</v>
      </c>
      <c r="I75" s="644" t="s">
        <v>580</v>
      </c>
      <c r="J75" s="644" t="s">
        <v>594</v>
      </c>
      <c r="K75" s="633"/>
      <c r="L75" s="694">
        <v>0</v>
      </c>
      <c r="M75" s="695">
        <v>0</v>
      </c>
      <c r="N75" s="695">
        <v>0</v>
      </c>
      <c r="O75" s="695">
        <v>0</v>
      </c>
      <c r="P75" s="695">
        <v>26.265753677039768</v>
      </c>
      <c r="Q75" s="695">
        <v>26.265753677039768</v>
      </c>
      <c r="R75" s="695">
        <v>26.265753677039768</v>
      </c>
      <c r="S75" s="695">
        <v>26.265753677039768</v>
      </c>
      <c r="T75" s="695">
        <v>26.265753677039768</v>
      </c>
      <c r="U75" s="695">
        <v>26.265753677039768</v>
      </c>
      <c r="V75" s="695">
        <v>26.265753677039768</v>
      </c>
      <c r="W75" s="695">
        <v>26.265753677039768</v>
      </c>
      <c r="X75" s="695">
        <v>26.265753677039768</v>
      </c>
      <c r="Y75" s="695">
        <v>26.265753677039768</v>
      </c>
      <c r="Z75" s="695">
        <v>26.265753677039768</v>
      </c>
      <c r="AA75" s="695">
        <v>26.265753677039768</v>
      </c>
      <c r="AB75" s="695">
        <v>26.265753677039768</v>
      </c>
      <c r="AC75" s="695">
        <v>26.265753677039768</v>
      </c>
      <c r="AD75" s="695">
        <v>26.265753677039768</v>
      </c>
      <c r="AE75" s="695">
        <v>26.265753677039768</v>
      </c>
      <c r="AF75" s="695">
        <v>26.265753677039768</v>
      </c>
      <c r="AG75" s="695">
        <v>26.265753677039768</v>
      </c>
      <c r="AH75" s="695">
        <v>24.692236698033874</v>
      </c>
      <c r="AI75" s="695">
        <v>0</v>
      </c>
      <c r="AJ75" s="695">
        <v>0</v>
      </c>
      <c r="AK75" s="695">
        <v>0</v>
      </c>
      <c r="AL75" s="695">
        <v>0</v>
      </c>
      <c r="AM75" s="695">
        <v>0</v>
      </c>
      <c r="AN75" s="695">
        <v>0</v>
      </c>
      <c r="AO75" s="696">
        <v>0</v>
      </c>
      <c r="AP75" s="633"/>
      <c r="AQ75" s="694">
        <v>0</v>
      </c>
      <c r="AR75" s="695">
        <v>0</v>
      </c>
      <c r="AS75" s="695">
        <v>0</v>
      </c>
      <c r="AT75" s="695">
        <v>0</v>
      </c>
      <c r="AU75" s="695">
        <v>51047.782683221878</v>
      </c>
      <c r="AV75" s="695">
        <v>51047.782683221878</v>
      </c>
      <c r="AW75" s="695">
        <v>51047.782683221878</v>
      </c>
      <c r="AX75" s="695">
        <v>51047.782683221878</v>
      </c>
      <c r="AY75" s="695">
        <v>51047.782683221878</v>
      </c>
      <c r="AZ75" s="695">
        <v>51047.782683221878</v>
      </c>
      <c r="BA75" s="695">
        <v>51047.782683221878</v>
      </c>
      <c r="BB75" s="695">
        <v>51047.782683221878</v>
      </c>
      <c r="BC75" s="695">
        <v>51047.782683221878</v>
      </c>
      <c r="BD75" s="695">
        <v>51047.782683221878</v>
      </c>
      <c r="BE75" s="695">
        <v>51047.782683221878</v>
      </c>
      <c r="BF75" s="695">
        <v>51047.782683221878</v>
      </c>
      <c r="BG75" s="695">
        <v>51047.782683221878</v>
      </c>
      <c r="BH75" s="695">
        <v>51047.782683221878</v>
      </c>
      <c r="BI75" s="695">
        <v>51047.782683221878</v>
      </c>
      <c r="BJ75" s="695">
        <v>51047.782683221878</v>
      </c>
      <c r="BK75" s="695">
        <v>51047.782683221878</v>
      </c>
      <c r="BL75" s="695">
        <v>51047.782683221878</v>
      </c>
      <c r="BM75" s="695">
        <v>49640.658169297007</v>
      </c>
      <c r="BN75" s="695">
        <v>0</v>
      </c>
      <c r="BO75" s="695">
        <v>0</v>
      </c>
      <c r="BP75" s="695">
        <v>0</v>
      </c>
      <c r="BQ75" s="695">
        <v>0</v>
      </c>
      <c r="BR75" s="695">
        <v>0</v>
      </c>
      <c r="BS75" s="695">
        <v>0</v>
      </c>
      <c r="BT75" s="696">
        <v>0</v>
      </c>
    </row>
    <row r="76" spans="2:73">
      <c r="B76" s="690"/>
      <c r="C76" s="690" t="s">
        <v>109</v>
      </c>
      <c r="D76" s="690"/>
      <c r="E76" s="690" t="s">
        <v>689</v>
      </c>
      <c r="F76" s="690" t="s">
        <v>29</v>
      </c>
      <c r="G76" s="690"/>
      <c r="H76" s="690">
        <v>2015</v>
      </c>
      <c r="I76" s="644" t="s">
        <v>580</v>
      </c>
      <c r="J76" s="644" t="s">
        <v>594</v>
      </c>
      <c r="K76" s="633"/>
      <c r="L76" s="694">
        <v>0</v>
      </c>
      <c r="M76" s="695">
        <v>0</v>
      </c>
      <c r="N76" s="695">
        <v>0</v>
      </c>
      <c r="O76" s="695">
        <v>0</v>
      </c>
      <c r="P76" s="695">
        <v>0.67962809698656201</v>
      </c>
      <c r="Q76" s="695">
        <v>0.51077296514995396</v>
      </c>
      <c r="R76" s="695">
        <v>0.47896587220020592</v>
      </c>
      <c r="S76" s="695">
        <v>0.44715875689871609</v>
      </c>
      <c r="T76" s="695">
        <v>0.44715875689871609</v>
      </c>
      <c r="U76" s="695">
        <v>0.44715875689871609</v>
      </c>
      <c r="V76" s="695">
        <v>0.41412671213038266</v>
      </c>
      <c r="W76" s="695">
        <v>0.41412671213038266</v>
      </c>
      <c r="X76" s="695">
        <v>0.17553582321852446</v>
      </c>
      <c r="Y76" s="695">
        <v>0.17553582321852446</v>
      </c>
      <c r="Z76" s="695">
        <v>0.16297455132007599</v>
      </c>
      <c r="AA76" s="695">
        <v>0.16297455132007599</v>
      </c>
      <c r="AB76" s="695">
        <v>0.16297455132007599</v>
      </c>
      <c r="AC76" s="695">
        <v>0.16297455132007599</v>
      </c>
      <c r="AD76" s="695">
        <v>0.16297455132007599</v>
      </c>
      <c r="AE76" s="695">
        <v>0.14467664062976837</v>
      </c>
      <c r="AF76" s="695">
        <v>0.14467664062976837</v>
      </c>
      <c r="AG76" s="695">
        <v>0.14467664062976837</v>
      </c>
      <c r="AH76" s="695">
        <v>0.14467664062976837</v>
      </c>
      <c r="AI76" s="695">
        <v>0.14467664062976837</v>
      </c>
      <c r="AJ76" s="695">
        <v>0</v>
      </c>
      <c r="AK76" s="695">
        <v>0</v>
      </c>
      <c r="AL76" s="695">
        <v>0</v>
      </c>
      <c r="AM76" s="695">
        <v>0</v>
      </c>
      <c r="AN76" s="695">
        <v>0</v>
      </c>
      <c r="AO76" s="696">
        <v>0</v>
      </c>
      <c r="AP76" s="633"/>
      <c r="AQ76" s="694">
        <v>0</v>
      </c>
      <c r="AR76" s="695">
        <v>0</v>
      </c>
      <c r="AS76" s="695">
        <v>0</v>
      </c>
      <c r="AT76" s="695">
        <v>0</v>
      </c>
      <c r="AU76" s="695">
        <v>10324.690811157227</v>
      </c>
      <c r="AV76" s="695">
        <v>7074.1198806762695</v>
      </c>
      <c r="AW76" s="695">
        <v>6461.8127899169922</v>
      </c>
      <c r="AX76" s="695">
        <v>5849.505199432373</v>
      </c>
      <c r="AY76" s="695">
        <v>5849.505199432373</v>
      </c>
      <c r="AZ76" s="695">
        <v>5849.505199432373</v>
      </c>
      <c r="BA76" s="695">
        <v>5213.6168785095215</v>
      </c>
      <c r="BB76" s="695">
        <v>5213.6168785095215</v>
      </c>
      <c r="BC76" s="695">
        <v>620.58732604980469</v>
      </c>
      <c r="BD76" s="695">
        <v>620.58732604980469</v>
      </c>
      <c r="BE76" s="695">
        <v>517.00338745117188</v>
      </c>
      <c r="BF76" s="695">
        <v>517.00338745117188</v>
      </c>
      <c r="BG76" s="695">
        <v>517.00338745117188</v>
      </c>
      <c r="BH76" s="695">
        <v>517.00338745117188</v>
      </c>
      <c r="BI76" s="695">
        <v>517.00338745117188</v>
      </c>
      <c r="BJ76" s="695">
        <v>366.11343383789063</v>
      </c>
      <c r="BK76" s="695">
        <v>366.11343383789063</v>
      </c>
      <c r="BL76" s="695">
        <v>366.11343383789063</v>
      </c>
      <c r="BM76" s="695">
        <v>366.11343383789063</v>
      </c>
      <c r="BN76" s="695">
        <v>366.11343383789063</v>
      </c>
      <c r="BO76" s="695">
        <v>0</v>
      </c>
      <c r="BP76" s="695">
        <v>0</v>
      </c>
      <c r="BQ76" s="695">
        <v>0</v>
      </c>
      <c r="BR76" s="695">
        <v>0</v>
      </c>
      <c r="BS76" s="695">
        <v>0</v>
      </c>
      <c r="BT76" s="696">
        <v>0</v>
      </c>
    </row>
    <row r="77" spans="2:73">
      <c r="B77" s="690"/>
      <c r="C77" s="690" t="s">
        <v>107</v>
      </c>
      <c r="D77" s="690"/>
      <c r="E77" s="690" t="s">
        <v>689</v>
      </c>
      <c r="F77" s="690" t="s">
        <v>685</v>
      </c>
      <c r="G77" s="690"/>
      <c r="H77" s="690">
        <v>2015</v>
      </c>
      <c r="I77" s="644" t="s">
        <v>580</v>
      </c>
      <c r="J77" s="644" t="s">
        <v>594</v>
      </c>
      <c r="K77" s="633"/>
      <c r="L77" s="694">
        <v>0</v>
      </c>
      <c r="M77" s="695">
        <v>0</v>
      </c>
      <c r="N77" s="695">
        <v>0</v>
      </c>
      <c r="O77" s="695">
        <v>0</v>
      </c>
      <c r="P77" s="695">
        <v>5.1296895000000005</v>
      </c>
      <c r="Q77" s="695">
        <v>5.1296895000000005</v>
      </c>
      <c r="R77" s="695">
        <v>5.1296895000000005</v>
      </c>
      <c r="S77" s="695">
        <v>5.1296895000000005</v>
      </c>
      <c r="T77" s="695">
        <v>5.1296895000000005</v>
      </c>
      <c r="U77" s="695">
        <v>5.1296895000000005</v>
      </c>
      <c r="V77" s="695">
        <v>5.1296895000000005</v>
      </c>
      <c r="W77" s="695">
        <v>5.1296895000000005</v>
      </c>
      <c r="X77" s="695">
        <v>5.1296895000000005</v>
      </c>
      <c r="Y77" s="695">
        <v>5.1296895000000005</v>
      </c>
      <c r="Z77" s="695">
        <v>0</v>
      </c>
      <c r="AA77" s="695">
        <v>0</v>
      </c>
      <c r="AB77" s="695">
        <v>0</v>
      </c>
      <c r="AC77" s="695">
        <v>0</v>
      </c>
      <c r="AD77" s="695">
        <v>0</v>
      </c>
      <c r="AE77" s="695">
        <v>0</v>
      </c>
      <c r="AF77" s="695">
        <v>0</v>
      </c>
      <c r="AG77" s="695">
        <v>0</v>
      </c>
      <c r="AH77" s="695">
        <v>0</v>
      </c>
      <c r="AI77" s="695">
        <v>0</v>
      </c>
      <c r="AJ77" s="695">
        <v>0</v>
      </c>
      <c r="AK77" s="695">
        <v>0</v>
      </c>
      <c r="AL77" s="695">
        <v>0</v>
      </c>
      <c r="AM77" s="695">
        <v>0</v>
      </c>
      <c r="AN77" s="695">
        <v>0</v>
      </c>
      <c r="AO77" s="696">
        <v>0</v>
      </c>
      <c r="AP77" s="633"/>
      <c r="AQ77" s="694">
        <v>0</v>
      </c>
      <c r="AR77" s="695">
        <v>0</v>
      </c>
      <c r="AS77" s="695">
        <v>0</v>
      </c>
      <c r="AT77" s="695">
        <v>0</v>
      </c>
      <c r="AU77" s="695">
        <v>16371.3635256915</v>
      </c>
      <c r="AV77" s="695">
        <v>16371.3635256915</v>
      </c>
      <c r="AW77" s="695">
        <v>16371.3635256915</v>
      </c>
      <c r="AX77" s="695">
        <v>16371.3635256915</v>
      </c>
      <c r="AY77" s="695">
        <v>16371.3635256915</v>
      </c>
      <c r="AZ77" s="695">
        <v>16371.3635256915</v>
      </c>
      <c r="BA77" s="695">
        <v>16371.3635256915</v>
      </c>
      <c r="BB77" s="695">
        <v>16371.3635256915</v>
      </c>
      <c r="BC77" s="695">
        <v>16371.3635256915</v>
      </c>
      <c r="BD77" s="695">
        <v>16371.3635256915</v>
      </c>
      <c r="BE77" s="695">
        <v>0</v>
      </c>
      <c r="BF77" s="695">
        <v>0</v>
      </c>
      <c r="BG77" s="695">
        <v>0</v>
      </c>
      <c r="BH77" s="695">
        <v>0</v>
      </c>
      <c r="BI77" s="695">
        <v>0</v>
      </c>
      <c r="BJ77" s="695">
        <v>0</v>
      </c>
      <c r="BK77" s="695">
        <v>0</v>
      </c>
      <c r="BL77" s="695">
        <v>0</v>
      </c>
      <c r="BM77" s="695">
        <v>0</v>
      </c>
      <c r="BN77" s="695">
        <v>0</v>
      </c>
      <c r="BO77" s="695">
        <v>0</v>
      </c>
      <c r="BP77" s="695">
        <v>0</v>
      </c>
      <c r="BQ77" s="695">
        <v>0</v>
      </c>
      <c r="BR77" s="695">
        <v>0</v>
      </c>
      <c r="BS77" s="695">
        <v>0</v>
      </c>
      <c r="BT77" s="696">
        <v>0</v>
      </c>
    </row>
    <row r="78" spans="2:73">
      <c r="B78" s="690"/>
      <c r="C78" s="690" t="s">
        <v>115</v>
      </c>
      <c r="D78" s="690"/>
      <c r="E78" s="690" t="s">
        <v>689</v>
      </c>
      <c r="F78" s="690" t="s">
        <v>29</v>
      </c>
      <c r="G78" s="690"/>
      <c r="H78" s="690">
        <v>2015</v>
      </c>
      <c r="I78" s="644" t="s">
        <v>580</v>
      </c>
      <c r="J78" s="644" t="s">
        <v>594</v>
      </c>
      <c r="K78" s="633"/>
      <c r="L78" s="694">
        <v>0</v>
      </c>
      <c r="M78" s="695">
        <v>0</v>
      </c>
      <c r="N78" s="695">
        <v>0</v>
      </c>
      <c r="O78" s="695">
        <v>0</v>
      </c>
      <c r="P78" s="695">
        <v>36.793749923419099</v>
      </c>
      <c r="Q78" s="695">
        <v>36.793749923419099</v>
      </c>
      <c r="R78" s="695">
        <v>36.793749923419099</v>
      </c>
      <c r="S78" s="695">
        <v>36.793749923419099</v>
      </c>
      <c r="T78" s="695">
        <v>36.793749923419099</v>
      </c>
      <c r="U78" s="695">
        <v>36.793749923419099</v>
      </c>
      <c r="V78" s="695">
        <v>36.793749923419099</v>
      </c>
      <c r="W78" s="695">
        <v>36.793749923419099</v>
      </c>
      <c r="X78" s="695">
        <v>36.793749923419099</v>
      </c>
      <c r="Y78" s="695">
        <v>36.793749923419099</v>
      </c>
      <c r="Z78" s="695">
        <v>36.793749923419099</v>
      </c>
      <c r="AA78" s="695">
        <v>36.793749923419099</v>
      </c>
      <c r="AB78" s="695">
        <v>36.793749923419099</v>
      </c>
      <c r="AC78" s="695">
        <v>36.793749923419099</v>
      </c>
      <c r="AD78" s="695">
        <v>36.793749923419099</v>
      </c>
      <c r="AE78" s="695">
        <v>36.793749923419099</v>
      </c>
      <c r="AF78" s="695">
        <v>36.793749923419099</v>
      </c>
      <c r="AG78" s="695">
        <v>36.793749923419099</v>
      </c>
      <c r="AH78" s="695">
        <v>34.953945455658342</v>
      </c>
      <c r="AI78" s="695">
        <v>0</v>
      </c>
      <c r="AJ78" s="695">
        <v>0</v>
      </c>
      <c r="AK78" s="695">
        <v>0</v>
      </c>
      <c r="AL78" s="695">
        <v>0</v>
      </c>
      <c r="AM78" s="695">
        <v>0</v>
      </c>
      <c r="AN78" s="695">
        <v>0</v>
      </c>
      <c r="AO78" s="696">
        <v>0</v>
      </c>
      <c r="AP78" s="633"/>
      <c r="AQ78" s="694">
        <v>0</v>
      </c>
      <c r="AR78" s="695">
        <v>0</v>
      </c>
      <c r="AS78" s="695">
        <v>0</v>
      </c>
      <c r="AT78" s="695">
        <v>0</v>
      </c>
      <c r="AU78" s="695">
        <v>71915.795361629906</v>
      </c>
      <c r="AV78" s="695">
        <v>71915.795361629906</v>
      </c>
      <c r="AW78" s="695">
        <v>71915.795361629906</v>
      </c>
      <c r="AX78" s="695">
        <v>71915.795361629906</v>
      </c>
      <c r="AY78" s="695">
        <v>71915.795361629906</v>
      </c>
      <c r="AZ78" s="695">
        <v>71915.795361629906</v>
      </c>
      <c r="BA78" s="695">
        <v>71915.795361629906</v>
      </c>
      <c r="BB78" s="695">
        <v>71915.795361629906</v>
      </c>
      <c r="BC78" s="695">
        <v>71915.795361629906</v>
      </c>
      <c r="BD78" s="695">
        <v>71915.795361629906</v>
      </c>
      <c r="BE78" s="695">
        <v>71915.795361629906</v>
      </c>
      <c r="BF78" s="695">
        <v>71915.795361629906</v>
      </c>
      <c r="BG78" s="695">
        <v>71915.795361629906</v>
      </c>
      <c r="BH78" s="695">
        <v>71915.795361629906</v>
      </c>
      <c r="BI78" s="695">
        <v>71915.795361629906</v>
      </c>
      <c r="BJ78" s="695">
        <v>71915.795361629906</v>
      </c>
      <c r="BK78" s="695">
        <v>71915.795361629906</v>
      </c>
      <c r="BL78" s="695">
        <v>71915.795361629906</v>
      </c>
      <c r="BM78" s="695">
        <v>70270.542083810054</v>
      </c>
      <c r="BN78" s="695">
        <v>0</v>
      </c>
      <c r="BO78" s="695">
        <v>0</v>
      </c>
      <c r="BP78" s="695">
        <v>0</v>
      </c>
      <c r="BQ78" s="695">
        <v>0</v>
      </c>
      <c r="BR78" s="695">
        <v>0</v>
      </c>
      <c r="BS78" s="695">
        <v>0</v>
      </c>
      <c r="BT78" s="696">
        <v>0</v>
      </c>
    </row>
    <row r="79" spans="2:73" ht="15.75">
      <c r="B79" s="690"/>
      <c r="C79" s="690" t="s">
        <v>119</v>
      </c>
      <c r="D79" s="690"/>
      <c r="E79" s="690" t="s">
        <v>689</v>
      </c>
      <c r="F79" s="690" t="s">
        <v>688</v>
      </c>
      <c r="G79" s="690"/>
      <c r="H79" s="690">
        <v>2015</v>
      </c>
      <c r="I79" s="644" t="s">
        <v>580</v>
      </c>
      <c r="J79" s="644" t="s">
        <v>594</v>
      </c>
      <c r="K79" s="633"/>
      <c r="L79" s="694">
        <v>0</v>
      </c>
      <c r="M79" s="695">
        <v>0</v>
      </c>
      <c r="N79" s="695">
        <v>0</v>
      </c>
      <c r="O79" s="695">
        <v>0</v>
      </c>
      <c r="P79" s="695">
        <v>11.253497362931158</v>
      </c>
      <c r="Q79" s="695">
        <v>11.253497362931158</v>
      </c>
      <c r="R79" s="695">
        <v>11.253497362931158</v>
      </c>
      <c r="S79" s="695">
        <v>11.253497362931158</v>
      </c>
      <c r="T79" s="695">
        <v>11.253497362931158</v>
      </c>
      <c r="U79" s="695">
        <v>11.253497362931158</v>
      </c>
      <c r="V79" s="695">
        <v>11.091711208972992</v>
      </c>
      <c r="W79" s="695">
        <v>11.091711208972992</v>
      </c>
      <c r="X79" s="695">
        <v>11.091711208972992</v>
      </c>
      <c r="Y79" s="695">
        <v>10.564368441500994</v>
      </c>
      <c r="Z79" s="695">
        <v>9.3052227648606856</v>
      </c>
      <c r="AA79" s="695">
        <v>9.3052227648606856</v>
      </c>
      <c r="AB79" s="695">
        <v>9.3052227648606856</v>
      </c>
      <c r="AC79" s="695">
        <v>9.3052227648606856</v>
      </c>
      <c r="AD79" s="695">
        <v>9.3052227648606856</v>
      </c>
      <c r="AE79" s="695">
        <v>6.4068449433849182</v>
      </c>
      <c r="AF79" s="695">
        <v>0</v>
      </c>
      <c r="AG79" s="695">
        <v>0</v>
      </c>
      <c r="AH79" s="695">
        <v>0</v>
      </c>
      <c r="AI79" s="695">
        <v>0</v>
      </c>
      <c r="AJ79" s="695">
        <v>0</v>
      </c>
      <c r="AK79" s="695">
        <v>0</v>
      </c>
      <c r="AL79" s="695">
        <v>0</v>
      </c>
      <c r="AM79" s="695">
        <v>0</v>
      </c>
      <c r="AN79" s="695">
        <v>0</v>
      </c>
      <c r="AO79" s="696">
        <v>0</v>
      </c>
      <c r="AP79" s="633"/>
      <c r="AQ79" s="694">
        <v>0</v>
      </c>
      <c r="AR79" s="695">
        <v>0</v>
      </c>
      <c r="AS79" s="695">
        <v>0</v>
      </c>
      <c r="AT79" s="695">
        <v>0</v>
      </c>
      <c r="AU79" s="695">
        <v>157549.14323282012</v>
      </c>
      <c r="AV79" s="695">
        <v>157549.14323282012</v>
      </c>
      <c r="AW79" s="695">
        <v>157549.14323282012</v>
      </c>
      <c r="AX79" s="695">
        <v>157549.14323282012</v>
      </c>
      <c r="AY79" s="695">
        <v>157549.14323282012</v>
      </c>
      <c r="AZ79" s="695">
        <v>157549.14323282012</v>
      </c>
      <c r="BA79" s="695">
        <v>155886.90356597977</v>
      </c>
      <c r="BB79" s="695">
        <v>155886.90356597977</v>
      </c>
      <c r="BC79" s="695">
        <v>155886.90356597977</v>
      </c>
      <c r="BD79" s="695">
        <v>150468.82516639068</v>
      </c>
      <c r="BE79" s="695">
        <v>137531.98329929705</v>
      </c>
      <c r="BF79" s="695">
        <v>137531.98329929705</v>
      </c>
      <c r="BG79" s="695">
        <v>137531.98329929705</v>
      </c>
      <c r="BH79" s="695">
        <v>137531.98329929705</v>
      </c>
      <c r="BI79" s="695">
        <v>137531.98329929705</v>
      </c>
      <c r="BJ79" s="695">
        <v>94693.712769808451</v>
      </c>
      <c r="BK79" s="695">
        <v>0</v>
      </c>
      <c r="BL79" s="695">
        <v>0</v>
      </c>
      <c r="BM79" s="695">
        <v>0</v>
      </c>
      <c r="BN79" s="695">
        <v>0</v>
      </c>
      <c r="BO79" s="695">
        <v>0</v>
      </c>
      <c r="BP79" s="695">
        <v>0</v>
      </c>
      <c r="BQ79" s="695">
        <v>0</v>
      </c>
      <c r="BR79" s="695">
        <v>0</v>
      </c>
      <c r="BS79" s="695">
        <v>0</v>
      </c>
      <c r="BT79" s="696">
        <v>0</v>
      </c>
      <c r="BU79" s="165"/>
    </row>
    <row r="80" spans="2:73" ht="15.75">
      <c r="B80" s="690"/>
      <c r="C80" s="690" t="s">
        <v>114</v>
      </c>
      <c r="D80" s="690"/>
      <c r="E80" s="690" t="s">
        <v>689</v>
      </c>
      <c r="F80" s="690" t="s">
        <v>29</v>
      </c>
      <c r="G80" s="690"/>
      <c r="H80" s="690">
        <v>2015</v>
      </c>
      <c r="I80" s="644" t="s">
        <v>580</v>
      </c>
      <c r="J80" s="644" t="s">
        <v>594</v>
      </c>
      <c r="K80" s="633"/>
      <c r="L80" s="694">
        <v>0</v>
      </c>
      <c r="M80" s="695">
        <v>0</v>
      </c>
      <c r="N80" s="695">
        <v>0</v>
      </c>
      <c r="O80" s="695">
        <v>0</v>
      </c>
      <c r="P80" s="695">
        <v>17.469951173617591</v>
      </c>
      <c r="Q80" s="695">
        <v>17.322219079968804</v>
      </c>
      <c r="R80" s="695">
        <v>17.322219079968804</v>
      </c>
      <c r="S80" s="695">
        <v>17.322219079968804</v>
      </c>
      <c r="T80" s="695">
        <v>17.322219079968804</v>
      </c>
      <c r="U80" s="695">
        <v>17.322219079968804</v>
      </c>
      <c r="V80" s="695">
        <v>17.322219079968804</v>
      </c>
      <c r="W80" s="695">
        <v>17.304478195905041</v>
      </c>
      <c r="X80" s="695">
        <v>17.304478195905041</v>
      </c>
      <c r="Y80" s="695">
        <v>17.304478195905041</v>
      </c>
      <c r="Z80" s="695">
        <v>15.533638013416839</v>
      </c>
      <c r="AA80" s="695">
        <v>15.497105555230569</v>
      </c>
      <c r="AB80" s="695">
        <v>15.497105555230569</v>
      </c>
      <c r="AC80" s="695">
        <v>15.415122105886972</v>
      </c>
      <c r="AD80" s="695">
        <v>15.415122105886972</v>
      </c>
      <c r="AE80" s="695">
        <v>15.361342471561166</v>
      </c>
      <c r="AF80" s="695">
        <v>4.2861992956875783</v>
      </c>
      <c r="AG80" s="695">
        <v>4.2861992956875783</v>
      </c>
      <c r="AH80" s="695">
        <v>4.2861992956875783</v>
      </c>
      <c r="AI80" s="695">
        <v>4.2861992956875783</v>
      </c>
      <c r="AJ80" s="695">
        <v>0</v>
      </c>
      <c r="AK80" s="695">
        <v>0</v>
      </c>
      <c r="AL80" s="695">
        <v>0</v>
      </c>
      <c r="AM80" s="695">
        <v>0</v>
      </c>
      <c r="AN80" s="695">
        <v>0</v>
      </c>
      <c r="AO80" s="696">
        <v>0</v>
      </c>
      <c r="AP80" s="633"/>
      <c r="AQ80" s="694">
        <v>0</v>
      </c>
      <c r="AR80" s="695">
        <v>0</v>
      </c>
      <c r="AS80" s="695">
        <v>0</v>
      </c>
      <c r="AT80" s="695">
        <v>0</v>
      </c>
      <c r="AU80" s="695">
        <v>272095.77218870498</v>
      </c>
      <c r="AV80" s="695">
        <v>269742.49965404742</v>
      </c>
      <c r="AW80" s="695">
        <v>269742.49965404742</v>
      </c>
      <c r="AX80" s="695">
        <v>269742.49965404742</v>
      </c>
      <c r="AY80" s="695">
        <v>269742.49965404742</v>
      </c>
      <c r="AZ80" s="695">
        <v>269742.49965404742</v>
      </c>
      <c r="BA80" s="695">
        <v>269742.49965404742</v>
      </c>
      <c r="BB80" s="695">
        <v>269587.08950964885</v>
      </c>
      <c r="BC80" s="695">
        <v>269587.08950964885</v>
      </c>
      <c r="BD80" s="695">
        <v>269587.08950964885</v>
      </c>
      <c r="BE80" s="695">
        <v>252903.51699601809</v>
      </c>
      <c r="BF80" s="695">
        <v>250548.56413580902</v>
      </c>
      <c r="BG80" s="695">
        <v>250548.56413580902</v>
      </c>
      <c r="BH80" s="695">
        <v>245288.39233433732</v>
      </c>
      <c r="BI80" s="695">
        <v>245288.39233433732</v>
      </c>
      <c r="BJ80" s="695">
        <v>244695.81687330443</v>
      </c>
      <c r="BK80" s="695">
        <v>68276.261653677153</v>
      </c>
      <c r="BL80" s="695">
        <v>68276.261653677153</v>
      </c>
      <c r="BM80" s="695">
        <v>68276.261653677153</v>
      </c>
      <c r="BN80" s="695">
        <v>68276.261653677153</v>
      </c>
      <c r="BO80" s="695">
        <v>0</v>
      </c>
      <c r="BP80" s="695">
        <v>0</v>
      </c>
      <c r="BQ80" s="695">
        <v>0</v>
      </c>
      <c r="BR80" s="695">
        <v>0</v>
      </c>
      <c r="BS80" s="695">
        <v>0</v>
      </c>
      <c r="BT80" s="696">
        <v>0</v>
      </c>
      <c r="BU80" s="165"/>
    </row>
    <row r="81" spans="2:73">
      <c r="B81" s="690"/>
      <c r="C81" s="690" t="s">
        <v>95</v>
      </c>
      <c r="D81" s="690"/>
      <c r="E81" s="690" t="s">
        <v>689</v>
      </c>
      <c r="F81" s="690" t="s">
        <v>29</v>
      </c>
      <c r="G81" s="690"/>
      <c r="H81" s="690">
        <v>2015</v>
      </c>
      <c r="I81" s="644" t="s">
        <v>580</v>
      </c>
      <c r="J81" s="644" t="s">
        <v>594</v>
      </c>
      <c r="K81" s="633"/>
      <c r="L81" s="694">
        <v>0</v>
      </c>
      <c r="M81" s="695">
        <v>0</v>
      </c>
      <c r="N81" s="695">
        <v>0</v>
      </c>
      <c r="O81" s="695">
        <v>0</v>
      </c>
      <c r="P81" s="695">
        <v>1.8768873875361185E-2</v>
      </c>
      <c r="Q81" s="695">
        <v>1.8660147271383758E-2</v>
      </c>
      <c r="R81" s="695">
        <v>1.8660147271383758E-2</v>
      </c>
      <c r="S81" s="695">
        <v>1.8660147271383758E-2</v>
      </c>
      <c r="T81" s="695">
        <v>1.8660147271383758E-2</v>
      </c>
      <c r="U81" s="695">
        <v>1.8660147271383758E-2</v>
      </c>
      <c r="V81" s="695">
        <v>1.8660147271383758E-2</v>
      </c>
      <c r="W81" s="695">
        <v>1.8660147271383758E-2</v>
      </c>
      <c r="X81" s="695">
        <v>1.8660147271383758E-2</v>
      </c>
      <c r="Y81" s="695">
        <v>1.8660147271383758E-2</v>
      </c>
      <c r="Z81" s="695">
        <v>1.7529028110515467E-2</v>
      </c>
      <c r="AA81" s="695">
        <v>1.7522566804104429E-2</v>
      </c>
      <c r="AB81" s="695">
        <v>1.7522566804104429E-2</v>
      </c>
      <c r="AC81" s="695">
        <v>1.7522566804104429E-2</v>
      </c>
      <c r="AD81" s="695">
        <v>1.7522566804104429E-2</v>
      </c>
      <c r="AE81" s="695">
        <v>1.7610667637974375E-2</v>
      </c>
      <c r="AF81" s="695">
        <v>5.8529494422287593E-3</v>
      </c>
      <c r="AG81" s="695">
        <v>5.8529494422287593E-3</v>
      </c>
      <c r="AH81" s="695">
        <v>5.8529494422287593E-3</v>
      </c>
      <c r="AI81" s="695">
        <v>5.8529494422287593E-3</v>
      </c>
      <c r="AJ81" s="695">
        <v>0</v>
      </c>
      <c r="AK81" s="695">
        <v>0</v>
      </c>
      <c r="AL81" s="695">
        <v>0</v>
      </c>
      <c r="AM81" s="695">
        <v>0</v>
      </c>
      <c r="AN81" s="695">
        <v>0</v>
      </c>
      <c r="AO81" s="696">
        <v>0</v>
      </c>
      <c r="AP81" s="633"/>
      <c r="AQ81" s="694">
        <v>0</v>
      </c>
      <c r="AR81" s="695">
        <v>0</v>
      </c>
      <c r="AS81" s="695">
        <v>0</v>
      </c>
      <c r="AT81" s="695">
        <v>0</v>
      </c>
      <c r="AU81" s="695">
        <v>369.47664326475609</v>
      </c>
      <c r="AV81" s="695">
        <v>367.74470185238471</v>
      </c>
      <c r="AW81" s="695">
        <v>367.74470185238471</v>
      </c>
      <c r="AX81" s="695">
        <v>367.74470185238471</v>
      </c>
      <c r="AY81" s="695">
        <v>367.74470185238471</v>
      </c>
      <c r="AZ81" s="695">
        <v>367.74470185238471</v>
      </c>
      <c r="BA81" s="695">
        <v>367.74470185238471</v>
      </c>
      <c r="BB81" s="695">
        <v>367.74470185238471</v>
      </c>
      <c r="BC81" s="695">
        <v>367.74470185238471</v>
      </c>
      <c r="BD81" s="695">
        <v>367.74470185238471</v>
      </c>
      <c r="BE81" s="695">
        <v>332.80385833214012</v>
      </c>
      <c r="BF81" s="695">
        <v>279.55530200170682</v>
      </c>
      <c r="BG81" s="695">
        <v>279.55530200170682</v>
      </c>
      <c r="BH81" s="695">
        <v>279.55530200170682</v>
      </c>
      <c r="BI81" s="695">
        <v>279.55530200170682</v>
      </c>
      <c r="BJ81" s="695">
        <v>280.52604851016372</v>
      </c>
      <c r="BK81" s="695">
        <v>93.23353395289314</v>
      </c>
      <c r="BL81" s="695">
        <v>93.23353395289314</v>
      </c>
      <c r="BM81" s="695">
        <v>93.23353395289314</v>
      </c>
      <c r="BN81" s="695">
        <v>93.23353395289314</v>
      </c>
      <c r="BO81" s="695">
        <v>0</v>
      </c>
      <c r="BP81" s="695">
        <v>0</v>
      </c>
      <c r="BQ81" s="695">
        <v>0</v>
      </c>
      <c r="BR81" s="695">
        <v>0</v>
      </c>
      <c r="BS81" s="695">
        <v>0</v>
      </c>
      <c r="BT81" s="696">
        <v>0</v>
      </c>
    </row>
    <row r="82" spans="2:73" ht="15.75">
      <c r="B82" s="690"/>
      <c r="C82" s="690" t="s">
        <v>101</v>
      </c>
      <c r="D82" s="690"/>
      <c r="E82" s="690" t="s">
        <v>689</v>
      </c>
      <c r="F82" s="690" t="s">
        <v>688</v>
      </c>
      <c r="G82" s="690"/>
      <c r="H82" s="690">
        <v>2015</v>
      </c>
      <c r="I82" s="644" t="s">
        <v>580</v>
      </c>
      <c r="J82" s="644" t="s">
        <v>594</v>
      </c>
      <c r="K82" s="633"/>
      <c r="L82" s="694">
        <v>0</v>
      </c>
      <c r="M82" s="695">
        <v>0</v>
      </c>
      <c r="N82" s="695">
        <v>0</v>
      </c>
      <c r="O82" s="695">
        <v>0</v>
      </c>
      <c r="P82" s="695">
        <v>1.9061455530272358</v>
      </c>
      <c r="Q82" s="695">
        <v>1.9061455530272358</v>
      </c>
      <c r="R82" s="695">
        <v>1.9061455530272358</v>
      </c>
      <c r="S82" s="695">
        <v>1.9061455530272358</v>
      </c>
      <c r="T82" s="695">
        <v>1.9061455530272358</v>
      </c>
      <c r="U82" s="695">
        <v>1.9061455530272358</v>
      </c>
      <c r="V82" s="695">
        <v>1.8909091921548693</v>
      </c>
      <c r="W82" s="695">
        <v>1.8909091921548693</v>
      </c>
      <c r="X82" s="695">
        <v>1.8909091921548693</v>
      </c>
      <c r="Y82" s="695">
        <v>1.8263605681782593</v>
      </c>
      <c r="Z82" s="695">
        <v>1.7631862725752818</v>
      </c>
      <c r="AA82" s="695">
        <v>1.7631862725752818</v>
      </c>
      <c r="AB82" s="695">
        <v>1.7631862725752818</v>
      </c>
      <c r="AC82" s="695">
        <v>1.7631862725752818</v>
      </c>
      <c r="AD82" s="695">
        <v>1.7631862725752818</v>
      </c>
      <c r="AE82" s="695">
        <v>1.7631862725752818</v>
      </c>
      <c r="AF82" s="695">
        <v>1.7631862725752818</v>
      </c>
      <c r="AG82" s="695">
        <v>1.7631862725752818</v>
      </c>
      <c r="AH82" s="695">
        <v>1.7631862725752818</v>
      </c>
      <c r="AI82" s="695">
        <v>1.7631862725752818</v>
      </c>
      <c r="AJ82" s="695">
        <v>0</v>
      </c>
      <c r="AK82" s="695">
        <v>0</v>
      </c>
      <c r="AL82" s="695">
        <v>0</v>
      </c>
      <c r="AM82" s="695">
        <v>0</v>
      </c>
      <c r="AN82" s="695">
        <v>0</v>
      </c>
      <c r="AO82" s="696">
        <v>0</v>
      </c>
      <c r="AP82" s="633"/>
      <c r="AQ82" s="694">
        <v>0</v>
      </c>
      <c r="AR82" s="695">
        <v>0</v>
      </c>
      <c r="AS82" s="695">
        <v>0</v>
      </c>
      <c r="AT82" s="695">
        <v>0</v>
      </c>
      <c r="AU82" s="695">
        <v>12170.294291979249</v>
      </c>
      <c r="AV82" s="695">
        <v>12170.294291979249</v>
      </c>
      <c r="AW82" s="695">
        <v>12170.294291979249</v>
      </c>
      <c r="AX82" s="695">
        <v>12170.294291979249</v>
      </c>
      <c r="AY82" s="695">
        <v>12170.294291979249</v>
      </c>
      <c r="AZ82" s="695">
        <v>12170.294291979249</v>
      </c>
      <c r="BA82" s="695">
        <v>12014.158619653646</v>
      </c>
      <c r="BB82" s="695">
        <v>12014.158619653646</v>
      </c>
      <c r="BC82" s="695">
        <v>12014.158619653646</v>
      </c>
      <c r="BD82" s="695">
        <v>11352.692086620875</v>
      </c>
      <c r="BE82" s="695">
        <v>10705.309079596103</v>
      </c>
      <c r="BF82" s="695">
        <v>10705.309079596103</v>
      </c>
      <c r="BG82" s="695">
        <v>5523.8898002291844</v>
      </c>
      <c r="BH82" s="695">
        <v>5523.8898002291844</v>
      </c>
      <c r="BI82" s="695">
        <v>5523.8898002291844</v>
      </c>
      <c r="BJ82" s="695">
        <v>5523.8898002291844</v>
      </c>
      <c r="BK82" s="695">
        <v>5523.8898002291844</v>
      </c>
      <c r="BL82" s="695">
        <v>5523.8898002291844</v>
      </c>
      <c r="BM82" s="695">
        <v>5523.8898002291844</v>
      </c>
      <c r="BN82" s="695">
        <v>5523.8898002291844</v>
      </c>
      <c r="BO82" s="695">
        <v>0</v>
      </c>
      <c r="BP82" s="695">
        <v>0</v>
      </c>
      <c r="BQ82" s="695">
        <v>0</v>
      </c>
      <c r="BR82" s="695">
        <v>0</v>
      </c>
      <c r="BS82" s="695">
        <v>0</v>
      </c>
      <c r="BT82" s="696">
        <v>0</v>
      </c>
      <c r="BU82" s="165"/>
    </row>
    <row r="83" spans="2:73" ht="15.75">
      <c r="B83" s="690"/>
      <c r="C83" s="690" t="s">
        <v>98</v>
      </c>
      <c r="D83" s="690"/>
      <c r="E83" s="690" t="s">
        <v>689</v>
      </c>
      <c r="F83" s="690" t="s">
        <v>29</v>
      </c>
      <c r="G83" s="690"/>
      <c r="H83" s="690">
        <v>2015</v>
      </c>
      <c r="I83" s="644" t="s">
        <v>580</v>
      </c>
      <c r="J83" s="644" t="s">
        <v>594</v>
      </c>
      <c r="K83" s="633"/>
      <c r="L83" s="694">
        <v>0</v>
      </c>
      <c r="M83" s="695">
        <v>0</v>
      </c>
      <c r="N83" s="695">
        <v>0</v>
      </c>
      <c r="O83" s="695">
        <v>0</v>
      </c>
      <c r="P83" s="695">
        <v>0.67256406390608658</v>
      </c>
      <c r="Q83" s="695">
        <v>0.67256406390608658</v>
      </c>
      <c r="R83" s="695">
        <v>0.67256406390608658</v>
      </c>
      <c r="S83" s="695">
        <v>0.67256406390608658</v>
      </c>
      <c r="T83" s="695">
        <v>0.67256406390608658</v>
      </c>
      <c r="U83" s="695">
        <v>0.67256406390608658</v>
      </c>
      <c r="V83" s="695">
        <v>0.67256406390608658</v>
      </c>
      <c r="W83" s="695">
        <v>0.67256406390608658</v>
      </c>
      <c r="X83" s="695">
        <v>0.67256406390608658</v>
      </c>
      <c r="Y83" s="695">
        <v>0.67256406390608658</v>
      </c>
      <c r="Z83" s="695">
        <v>0.67256406390608658</v>
      </c>
      <c r="AA83" s="695">
        <v>0.67256406390608658</v>
      </c>
      <c r="AB83" s="695">
        <v>0.67256406390608658</v>
      </c>
      <c r="AC83" s="695">
        <v>0.67256406390608658</v>
      </c>
      <c r="AD83" s="695">
        <v>0.67256406390608658</v>
      </c>
      <c r="AE83" s="695">
        <v>0.67256406390608658</v>
      </c>
      <c r="AF83" s="695">
        <v>0.67256406390608658</v>
      </c>
      <c r="AG83" s="695">
        <v>0.67256406390608658</v>
      </c>
      <c r="AH83" s="695">
        <v>0.64096709446083422</v>
      </c>
      <c r="AI83" s="695">
        <v>0</v>
      </c>
      <c r="AJ83" s="695">
        <v>0</v>
      </c>
      <c r="AK83" s="695">
        <v>0</v>
      </c>
      <c r="AL83" s="695">
        <v>0</v>
      </c>
      <c r="AM83" s="695">
        <v>0</v>
      </c>
      <c r="AN83" s="695">
        <v>0</v>
      </c>
      <c r="AO83" s="696">
        <v>0</v>
      </c>
      <c r="AP83" s="633"/>
      <c r="AQ83" s="694">
        <v>0</v>
      </c>
      <c r="AR83" s="695">
        <v>0</v>
      </c>
      <c r="AS83" s="695">
        <v>0</v>
      </c>
      <c r="AT83" s="695">
        <v>0</v>
      </c>
      <c r="AU83" s="695">
        <v>1318.7672275892771</v>
      </c>
      <c r="AV83" s="695">
        <v>1318.7672275892771</v>
      </c>
      <c r="AW83" s="695">
        <v>1318.7672275892771</v>
      </c>
      <c r="AX83" s="695">
        <v>1318.7672275892771</v>
      </c>
      <c r="AY83" s="695">
        <v>1318.7672275892771</v>
      </c>
      <c r="AZ83" s="695">
        <v>1318.7672275892771</v>
      </c>
      <c r="BA83" s="695">
        <v>1318.7672275892771</v>
      </c>
      <c r="BB83" s="695">
        <v>1318.7672275892771</v>
      </c>
      <c r="BC83" s="695">
        <v>1318.7672275892771</v>
      </c>
      <c r="BD83" s="695">
        <v>1318.7672275892771</v>
      </c>
      <c r="BE83" s="695">
        <v>1318.7672275892771</v>
      </c>
      <c r="BF83" s="695">
        <v>1318.7672275892771</v>
      </c>
      <c r="BG83" s="695">
        <v>1318.7672275892771</v>
      </c>
      <c r="BH83" s="695">
        <v>1318.7672275892771</v>
      </c>
      <c r="BI83" s="695">
        <v>1318.7672275892771</v>
      </c>
      <c r="BJ83" s="695">
        <v>1318.7672275892771</v>
      </c>
      <c r="BK83" s="695">
        <v>1318.7672275892771</v>
      </c>
      <c r="BL83" s="695">
        <v>1318.7672275892771</v>
      </c>
      <c r="BM83" s="695">
        <v>1289.3369074774134</v>
      </c>
      <c r="BN83" s="695">
        <v>0</v>
      </c>
      <c r="BO83" s="695">
        <v>0</v>
      </c>
      <c r="BP83" s="695">
        <v>0</v>
      </c>
      <c r="BQ83" s="695">
        <v>0</v>
      </c>
      <c r="BR83" s="695">
        <v>0</v>
      </c>
      <c r="BS83" s="695">
        <v>0</v>
      </c>
      <c r="BT83" s="696">
        <v>0</v>
      </c>
      <c r="BU83" s="165"/>
    </row>
    <row r="84" spans="2:73" ht="15.75">
      <c r="B84" s="690"/>
      <c r="C84" s="690" t="s">
        <v>114</v>
      </c>
      <c r="D84" s="690"/>
      <c r="E84" s="690" t="s">
        <v>689</v>
      </c>
      <c r="F84" s="690" t="s">
        <v>29</v>
      </c>
      <c r="G84" s="690"/>
      <c r="H84" s="690">
        <v>2015</v>
      </c>
      <c r="I84" s="644" t="s">
        <v>581</v>
      </c>
      <c r="J84" s="644" t="s">
        <v>587</v>
      </c>
      <c r="K84" s="633"/>
      <c r="L84" s="694">
        <v>0</v>
      </c>
      <c r="M84" s="695">
        <v>0</v>
      </c>
      <c r="N84" s="695">
        <v>0</v>
      </c>
      <c r="O84" s="695">
        <v>0</v>
      </c>
      <c r="P84" s="695">
        <v>1.7198925793966857</v>
      </c>
      <c r="Q84" s="695">
        <v>1.6959081891644612</v>
      </c>
      <c r="R84" s="695">
        <v>1.6959081891644612</v>
      </c>
      <c r="S84" s="695">
        <v>1.6959081891644612</v>
      </c>
      <c r="T84" s="695">
        <v>1.6959081891644612</v>
      </c>
      <c r="U84" s="695">
        <v>1.6959081891644612</v>
      </c>
      <c r="V84" s="695">
        <v>1.6959081891644612</v>
      </c>
      <c r="W84" s="695">
        <v>1.6942112480827509</v>
      </c>
      <c r="X84" s="695">
        <v>1.6942112480827509</v>
      </c>
      <c r="Y84" s="695">
        <v>1.6942112480827509</v>
      </c>
      <c r="Z84" s="695">
        <v>1.5505412931002305</v>
      </c>
      <c r="AA84" s="695">
        <v>1.5502911545056737</v>
      </c>
      <c r="AB84" s="695">
        <v>1.5502911545056737</v>
      </c>
      <c r="AC84" s="695">
        <v>1.5483626998828663</v>
      </c>
      <c r="AD84" s="695">
        <v>1.5483626998828663</v>
      </c>
      <c r="AE84" s="695">
        <v>1.5437433137299199</v>
      </c>
      <c r="AF84" s="695">
        <v>0.81393975716389311</v>
      </c>
      <c r="AG84" s="695">
        <v>0.81393975716389311</v>
      </c>
      <c r="AH84" s="695">
        <v>0.81393975716389311</v>
      </c>
      <c r="AI84" s="695">
        <v>0.81393975716389311</v>
      </c>
      <c r="AJ84" s="695">
        <v>0</v>
      </c>
      <c r="AK84" s="695">
        <v>0</v>
      </c>
      <c r="AL84" s="695">
        <v>0</v>
      </c>
      <c r="AM84" s="695">
        <v>0</v>
      </c>
      <c r="AN84" s="695">
        <v>0</v>
      </c>
      <c r="AO84" s="696">
        <v>0</v>
      </c>
      <c r="AP84" s="633"/>
      <c r="AQ84" s="694">
        <v>0</v>
      </c>
      <c r="AR84" s="695">
        <v>0</v>
      </c>
      <c r="AS84" s="695">
        <v>0</v>
      </c>
      <c r="AT84" s="695">
        <v>0</v>
      </c>
      <c r="AU84" s="695">
        <v>26760.271340875115</v>
      </c>
      <c r="AV84" s="695">
        <v>26378.216193615201</v>
      </c>
      <c r="AW84" s="695">
        <v>26378.216193615201</v>
      </c>
      <c r="AX84" s="695">
        <v>26378.216193615201</v>
      </c>
      <c r="AY84" s="695">
        <v>26378.216193615201</v>
      </c>
      <c r="AZ84" s="695">
        <v>26378.216193615201</v>
      </c>
      <c r="BA84" s="695">
        <v>26378.216193615201</v>
      </c>
      <c r="BB84" s="695">
        <v>26363.350989739421</v>
      </c>
      <c r="BC84" s="695">
        <v>26363.350989739421</v>
      </c>
      <c r="BD84" s="695">
        <v>26363.350989739421</v>
      </c>
      <c r="BE84" s="695">
        <v>24745.193389326923</v>
      </c>
      <c r="BF84" s="695">
        <v>24763.907284765432</v>
      </c>
      <c r="BG84" s="695">
        <v>24763.907284765432</v>
      </c>
      <c r="BH84" s="695">
        <v>24641.688079858475</v>
      </c>
      <c r="BI84" s="695">
        <v>24641.688079858475</v>
      </c>
      <c r="BJ84" s="695">
        <v>24590.788981833975</v>
      </c>
      <c r="BK84" s="695">
        <v>12965.510933279553</v>
      </c>
      <c r="BL84" s="695">
        <v>12965.510933279553</v>
      </c>
      <c r="BM84" s="695">
        <v>12965.510933279553</v>
      </c>
      <c r="BN84" s="695">
        <v>12965.510933279553</v>
      </c>
      <c r="BO84" s="695">
        <v>0</v>
      </c>
      <c r="BP84" s="695">
        <v>0</v>
      </c>
      <c r="BQ84" s="695">
        <v>0</v>
      </c>
      <c r="BR84" s="695">
        <v>0</v>
      </c>
      <c r="BS84" s="695">
        <v>0</v>
      </c>
      <c r="BT84" s="696">
        <v>0</v>
      </c>
      <c r="BU84" s="165"/>
    </row>
    <row r="85" spans="2:73">
      <c r="B85" s="690"/>
      <c r="C85" s="690" t="s">
        <v>115</v>
      </c>
      <c r="D85" s="690"/>
      <c r="E85" s="690" t="s">
        <v>689</v>
      </c>
      <c r="F85" s="690" t="s">
        <v>29</v>
      </c>
      <c r="G85" s="690"/>
      <c r="H85" s="690">
        <v>2015</v>
      </c>
      <c r="I85" s="644" t="s">
        <v>581</v>
      </c>
      <c r="J85" s="644" t="s">
        <v>587</v>
      </c>
      <c r="K85" s="633"/>
      <c r="L85" s="694">
        <v>0</v>
      </c>
      <c r="M85" s="695">
        <v>0</v>
      </c>
      <c r="N85" s="695">
        <v>0</v>
      </c>
      <c r="O85" s="695">
        <v>0</v>
      </c>
      <c r="P85" s="695">
        <v>3.4535</v>
      </c>
      <c r="Q85" s="695">
        <v>3.4535</v>
      </c>
      <c r="R85" s="695">
        <v>3.4535</v>
      </c>
      <c r="S85" s="695">
        <v>3.4535</v>
      </c>
      <c r="T85" s="695">
        <v>3.4535</v>
      </c>
      <c r="U85" s="695">
        <v>3.4535</v>
      </c>
      <c r="V85" s="695">
        <v>3.4535</v>
      </c>
      <c r="W85" s="695">
        <v>3.4535</v>
      </c>
      <c r="X85" s="695">
        <v>3.4535</v>
      </c>
      <c r="Y85" s="695">
        <v>3.4535</v>
      </c>
      <c r="Z85" s="695">
        <v>3.4535</v>
      </c>
      <c r="AA85" s="695">
        <v>3.4535</v>
      </c>
      <c r="AB85" s="695">
        <v>3.4535</v>
      </c>
      <c r="AC85" s="695">
        <v>3.4535</v>
      </c>
      <c r="AD85" s="695">
        <v>3.4535</v>
      </c>
      <c r="AE85" s="695">
        <v>3.4535</v>
      </c>
      <c r="AF85" s="695">
        <v>3.4535</v>
      </c>
      <c r="AG85" s="695">
        <v>3.4535</v>
      </c>
      <c r="AH85" s="695">
        <v>3.2050000000000001</v>
      </c>
      <c r="AI85" s="695">
        <v>0</v>
      </c>
      <c r="AJ85" s="695">
        <v>0</v>
      </c>
      <c r="AK85" s="695">
        <v>0</v>
      </c>
      <c r="AL85" s="695">
        <v>0</v>
      </c>
      <c r="AM85" s="695">
        <v>0</v>
      </c>
      <c r="AN85" s="695">
        <v>0</v>
      </c>
      <c r="AO85" s="696">
        <v>0</v>
      </c>
      <c r="AP85" s="633"/>
      <c r="AQ85" s="694">
        <v>0</v>
      </c>
      <c r="AR85" s="695">
        <v>0</v>
      </c>
      <c r="AS85" s="695">
        <v>0</v>
      </c>
      <c r="AT85" s="695">
        <v>0</v>
      </c>
      <c r="AU85" s="695">
        <v>6659.0000000000009</v>
      </c>
      <c r="AV85" s="695">
        <v>6659.0000000000009</v>
      </c>
      <c r="AW85" s="695">
        <v>6659.0000000000009</v>
      </c>
      <c r="AX85" s="695">
        <v>6659.0000000000009</v>
      </c>
      <c r="AY85" s="695">
        <v>6659.0000000000009</v>
      </c>
      <c r="AZ85" s="695">
        <v>6659.0000000000009</v>
      </c>
      <c r="BA85" s="695">
        <v>6659.0000000000009</v>
      </c>
      <c r="BB85" s="695">
        <v>6659.0000000000009</v>
      </c>
      <c r="BC85" s="695">
        <v>6659.0000000000009</v>
      </c>
      <c r="BD85" s="695">
        <v>6659.0000000000009</v>
      </c>
      <c r="BE85" s="695">
        <v>6659.0000000000009</v>
      </c>
      <c r="BF85" s="695">
        <v>6659.0000000000009</v>
      </c>
      <c r="BG85" s="695">
        <v>6659.0000000000009</v>
      </c>
      <c r="BH85" s="695">
        <v>6659.0000000000009</v>
      </c>
      <c r="BI85" s="695">
        <v>6659.0000000000009</v>
      </c>
      <c r="BJ85" s="695">
        <v>6659.0000000000009</v>
      </c>
      <c r="BK85" s="695">
        <v>6659.0000000000009</v>
      </c>
      <c r="BL85" s="695">
        <v>6659.0000000000009</v>
      </c>
      <c r="BM85" s="695">
        <v>6446.9999999999991</v>
      </c>
      <c r="BN85" s="695">
        <v>0</v>
      </c>
      <c r="BO85" s="695">
        <v>0</v>
      </c>
      <c r="BP85" s="695">
        <v>0</v>
      </c>
      <c r="BQ85" s="695">
        <v>0</v>
      </c>
      <c r="BR85" s="695">
        <v>0</v>
      </c>
      <c r="BS85" s="695">
        <v>0</v>
      </c>
      <c r="BT85" s="696">
        <v>0</v>
      </c>
    </row>
    <row r="86" spans="2:73">
      <c r="B86" s="690"/>
      <c r="C86" s="690" t="s">
        <v>119</v>
      </c>
      <c r="D86" s="690"/>
      <c r="E86" s="690" t="s">
        <v>689</v>
      </c>
      <c r="F86" s="690" t="s">
        <v>688</v>
      </c>
      <c r="G86" s="690"/>
      <c r="H86" s="690">
        <v>2015</v>
      </c>
      <c r="I86" s="644" t="s">
        <v>581</v>
      </c>
      <c r="J86" s="644" t="s">
        <v>587</v>
      </c>
      <c r="K86" s="633"/>
      <c r="L86" s="694">
        <v>0</v>
      </c>
      <c r="M86" s="695">
        <v>0</v>
      </c>
      <c r="N86" s="695">
        <v>0</v>
      </c>
      <c r="O86" s="695">
        <v>0</v>
      </c>
      <c r="P86" s="695">
        <v>53.619570761560993</v>
      </c>
      <c r="Q86" s="695">
        <v>53.619570761560993</v>
      </c>
      <c r="R86" s="695">
        <v>53.619570761560993</v>
      </c>
      <c r="S86" s="695">
        <v>53.619570761560993</v>
      </c>
      <c r="T86" s="695">
        <v>53.619570761560993</v>
      </c>
      <c r="U86" s="695">
        <v>53.619570761560993</v>
      </c>
      <c r="V86" s="695">
        <v>52.863186143468724</v>
      </c>
      <c r="W86" s="695">
        <v>52.863186143468724</v>
      </c>
      <c r="X86" s="695">
        <v>52.863186143468724</v>
      </c>
      <c r="Y86" s="695">
        <v>50.474548771036659</v>
      </c>
      <c r="Z86" s="695">
        <v>44.41696172810245</v>
      </c>
      <c r="AA86" s="695">
        <v>44.41696172810245</v>
      </c>
      <c r="AB86" s="695">
        <v>38.65451560166607</v>
      </c>
      <c r="AC86" s="695">
        <v>38.65451560166607</v>
      </c>
      <c r="AD86" s="695">
        <v>38.65451560166607</v>
      </c>
      <c r="AE86" s="695">
        <v>26.61446094087523</v>
      </c>
      <c r="AF86" s="695">
        <v>0</v>
      </c>
      <c r="AG86" s="695">
        <v>0</v>
      </c>
      <c r="AH86" s="695">
        <v>0</v>
      </c>
      <c r="AI86" s="695">
        <v>0</v>
      </c>
      <c r="AJ86" s="695">
        <v>0</v>
      </c>
      <c r="AK86" s="695">
        <v>0</v>
      </c>
      <c r="AL86" s="695">
        <v>0</v>
      </c>
      <c r="AM86" s="695">
        <v>0</v>
      </c>
      <c r="AN86" s="695">
        <v>0</v>
      </c>
      <c r="AO86" s="696">
        <v>0</v>
      </c>
      <c r="AP86" s="633"/>
      <c r="AQ86" s="694">
        <v>0</v>
      </c>
      <c r="AR86" s="695">
        <v>0</v>
      </c>
      <c r="AS86" s="695">
        <v>0</v>
      </c>
      <c r="AT86" s="695">
        <v>0</v>
      </c>
      <c r="AU86" s="695">
        <v>339035.14020330302</v>
      </c>
      <c r="AV86" s="695">
        <v>339035.14020330302</v>
      </c>
      <c r="AW86" s="695">
        <v>339035.14020330302</v>
      </c>
      <c r="AX86" s="695">
        <v>339035.14020330302</v>
      </c>
      <c r="AY86" s="695">
        <v>339035.14020330302</v>
      </c>
      <c r="AZ86" s="695">
        <v>339035.14020330302</v>
      </c>
      <c r="BA86" s="695">
        <v>334126.66464447579</v>
      </c>
      <c r="BB86" s="695">
        <v>334126.66464447579</v>
      </c>
      <c r="BC86" s="695">
        <v>334126.66464447579</v>
      </c>
      <c r="BD86" s="695">
        <v>318625.86269657884</v>
      </c>
      <c r="BE86" s="695">
        <v>277804.07059920212</v>
      </c>
      <c r="BF86" s="695">
        <v>277804.07059920212</v>
      </c>
      <c r="BG86" s="695">
        <v>230182.69983594102</v>
      </c>
      <c r="BH86" s="695">
        <v>230182.69983594102</v>
      </c>
      <c r="BI86" s="695">
        <v>230182.69983594102</v>
      </c>
      <c r="BJ86" s="695">
        <v>158485.71321340813</v>
      </c>
      <c r="BK86" s="695">
        <v>0</v>
      </c>
      <c r="BL86" s="695">
        <v>0</v>
      </c>
      <c r="BM86" s="695">
        <v>0</v>
      </c>
      <c r="BN86" s="695">
        <v>0</v>
      </c>
      <c r="BO86" s="695">
        <v>0</v>
      </c>
      <c r="BP86" s="695">
        <v>0</v>
      </c>
      <c r="BQ86" s="695">
        <v>0</v>
      </c>
      <c r="BR86" s="695">
        <v>0</v>
      </c>
      <c r="BS86" s="695">
        <v>0</v>
      </c>
      <c r="BT86" s="696">
        <v>0</v>
      </c>
    </row>
    <row r="87" spans="2:73">
      <c r="B87" s="690"/>
      <c r="C87" s="690" t="s">
        <v>126</v>
      </c>
      <c r="D87" s="690"/>
      <c r="E87" s="690" t="s">
        <v>689</v>
      </c>
      <c r="F87" s="690" t="s">
        <v>686</v>
      </c>
      <c r="G87" s="690"/>
      <c r="H87" s="690">
        <v>2016</v>
      </c>
      <c r="I87" s="644" t="s">
        <v>581</v>
      </c>
      <c r="J87" s="644" t="s">
        <v>594</v>
      </c>
      <c r="K87" s="633"/>
      <c r="L87" s="694">
        <v>0</v>
      </c>
      <c r="M87" s="695">
        <v>0</v>
      </c>
      <c r="N87" s="695">
        <v>0</v>
      </c>
      <c r="O87" s="695">
        <v>0</v>
      </c>
      <c r="P87" s="695">
        <v>0</v>
      </c>
      <c r="Q87" s="695">
        <v>22.108945842697253</v>
      </c>
      <c r="R87" s="695">
        <v>22.003026268235271</v>
      </c>
      <c r="S87" s="695">
        <v>22.003026268235271</v>
      </c>
      <c r="T87" s="695">
        <v>18.360034843558086</v>
      </c>
      <c r="U87" s="695">
        <v>15.776239163500701</v>
      </c>
      <c r="V87" s="695">
        <v>15.776239163500701</v>
      </c>
      <c r="W87" s="695">
        <v>15.776239163500701</v>
      </c>
      <c r="X87" s="695">
        <v>15.776239163500701</v>
      </c>
      <c r="Y87" s="695">
        <v>15.776239163500701</v>
      </c>
      <c r="Z87" s="695">
        <v>15.776239163500701</v>
      </c>
      <c r="AA87" s="695">
        <v>14.063337762352923</v>
      </c>
      <c r="AB87" s="695">
        <v>13.609060476327098</v>
      </c>
      <c r="AC87" s="695">
        <v>13.609060476327098</v>
      </c>
      <c r="AD87" s="695">
        <v>13.609060476327098</v>
      </c>
      <c r="AE87" s="695">
        <v>13.609060476327098</v>
      </c>
      <c r="AF87" s="695">
        <v>0</v>
      </c>
      <c r="AG87" s="695">
        <v>0</v>
      </c>
      <c r="AH87" s="695">
        <v>0</v>
      </c>
      <c r="AI87" s="695">
        <v>0</v>
      </c>
      <c r="AJ87" s="695">
        <v>0</v>
      </c>
      <c r="AK87" s="695">
        <v>0</v>
      </c>
      <c r="AL87" s="695">
        <v>0</v>
      </c>
      <c r="AM87" s="695">
        <v>0</v>
      </c>
      <c r="AN87" s="695">
        <v>0</v>
      </c>
      <c r="AO87" s="696">
        <v>0</v>
      </c>
      <c r="AP87" s="633"/>
      <c r="AQ87" s="694">
        <v>0</v>
      </c>
      <c r="AR87" s="695">
        <v>0</v>
      </c>
      <c r="AS87" s="695">
        <v>0</v>
      </c>
      <c r="AT87" s="695">
        <v>0</v>
      </c>
      <c r="AU87" s="695">
        <v>0</v>
      </c>
      <c r="AV87" s="695">
        <v>160425.60097554338</v>
      </c>
      <c r="AW87" s="695">
        <v>160024.51855551067</v>
      </c>
      <c r="AX87" s="695">
        <v>160024.51855551067</v>
      </c>
      <c r="AY87" s="695">
        <v>138828.02697156524</v>
      </c>
      <c r="AZ87" s="695">
        <v>123298.61035753968</v>
      </c>
      <c r="BA87" s="695">
        <v>123298.61035753968</v>
      </c>
      <c r="BB87" s="695">
        <v>123298.61035753968</v>
      </c>
      <c r="BC87" s="695">
        <v>123298.61035753968</v>
      </c>
      <c r="BD87" s="695">
        <v>123298.61035753968</v>
      </c>
      <c r="BE87" s="695">
        <v>123298.61035753968</v>
      </c>
      <c r="BF87" s="695">
        <v>116812.41889822288</v>
      </c>
      <c r="BG87" s="695">
        <v>113802.07251231073</v>
      </c>
      <c r="BH87" s="695">
        <v>113802.07251231073</v>
      </c>
      <c r="BI87" s="695">
        <v>113802.07251231073</v>
      </c>
      <c r="BJ87" s="695">
        <v>113802.07251231073</v>
      </c>
      <c r="BK87" s="695">
        <v>0</v>
      </c>
      <c r="BL87" s="695">
        <v>0</v>
      </c>
      <c r="BM87" s="695">
        <v>0</v>
      </c>
      <c r="BN87" s="695">
        <v>0</v>
      </c>
      <c r="BO87" s="695">
        <v>0</v>
      </c>
      <c r="BP87" s="695">
        <v>0</v>
      </c>
      <c r="BQ87" s="695">
        <v>0</v>
      </c>
      <c r="BR87" s="695">
        <v>0</v>
      </c>
      <c r="BS87" s="695">
        <v>0</v>
      </c>
      <c r="BT87" s="696">
        <v>0</v>
      </c>
    </row>
    <row r="88" spans="2:73">
      <c r="B88" s="690"/>
      <c r="C88" s="690" t="s">
        <v>118</v>
      </c>
      <c r="D88" s="690"/>
      <c r="E88" s="690" t="s">
        <v>689</v>
      </c>
      <c r="F88" s="690" t="s">
        <v>686</v>
      </c>
      <c r="G88" s="690"/>
      <c r="H88" s="690">
        <v>2016</v>
      </c>
      <c r="I88" s="644" t="s">
        <v>581</v>
      </c>
      <c r="J88" s="644" t="s">
        <v>594</v>
      </c>
      <c r="K88" s="633"/>
      <c r="L88" s="694">
        <v>0</v>
      </c>
      <c r="M88" s="695">
        <v>0</v>
      </c>
      <c r="N88" s="695">
        <v>0</v>
      </c>
      <c r="O88" s="695">
        <v>0</v>
      </c>
      <c r="P88" s="695">
        <v>0</v>
      </c>
      <c r="Q88" s="695">
        <v>1.7149847194239736</v>
      </c>
      <c r="R88" s="695">
        <v>1.7149847194239736</v>
      </c>
      <c r="S88" s="695">
        <v>1.7149847194239736</v>
      </c>
      <c r="T88" s="695">
        <v>1.7149847194239736</v>
      </c>
      <c r="U88" s="695">
        <v>1.7149847194239736</v>
      </c>
      <c r="V88" s="695">
        <v>1.7149847194239736</v>
      </c>
      <c r="W88" s="695">
        <v>1.7149847194239736</v>
      </c>
      <c r="X88" s="695">
        <v>1.7149847194239736</v>
      </c>
      <c r="Y88" s="695">
        <v>1.7149847194239736</v>
      </c>
      <c r="Z88" s="695">
        <v>1.7149847194239736</v>
      </c>
      <c r="AA88" s="695">
        <v>0.42340981224303831</v>
      </c>
      <c r="AB88" s="695">
        <v>0</v>
      </c>
      <c r="AC88" s="695">
        <v>0</v>
      </c>
      <c r="AD88" s="695">
        <v>0</v>
      </c>
      <c r="AE88" s="695">
        <v>0</v>
      </c>
      <c r="AF88" s="695">
        <v>0</v>
      </c>
      <c r="AG88" s="695">
        <v>0</v>
      </c>
      <c r="AH88" s="695">
        <v>0</v>
      </c>
      <c r="AI88" s="695">
        <v>0</v>
      </c>
      <c r="AJ88" s="695">
        <v>0</v>
      </c>
      <c r="AK88" s="695">
        <v>0</v>
      </c>
      <c r="AL88" s="695">
        <v>0</v>
      </c>
      <c r="AM88" s="695">
        <v>0</v>
      </c>
      <c r="AN88" s="695">
        <v>0</v>
      </c>
      <c r="AO88" s="696">
        <v>0</v>
      </c>
      <c r="AP88" s="633"/>
      <c r="AQ88" s="697">
        <v>0</v>
      </c>
      <c r="AR88" s="698">
        <v>0</v>
      </c>
      <c r="AS88" s="698">
        <v>0</v>
      </c>
      <c r="AT88" s="698">
        <v>0</v>
      </c>
      <c r="AU88" s="698">
        <v>0</v>
      </c>
      <c r="AV88" s="698">
        <v>13142.640539737338</v>
      </c>
      <c r="AW88" s="698">
        <v>13142.640539737338</v>
      </c>
      <c r="AX88" s="698">
        <v>13142.640539737338</v>
      </c>
      <c r="AY88" s="698">
        <v>13142.640539737338</v>
      </c>
      <c r="AZ88" s="698">
        <v>13142.640539737338</v>
      </c>
      <c r="BA88" s="698">
        <v>13142.640539737338</v>
      </c>
      <c r="BB88" s="698">
        <v>13142.640539737338</v>
      </c>
      <c r="BC88" s="698">
        <v>13142.640539737338</v>
      </c>
      <c r="BD88" s="698">
        <v>13142.640539737338</v>
      </c>
      <c r="BE88" s="698">
        <v>13142.640539737338</v>
      </c>
      <c r="BF88" s="698">
        <v>3244.76533247305</v>
      </c>
      <c r="BG88" s="698">
        <v>0</v>
      </c>
      <c r="BH88" s="698">
        <v>0</v>
      </c>
      <c r="BI88" s="698">
        <v>0</v>
      </c>
      <c r="BJ88" s="698">
        <v>0</v>
      </c>
      <c r="BK88" s="698">
        <v>0</v>
      </c>
      <c r="BL88" s="698">
        <v>0</v>
      </c>
      <c r="BM88" s="698">
        <v>0</v>
      </c>
      <c r="BN88" s="698">
        <v>0</v>
      </c>
      <c r="BO88" s="698">
        <v>0</v>
      </c>
      <c r="BP88" s="698">
        <v>0</v>
      </c>
      <c r="BQ88" s="698">
        <v>0</v>
      </c>
      <c r="BR88" s="698">
        <v>0</v>
      </c>
      <c r="BS88" s="698">
        <v>0</v>
      </c>
      <c r="BT88" s="699">
        <v>0</v>
      </c>
    </row>
    <row r="89" spans="2:73">
      <c r="B89" s="690"/>
      <c r="C89" s="690" t="s">
        <v>114</v>
      </c>
      <c r="D89" s="690"/>
      <c r="E89" s="690" t="s">
        <v>689</v>
      </c>
      <c r="F89" s="690" t="s">
        <v>29</v>
      </c>
      <c r="G89" s="690"/>
      <c r="H89" s="690">
        <v>2016</v>
      </c>
      <c r="I89" s="644" t="s">
        <v>581</v>
      </c>
      <c r="J89" s="644" t="s">
        <v>594</v>
      </c>
      <c r="K89" s="633"/>
      <c r="L89" s="694">
        <v>0</v>
      </c>
      <c r="M89" s="695">
        <v>0</v>
      </c>
      <c r="N89" s="695">
        <v>0</v>
      </c>
      <c r="O89" s="695">
        <v>0</v>
      </c>
      <c r="P89" s="695">
        <v>0</v>
      </c>
      <c r="Q89" s="695">
        <v>78.899288230727407</v>
      </c>
      <c r="R89" s="695">
        <v>78.899288230727407</v>
      </c>
      <c r="S89" s="695">
        <v>78.899288230727407</v>
      </c>
      <c r="T89" s="695">
        <v>78.899288230727407</v>
      </c>
      <c r="U89" s="695">
        <v>78.899288230727407</v>
      </c>
      <c r="V89" s="695">
        <v>78.899288230727407</v>
      </c>
      <c r="W89" s="695">
        <v>78.899288230727407</v>
      </c>
      <c r="X89" s="695">
        <v>78.897821942814602</v>
      </c>
      <c r="Y89" s="695">
        <v>78.897821942814602</v>
      </c>
      <c r="Z89" s="695">
        <v>78.589512341895571</v>
      </c>
      <c r="AA89" s="695">
        <v>76.051560252117994</v>
      </c>
      <c r="AB89" s="695">
        <v>76.051481878063541</v>
      </c>
      <c r="AC89" s="695">
        <v>76.051481878063541</v>
      </c>
      <c r="AD89" s="695">
        <v>75.98411483932037</v>
      </c>
      <c r="AE89" s="695">
        <v>67.037969786231201</v>
      </c>
      <c r="AF89" s="695">
        <v>67.037969786231201</v>
      </c>
      <c r="AG89" s="695">
        <v>25.267446777205738</v>
      </c>
      <c r="AH89" s="695">
        <v>0</v>
      </c>
      <c r="AI89" s="695">
        <v>0</v>
      </c>
      <c r="AJ89" s="695">
        <v>0</v>
      </c>
      <c r="AK89" s="695">
        <v>0</v>
      </c>
      <c r="AL89" s="695">
        <v>0</v>
      </c>
      <c r="AM89" s="695">
        <v>0</v>
      </c>
      <c r="AN89" s="695">
        <v>0</v>
      </c>
      <c r="AO89" s="696">
        <v>0</v>
      </c>
      <c r="AP89" s="633"/>
      <c r="AQ89" s="691">
        <v>0</v>
      </c>
      <c r="AR89" s="692">
        <v>0</v>
      </c>
      <c r="AS89" s="692">
        <v>0</v>
      </c>
      <c r="AT89" s="692">
        <v>0</v>
      </c>
      <c r="AU89" s="692">
        <v>0</v>
      </c>
      <c r="AV89" s="692">
        <v>1213321.5909365376</v>
      </c>
      <c r="AW89" s="692">
        <v>1213321.5909365376</v>
      </c>
      <c r="AX89" s="692">
        <v>1213321.5909365376</v>
      </c>
      <c r="AY89" s="692">
        <v>1213321.5909365376</v>
      </c>
      <c r="AZ89" s="692">
        <v>1213321.5909365376</v>
      </c>
      <c r="BA89" s="692">
        <v>1213321.5909365376</v>
      </c>
      <c r="BB89" s="692">
        <v>1213321.5909365376</v>
      </c>
      <c r="BC89" s="692">
        <v>1213158.4068729002</v>
      </c>
      <c r="BD89" s="692">
        <v>1213158.4068729002</v>
      </c>
      <c r="BE89" s="692">
        <v>1208247.2430350757</v>
      </c>
      <c r="BF89" s="692">
        <v>1194785.6641423029</v>
      </c>
      <c r="BG89" s="692">
        <v>1194139.7722764846</v>
      </c>
      <c r="BH89" s="692">
        <v>1194139.7722764846</v>
      </c>
      <c r="BI89" s="692">
        <v>1188438.0904269055</v>
      </c>
      <c r="BJ89" s="692">
        <v>1045932.0382582601</v>
      </c>
      <c r="BK89" s="692">
        <v>1045932.0382582601</v>
      </c>
      <c r="BL89" s="692">
        <v>402493.3719756293</v>
      </c>
      <c r="BM89" s="692">
        <v>0</v>
      </c>
      <c r="BN89" s="692">
        <v>0</v>
      </c>
      <c r="BO89" s="692">
        <v>0</v>
      </c>
      <c r="BP89" s="692">
        <v>0</v>
      </c>
      <c r="BQ89" s="692">
        <v>0</v>
      </c>
      <c r="BR89" s="692">
        <v>0</v>
      </c>
      <c r="BS89" s="692">
        <v>0</v>
      </c>
      <c r="BT89" s="693">
        <v>0</v>
      </c>
    </row>
    <row r="90" spans="2:73">
      <c r="B90" s="690"/>
      <c r="C90" s="690" t="s">
        <v>115</v>
      </c>
      <c r="D90" s="690"/>
      <c r="E90" s="690" t="s">
        <v>689</v>
      </c>
      <c r="F90" s="690" t="s">
        <v>29</v>
      </c>
      <c r="G90" s="690"/>
      <c r="H90" s="690">
        <v>2016</v>
      </c>
      <c r="I90" s="644" t="s">
        <v>581</v>
      </c>
      <c r="J90" s="644" t="s">
        <v>594</v>
      </c>
      <c r="K90" s="633"/>
      <c r="L90" s="694">
        <v>0</v>
      </c>
      <c r="M90" s="695">
        <v>0</v>
      </c>
      <c r="N90" s="695">
        <v>0</v>
      </c>
      <c r="O90" s="695">
        <v>0</v>
      </c>
      <c r="P90" s="695">
        <v>0</v>
      </c>
      <c r="Q90" s="695">
        <v>47.83640000000004</v>
      </c>
      <c r="R90" s="695">
        <v>47.83640000000004</v>
      </c>
      <c r="S90" s="695">
        <v>47.83640000000004</v>
      </c>
      <c r="T90" s="695">
        <v>47.83640000000004</v>
      </c>
      <c r="U90" s="695">
        <v>47.83640000000004</v>
      </c>
      <c r="V90" s="695">
        <v>47.83640000000004</v>
      </c>
      <c r="W90" s="695">
        <v>47.83640000000004</v>
      </c>
      <c r="X90" s="695">
        <v>47.83640000000004</v>
      </c>
      <c r="Y90" s="695">
        <v>47.83640000000004</v>
      </c>
      <c r="Z90" s="695">
        <v>47.83640000000004</v>
      </c>
      <c r="AA90" s="695">
        <v>47.83640000000004</v>
      </c>
      <c r="AB90" s="695">
        <v>47.83640000000004</v>
      </c>
      <c r="AC90" s="695">
        <v>47.83640000000004</v>
      </c>
      <c r="AD90" s="695">
        <v>47.83640000000004</v>
      </c>
      <c r="AE90" s="695">
        <v>47.83640000000004</v>
      </c>
      <c r="AF90" s="695">
        <v>47.83640000000004</v>
      </c>
      <c r="AG90" s="695">
        <v>47.83640000000004</v>
      </c>
      <c r="AH90" s="695">
        <v>47.83640000000004</v>
      </c>
      <c r="AI90" s="695">
        <v>44.846000000000146</v>
      </c>
      <c r="AJ90" s="695">
        <v>0</v>
      </c>
      <c r="AK90" s="695">
        <v>0</v>
      </c>
      <c r="AL90" s="695">
        <v>0</v>
      </c>
      <c r="AM90" s="695">
        <v>0</v>
      </c>
      <c r="AN90" s="695">
        <v>0</v>
      </c>
      <c r="AO90" s="696">
        <v>0</v>
      </c>
      <c r="AP90" s="633"/>
      <c r="AQ90" s="694">
        <v>0</v>
      </c>
      <c r="AR90" s="695">
        <v>0</v>
      </c>
      <c r="AS90" s="695">
        <v>0</v>
      </c>
      <c r="AT90" s="695">
        <v>0</v>
      </c>
      <c r="AU90" s="695">
        <v>0</v>
      </c>
      <c r="AV90" s="695">
        <v>165327.20000000016</v>
      </c>
      <c r="AW90" s="695">
        <v>165327.20000000016</v>
      </c>
      <c r="AX90" s="695">
        <v>165327.20000000016</v>
      </c>
      <c r="AY90" s="695">
        <v>165327.20000000016</v>
      </c>
      <c r="AZ90" s="695">
        <v>165327.20000000016</v>
      </c>
      <c r="BA90" s="695">
        <v>165327.20000000016</v>
      </c>
      <c r="BB90" s="695">
        <v>165327.20000000016</v>
      </c>
      <c r="BC90" s="695">
        <v>165327.20000000016</v>
      </c>
      <c r="BD90" s="695">
        <v>165327.20000000016</v>
      </c>
      <c r="BE90" s="695">
        <v>165327.20000000016</v>
      </c>
      <c r="BF90" s="695">
        <v>165327.20000000016</v>
      </c>
      <c r="BG90" s="695">
        <v>165327.20000000016</v>
      </c>
      <c r="BH90" s="695">
        <v>165327.20000000016</v>
      </c>
      <c r="BI90" s="695">
        <v>165327.20000000016</v>
      </c>
      <c r="BJ90" s="695">
        <v>165327.20000000016</v>
      </c>
      <c r="BK90" s="695">
        <v>165327.20000000016</v>
      </c>
      <c r="BL90" s="695">
        <v>165327.20000000016</v>
      </c>
      <c r="BM90" s="695">
        <v>165327.20000000016</v>
      </c>
      <c r="BN90" s="695">
        <v>162655.99999999988</v>
      </c>
      <c r="BO90" s="695">
        <v>0</v>
      </c>
      <c r="BP90" s="695">
        <v>0</v>
      </c>
      <c r="BQ90" s="695">
        <v>0</v>
      </c>
      <c r="BR90" s="695">
        <v>0</v>
      </c>
      <c r="BS90" s="695">
        <v>0</v>
      </c>
      <c r="BT90" s="696">
        <v>0</v>
      </c>
    </row>
    <row r="91" spans="2:73">
      <c r="B91" s="690"/>
      <c r="C91" s="690" t="s">
        <v>119</v>
      </c>
      <c r="D91" s="690"/>
      <c r="E91" s="690" t="s">
        <v>689</v>
      </c>
      <c r="F91" s="690" t="s">
        <v>688</v>
      </c>
      <c r="G91" s="690"/>
      <c r="H91" s="690">
        <v>2016</v>
      </c>
      <c r="I91" s="644" t="s">
        <v>581</v>
      </c>
      <c r="J91" s="644" t="s">
        <v>594</v>
      </c>
      <c r="K91" s="633"/>
      <c r="L91" s="694">
        <v>0</v>
      </c>
      <c r="M91" s="695">
        <v>0</v>
      </c>
      <c r="N91" s="695">
        <v>0</v>
      </c>
      <c r="O91" s="695">
        <v>0</v>
      </c>
      <c r="P91" s="695">
        <v>0</v>
      </c>
      <c r="Q91" s="695">
        <v>88.675643452987742</v>
      </c>
      <c r="R91" s="695">
        <v>86.977191344639024</v>
      </c>
      <c r="S91" s="695">
        <v>86.977191344639024</v>
      </c>
      <c r="T91" s="695">
        <v>86.977191344639024</v>
      </c>
      <c r="U91" s="695">
        <v>86.977191344639024</v>
      </c>
      <c r="V91" s="695">
        <v>81.484276454079136</v>
      </c>
      <c r="W91" s="695">
        <v>81.484276454079136</v>
      </c>
      <c r="X91" s="695">
        <v>81.484276454079136</v>
      </c>
      <c r="Y91" s="695">
        <v>81.484276454079136</v>
      </c>
      <c r="Z91" s="695">
        <v>81.484276454079136</v>
      </c>
      <c r="AA91" s="695">
        <v>81.484276454079136</v>
      </c>
      <c r="AB91" s="695">
        <v>66.700246000260748</v>
      </c>
      <c r="AC91" s="695">
        <v>44.144101099884395</v>
      </c>
      <c r="AD91" s="695">
        <v>44.144101099884395</v>
      </c>
      <c r="AE91" s="695">
        <v>11.554212199553968</v>
      </c>
      <c r="AF91" s="695">
        <v>0</v>
      </c>
      <c r="AG91" s="695">
        <v>0</v>
      </c>
      <c r="AH91" s="695">
        <v>0</v>
      </c>
      <c r="AI91" s="695">
        <v>0</v>
      </c>
      <c r="AJ91" s="695">
        <v>0</v>
      </c>
      <c r="AK91" s="695">
        <v>0</v>
      </c>
      <c r="AL91" s="695">
        <v>0</v>
      </c>
      <c r="AM91" s="695">
        <v>0</v>
      </c>
      <c r="AN91" s="695">
        <v>0</v>
      </c>
      <c r="AO91" s="696">
        <v>0</v>
      </c>
      <c r="AP91" s="633"/>
      <c r="AQ91" s="694">
        <v>0</v>
      </c>
      <c r="AR91" s="695">
        <v>0</v>
      </c>
      <c r="AS91" s="695">
        <v>0</v>
      </c>
      <c r="AT91" s="695">
        <v>0</v>
      </c>
      <c r="AU91" s="695">
        <v>0</v>
      </c>
      <c r="AV91" s="695">
        <v>685419.37317366735</v>
      </c>
      <c r="AW91" s="695">
        <v>678724.47254545777</v>
      </c>
      <c r="AX91" s="695">
        <v>678724.47254545777</v>
      </c>
      <c r="AY91" s="695">
        <v>678724.47254545777</v>
      </c>
      <c r="AZ91" s="695">
        <v>678724.47254545777</v>
      </c>
      <c r="BA91" s="695">
        <v>644707.39801255171</v>
      </c>
      <c r="BB91" s="695">
        <v>644707.39801255171</v>
      </c>
      <c r="BC91" s="695">
        <v>644707.39801255171</v>
      </c>
      <c r="BD91" s="695">
        <v>644707.39801255171</v>
      </c>
      <c r="BE91" s="695">
        <v>644707.39801255171</v>
      </c>
      <c r="BF91" s="695">
        <v>644707.39801255171</v>
      </c>
      <c r="BG91" s="695">
        <v>585818.9835486575</v>
      </c>
      <c r="BH91" s="695">
        <v>193302.85853254964</v>
      </c>
      <c r="BI91" s="695">
        <v>193302.85853254964</v>
      </c>
      <c r="BJ91" s="695">
        <v>43253.650967321089</v>
      </c>
      <c r="BK91" s="695">
        <v>0</v>
      </c>
      <c r="BL91" s="695">
        <v>0</v>
      </c>
      <c r="BM91" s="695">
        <v>0</v>
      </c>
      <c r="BN91" s="695">
        <v>0</v>
      </c>
      <c r="BO91" s="695">
        <v>0</v>
      </c>
      <c r="BP91" s="695">
        <v>0</v>
      </c>
      <c r="BQ91" s="695">
        <v>0</v>
      </c>
      <c r="BR91" s="695">
        <v>0</v>
      </c>
      <c r="BS91" s="695">
        <v>0</v>
      </c>
      <c r="BT91" s="696">
        <v>0</v>
      </c>
    </row>
    <row r="92" spans="2:73">
      <c r="B92" s="690"/>
      <c r="C92" s="690"/>
      <c r="D92" s="690"/>
      <c r="E92" s="690"/>
      <c r="F92" s="690"/>
      <c r="G92" s="690"/>
      <c r="H92" s="690"/>
      <c r="I92" s="644"/>
      <c r="J92" s="644"/>
      <c r="K92" s="633"/>
      <c r="L92" s="694"/>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6"/>
      <c r="AP92" s="633"/>
      <c r="AQ92" s="694"/>
      <c r="AR92" s="695"/>
      <c r="AS92" s="695"/>
      <c r="AT92" s="695"/>
      <c r="AU92" s="695"/>
      <c r="AV92" s="695"/>
      <c r="AW92" s="695"/>
      <c r="AX92" s="695"/>
      <c r="AY92" s="695"/>
      <c r="AZ92" s="695"/>
      <c r="BA92" s="695"/>
      <c r="BB92" s="695"/>
      <c r="BC92" s="695"/>
      <c r="BD92" s="695"/>
      <c r="BE92" s="695"/>
      <c r="BF92" s="695"/>
      <c r="BG92" s="695"/>
      <c r="BH92" s="695"/>
      <c r="BI92" s="695"/>
      <c r="BJ92" s="695"/>
      <c r="BK92" s="695"/>
      <c r="BL92" s="695"/>
      <c r="BM92" s="695"/>
      <c r="BN92" s="695"/>
      <c r="BO92" s="695"/>
      <c r="BP92" s="695"/>
      <c r="BQ92" s="695"/>
      <c r="BR92" s="695"/>
      <c r="BS92" s="695"/>
      <c r="BT92" s="696"/>
    </row>
    <row r="93" spans="2:73">
      <c r="B93" s="690"/>
      <c r="C93" s="690"/>
      <c r="D93" s="690"/>
      <c r="E93" s="690"/>
      <c r="F93" s="690"/>
      <c r="G93" s="690"/>
      <c r="H93" s="690"/>
      <c r="I93" s="644"/>
      <c r="J93" s="644"/>
      <c r="K93" s="633"/>
      <c r="L93" s="694"/>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6"/>
      <c r="AP93" s="633"/>
      <c r="AQ93" s="694"/>
      <c r="AR93" s="695"/>
      <c r="AS93" s="695"/>
      <c r="AT93" s="695"/>
      <c r="AU93" s="695"/>
      <c r="AV93" s="695"/>
      <c r="AW93" s="695"/>
      <c r="AX93" s="695"/>
      <c r="AY93" s="695"/>
      <c r="AZ93" s="695"/>
      <c r="BA93" s="695"/>
      <c r="BB93" s="695"/>
      <c r="BC93" s="695"/>
      <c r="BD93" s="695"/>
      <c r="BE93" s="695"/>
      <c r="BF93" s="695"/>
      <c r="BG93" s="695"/>
      <c r="BH93" s="695"/>
      <c r="BI93" s="695"/>
      <c r="BJ93" s="695"/>
      <c r="BK93" s="695"/>
      <c r="BL93" s="695"/>
      <c r="BM93" s="695"/>
      <c r="BN93" s="695"/>
      <c r="BO93" s="695"/>
      <c r="BP93" s="695"/>
      <c r="BQ93" s="695"/>
      <c r="BR93" s="695"/>
      <c r="BS93" s="695"/>
      <c r="BT93" s="696"/>
    </row>
    <row r="94" spans="2:73">
      <c r="B94" s="690"/>
      <c r="C94" s="690"/>
      <c r="D94" s="690"/>
      <c r="E94" s="690"/>
      <c r="F94" s="690"/>
      <c r="G94" s="690"/>
      <c r="H94" s="690"/>
      <c r="I94" s="644"/>
      <c r="J94" s="644"/>
      <c r="K94" s="633"/>
      <c r="L94" s="694"/>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6"/>
      <c r="AP94" s="633"/>
      <c r="AQ94" s="694"/>
      <c r="AR94" s="695"/>
      <c r="AS94" s="695"/>
      <c r="AT94" s="695"/>
      <c r="AU94" s="695"/>
      <c r="AV94" s="695"/>
      <c r="AW94" s="695"/>
      <c r="AX94" s="695"/>
      <c r="AY94" s="695"/>
      <c r="AZ94" s="695"/>
      <c r="BA94" s="695"/>
      <c r="BB94" s="695"/>
      <c r="BC94" s="695"/>
      <c r="BD94" s="695"/>
      <c r="BE94" s="695"/>
      <c r="BF94" s="695"/>
      <c r="BG94" s="695"/>
      <c r="BH94" s="695"/>
      <c r="BI94" s="695"/>
      <c r="BJ94" s="695"/>
      <c r="BK94" s="695"/>
      <c r="BL94" s="695"/>
      <c r="BM94" s="695"/>
      <c r="BN94" s="695"/>
      <c r="BO94" s="695"/>
      <c r="BP94" s="695"/>
      <c r="BQ94" s="695"/>
      <c r="BR94" s="695"/>
      <c r="BS94" s="695"/>
      <c r="BT94" s="696"/>
    </row>
    <row r="95" spans="2:73">
      <c r="B95" s="690"/>
      <c r="C95" s="690"/>
      <c r="D95" s="690"/>
      <c r="E95" s="690"/>
      <c r="F95" s="690"/>
      <c r="G95" s="690"/>
      <c r="H95" s="690"/>
      <c r="I95" s="644"/>
      <c r="J95" s="644"/>
      <c r="K95" s="633"/>
      <c r="L95" s="694"/>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6"/>
      <c r="AP95" s="633"/>
      <c r="AQ95" s="694"/>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695"/>
      <c r="BS95" s="695"/>
      <c r="BT95" s="696"/>
    </row>
    <row r="96" spans="2:73">
      <c r="B96" s="690"/>
      <c r="C96" s="690"/>
      <c r="D96" s="690"/>
      <c r="E96" s="690"/>
      <c r="F96" s="690"/>
      <c r="G96" s="690"/>
      <c r="H96" s="690"/>
      <c r="I96" s="644"/>
      <c r="J96" s="644"/>
      <c r="K96" s="633"/>
      <c r="L96" s="694"/>
      <c r="M96" s="695"/>
      <c r="N96" s="695"/>
      <c r="O96" s="695"/>
      <c r="P96" s="695"/>
      <c r="Q96" s="695"/>
      <c r="R96" s="695"/>
      <c r="S96" s="695"/>
      <c r="T96" s="695"/>
      <c r="U96" s="695"/>
      <c r="V96" s="695"/>
      <c r="W96" s="695"/>
      <c r="X96" s="695"/>
      <c r="Y96" s="695"/>
      <c r="Z96" s="695"/>
      <c r="AA96" s="695"/>
      <c r="AB96" s="695"/>
      <c r="AC96" s="695"/>
      <c r="AD96" s="695"/>
      <c r="AE96" s="695"/>
      <c r="AF96" s="695"/>
      <c r="AG96" s="695"/>
      <c r="AH96" s="695"/>
      <c r="AI96" s="695"/>
      <c r="AJ96" s="695"/>
      <c r="AK96" s="695"/>
      <c r="AL96" s="695"/>
      <c r="AM96" s="695"/>
      <c r="AN96" s="695"/>
      <c r="AO96" s="696"/>
      <c r="AP96" s="633"/>
      <c r="AQ96" s="694"/>
      <c r="AR96" s="695"/>
      <c r="AS96" s="695"/>
      <c r="AT96" s="695"/>
      <c r="AU96" s="695"/>
      <c r="AV96" s="695"/>
      <c r="AW96" s="695"/>
      <c r="AX96" s="695"/>
      <c r="AY96" s="695"/>
      <c r="AZ96" s="695"/>
      <c r="BA96" s="695"/>
      <c r="BB96" s="695"/>
      <c r="BC96" s="695"/>
      <c r="BD96" s="695"/>
      <c r="BE96" s="695"/>
      <c r="BF96" s="695"/>
      <c r="BG96" s="695"/>
      <c r="BH96" s="695"/>
      <c r="BI96" s="695"/>
      <c r="BJ96" s="695"/>
      <c r="BK96" s="695"/>
      <c r="BL96" s="695"/>
      <c r="BM96" s="695"/>
      <c r="BN96" s="695"/>
      <c r="BO96" s="695"/>
      <c r="BP96" s="695"/>
      <c r="BQ96" s="695"/>
      <c r="BR96" s="695"/>
      <c r="BS96" s="695"/>
      <c r="BT96" s="696"/>
    </row>
    <row r="97" spans="2:73">
      <c r="B97" s="690"/>
      <c r="C97" s="690"/>
      <c r="D97" s="690"/>
      <c r="E97" s="690"/>
      <c r="F97" s="690"/>
      <c r="G97" s="690"/>
      <c r="H97" s="690"/>
      <c r="I97" s="644"/>
      <c r="J97" s="644"/>
      <c r="K97" s="633"/>
      <c r="L97" s="694"/>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6"/>
      <c r="AP97" s="633"/>
      <c r="AQ97" s="694"/>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c r="BN97" s="695"/>
      <c r="BO97" s="695"/>
      <c r="BP97" s="695"/>
      <c r="BQ97" s="695"/>
      <c r="BR97" s="695"/>
      <c r="BS97" s="695"/>
      <c r="BT97" s="696"/>
    </row>
    <row r="98" spans="2:73" ht="15.75">
      <c r="B98" s="690"/>
      <c r="C98" s="690"/>
      <c r="D98" s="690"/>
      <c r="E98" s="690"/>
      <c r="F98" s="690"/>
      <c r="G98" s="690"/>
      <c r="H98" s="690"/>
      <c r="I98" s="644"/>
      <c r="J98" s="644"/>
      <c r="K98" s="633"/>
      <c r="L98" s="694"/>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6"/>
      <c r="AP98" s="633"/>
      <c r="AQ98" s="694"/>
      <c r="AR98" s="695"/>
      <c r="AS98" s="695"/>
      <c r="AT98" s="695"/>
      <c r="AU98" s="695"/>
      <c r="AV98" s="695"/>
      <c r="AW98" s="695"/>
      <c r="AX98" s="695"/>
      <c r="AY98" s="695"/>
      <c r="AZ98" s="695"/>
      <c r="BA98" s="695"/>
      <c r="BB98" s="695"/>
      <c r="BC98" s="695"/>
      <c r="BD98" s="695"/>
      <c r="BE98" s="695"/>
      <c r="BF98" s="695"/>
      <c r="BG98" s="695"/>
      <c r="BH98" s="695"/>
      <c r="BI98" s="695"/>
      <c r="BJ98" s="695"/>
      <c r="BK98" s="695"/>
      <c r="BL98" s="695"/>
      <c r="BM98" s="695"/>
      <c r="BN98" s="695"/>
      <c r="BO98" s="695"/>
      <c r="BP98" s="695"/>
      <c r="BQ98" s="695"/>
      <c r="BR98" s="695"/>
      <c r="BS98" s="695"/>
      <c r="BT98" s="696"/>
      <c r="BU98" s="165"/>
    </row>
    <row r="99" spans="2:73" ht="15.75">
      <c r="B99" s="690"/>
      <c r="C99" s="690"/>
      <c r="D99" s="690"/>
      <c r="E99" s="690"/>
      <c r="F99" s="690"/>
      <c r="G99" s="690"/>
      <c r="H99" s="690"/>
      <c r="I99" s="644"/>
      <c r="J99" s="644"/>
      <c r="K99" s="633"/>
      <c r="L99" s="694"/>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695"/>
      <c r="AK99" s="695"/>
      <c r="AL99" s="695"/>
      <c r="AM99" s="695"/>
      <c r="AN99" s="695"/>
      <c r="AO99" s="696"/>
      <c r="AP99" s="633"/>
      <c r="AQ99" s="694"/>
      <c r="AR99" s="695"/>
      <c r="AS99" s="695"/>
      <c r="AT99" s="695"/>
      <c r="AU99" s="695"/>
      <c r="AV99" s="695"/>
      <c r="AW99" s="695"/>
      <c r="AX99" s="695"/>
      <c r="AY99" s="695"/>
      <c r="AZ99" s="695"/>
      <c r="BA99" s="695"/>
      <c r="BB99" s="695"/>
      <c r="BC99" s="695"/>
      <c r="BD99" s="695"/>
      <c r="BE99" s="695"/>
      <c r="BF99" s="695"/>
      <c r="BG99" s="695"/>
      <c r="BH99" s="695"/>
      <c r="BI99" s="695"/>
      <c r="BJ99" s="695"/>
      <c r="BK99" s="695"/>
      <c r="BL99" s="695"/>
      <c r="BM99" s="695"/>
      <c r="BN99" s="695"/>
      <c r="BO99" s="695"/>
      <c r="BP99" s="695"/>
      <c r="BQ99" s="695"/>
      <c r="BR99" s="695"/>
      <c r="BS99" s="695"/>
      <c r="BT99" s="696"/>
      <c r="BU99" s="165"/>
    </row>
    <row r="100" spans="2:73" ht="15.75">
      <c r="B100" s="690"/>
      <c r="C100" s="690"/>
      <c r="D100" s="690"/>
      <c r="E100" s="690"/>
      <c r="F100" s="690"/>
      <c r="G100" s="690"/>
      <c r="H100" s="690"/>
      <c r="I100" s="644"/>
      <c r="J100" s="644"/>
      <c r="K100" s="633"/>
      <c r="L100" s="694"/>
      <c r="M100" s="695"/>
      <c r="N100" s="695"/>
      <c r="O100" s="695"/>
      <c r="P100" s="695"/>
      <c r="Q100" s="695"/>
      <c r="R100" s="695"/>
      <c r="S100" s="695"/>
      <c r="T100" s="695"/>
      <c r="U100" s="695"/>
      <c r="V100" s="695"/>
      <c r="W100" s="695"/>
      <c r="X100" s="695"/>
      <c r="Y100" s="695"/>
      <c r="Z100" s="695"/>
      <c r="AA100" s="695"/>
      <c r="AB100" s="695"/>
      <c r="AC100" s="695"/>
      <c r="AD100" s="695"/>
      <c r="AE100" s="695"/>
      <c r="AF100" s="695"/>
      <c r="AG100" s="695"/>
      <c r="AH100" s="695"/>
      <c r="AI100" s="695"/>
      <c r="AJ100" s="695"/>
      <c r="AK100" s="695"/>
      <c r="AL100" s="695"/>
      <c r="AM100" s="695"/>
      <c r="AN100" s="695"/>
      <c r="AO100" s="696"/>
      <c r="AP100" s="633"/>
      <c r="AQ100" s="694"/>
      <c r="AR100" s="695"/>
      <c r="AS100" s="695"/>
      <c r="AT100" s="695"/>
      <c r="AU100" s="695"/>
      <c r="AV100" s="695"/>
      <c r="AW100" s="695"/>
      <c r="AX100" s="695"/>
      <c r="AY100" s="695"/>
      <c r="AZ100" s="695"/>
      <c r="BA100" s="695"/>
      <c r="BB100" s="695"/>
      <c r="BC100" s="695"/>
      <c r="BD100" s="695"/>
      <c r="BE100" s="695"/>
      <c r="BF100" s="695"/>
      <c r="BG100" s="695"/>
      <c r="BH100" s="695"/>
      <c r="BI100" s="695"/>
      <c r="BJ100" s="695"/>
      <c r="BK100" s="695"/>
      <c r="BL100" s="695"/>
      <c r="BM100" s="695"/>
      <c r="BN100" s="695"/>
      <c r="BO100" s="695"/>
      <c r="BP100" s="695"/>
      <c r="BQ100" s="695"/>
      <c r="BR100" s="695"/>
      <c r="BS100" s="695"/>
      <c r="BT100" s="696"/>
      <c r="BU100" s="165"/>
    </row>
    <row r="101" spans="2:73">
      <c r="B101" s="690"/>
      <c r="C101" s="690"/>
      <c r="D101" s="690"/>
      <c r="E101" s="690"/>
      <c r="F101" s="690"/>
      <c r="G101" s="690"/>
      <c r="H101" s="690"/>
      <c r="I101" s="644"/>
      <c r="J101" s="644"/>
      <c r="K101" s="633"/>
      <c r="L101" s="694"/>
      <c r="M101" s="695"/>
      <c r="N101" s="695"/>
      <c r="O101" s="695"/>
      <c r="P101" s="695"/>
      <c r="Q101" s="695"/>
      <c r="R101" s="695"/>
      <c r="S101" s="695"/>
      <c r="T101" s="695"/>
      <c r="U101" s="695"/>
      <c r="V101" s="695"/>
      <c r="W101" s="695"/>
      <c r="X101" s="695"/>
      <c r="Y101" s="695"/>
      <c r="Z101" s="695"/>
      <c r="AA101" s="695"/>
      <c r="AB101" s="695"/>
      <c r="AC101" s="695"/>
      <c r="AD101" s="695"/>
      <c r="AE101" s="695"/>
      <c r="AF101" s="695"/>
      <c r="AG101" s="695"/>
      <c r="AH101" s="695"/>
      <c r="AI101" s="695"/>
      <c r="AJ101" s="695"/>
      <c r="AK101" s="695"/>
      <c r="AL101" s="695"/>
      <c r="AM101" s="695"/>
      <c r="AN101" s="695"/>
      <c r="AO101" s="696"/>
      <c r="AP101" s="633"/>
      <c r="AQ101" s="694"/>
      <c r="AR101" s="695"/>
      <c r="AS101" s="695"/>
      <c r="AT101" s="695"/>
      <c r="AU101" s="695"/>
      <c r="AV101" s="695"/>
      <c r="AW101" s="695"/>
      <c r="AX101" s="695"/>
      <c r="AY101" s="695"/>
      <c r="AZ101" s="695"/>
      <c r="BA101" s="695"/>
      <c r="BB101" s="695"/>
      <c r="BC101" s="695"/>
      <c r="BD101" s="695"/>
      <c r="BE101" s="695"/>
      <c r="BF101" s="695"/>
      <c r="BG101" s="695"/>
      <c r="BH101" s="695"/>
      <c r="BI101" s="695"/>
      <c r="BJ101" s="695"/>
      <c r="BK101" s="695"/>
      <c r="BL101" s="695"/>
      <c r="BM101" s="695"/>
      <c r="BN101" s="695"/>
      <c r="BO101" s="695"/>
      <c r="BP101" s="695"/>
      <c r="BQ101" s="695"/>
      <c r="BR101" s="695"/>
      <c r="BS101" s="695"/>
      <c r="BT101" s="696"/>
    </row>
    <row r="102" spans="2:73" ht="15.75">
      <c r="B102" s="690"/>
      <c r="C102" s="690"/>
      <c r="D102" s="690"/>
      <c r="E102" s="690"/>
      <c r="F102" s="690"/>
      <c r="G102" s="690"/>
      <c r="H102" s="690"/>
      <c r="I102" s="644"/>
      <c r="J102" s="644"/>
      <c r="K102" s="633"/>
      <c r="L102" s="694"/>
      <c r="M102" s="695"/>
      <c r="N102" s="695"/>
      <c r="O102" s="695"/>
      <c r="P102" s="695"/>
      <c r="Q102" s="695"/>
      <c r="R102" s="695"/>
      <c r="S102" s="695"/>
      <c r="T102" s="695"/>
      <c r="U102" s="695"/>
      <c r="V102" s="695"/>
      <c r="W102" s="695"/>
      <c r="X102" s="695"/>
      <c r="Y102" s="695"/>
      <c r="Z102" s="695"/>
      <c r="AA102" s="695"/>
      <c r="AB102" s="695"/>
      <c r="AC102" s="695"/>
      <c r="AD102" s="695"/>
      <c r="AE102" s="695"/>
      <c r="AF102" s="695"/>
      <c r="AG102" s="695"/>
      <c r="AH102" s="695"/>
      <c r="AI102" s="695"/>
      <c r="AJ102" s="695"/>
      <c r="AK102" s="695"/>
      <c r="AL102" s="695"/>
      <c r="AM102" s="695"/>
      <c r="AN102" s="695"/>
      <c r="AO102" s="696"/>
      <c r="AP102" s="633"/>
      <c r="AQ102" s="694"/>
      <c r="AR102" s="695"/>
      <c r="AS102" s="695"/>
      <c r="AT102" s="695"/>
      <c r="AU102" s="695"/>
      <c r="AV102" s="695"/>
      <c r="AW102" s="695"/>
      <c r="AX102" s="695"/>
      <c r="AY102" s="695"/>
      <c r="AZ102" s="695"/>
      <c r="BA102" s="695"/>
      <c r="BB102" s="695"/>
      <c r="BC102" s="695"/>
      <c r="BD102" s="695"/>
      <c r="BE102" s="695"/>
      <c r="BF102" s="695"/>
      <c r="BG102" s="695"/>
      <c r="BH102" s="695"/>
      <c r="BI102" s="695"/>
      <c r="BJ102" s="695"/>
      <c r="BK102" s="695"/>
      <c r="BL102" s="695"/>
      <c r="BM102" s="695"/>
      <c r="BN102" s="695"/>
      <c r="BO102" s="695"/>
      <c r="BP102" s="695"/>
      <c r="BQ102" s="695"/>
      <c r="BR102" s="695"/>
      <c r="BS102" s="695"/>
      <c r="BT102" s="696"/>
      <c r="BU102" s="165"/>
    </row>
    <row r="103" spans="2:73" ht="15.75">
      <c r="B103" s="690"/>
      <c r="C103" s="690"/>
      <c r="D103" s="690"/>
      <c r="E103" s="690"/>
      <c r="F103" s="690"/>
      <c r="G103" s="690"/>
      <c r="H103" s="690"/>
      <c r="I103" s="644"/>
      <c r="J103" s="644"/>
      <c r="K103" s="633"/>
      <c r="L103" s="694"/>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5"/>
      <c r="AL103" s="695"/>
      <c r="AM103" s="695"/>
      <c r="AN103" s="695"/>
      <c r="AO103" s="696"/>
      <c r="AP103" s="633"/>
      <c r="AQ103" s="694"/>
      <c r="AR103" s="695"/>
      <c r="AS103" s="695"/>
      <c r="AT103" s="695"/>
      <c r="AU103" s="695"/>
      <c r="AV103" s="695"/>
      <c r="AW103" s="695"/>
      <c r="AX103" s="695"/>
      <c r="AY103" s="695"/>
      <c r="AZ103" s="695"/>
      <c r="BA103" s="695"/>
      <c r="BB103" s="695"/>
      <c r="BC103" s="695"/>
      <c r="BD103" s="695"/>
      <c r="BE103" s="695"/>
      <c r="BF103" s="695"/>
      <c r="BG103" s="695"/>
      <c r="BH103" s="695"/>
      <c r="BI103" s="695"/>
      <c r="BJ103" s="695"/>
      <c r="BK103" s="695"/>
      <c r="BL103" s="695"/>
      <c r="BM103" s="695"/>
      <c r="BN103" s="695"/>
      <c r="BO103" s="695"/>
      <c r="BP103" s="695"/>
      <c r="BQ103" s="695"/>
      <c r="BR103" s="695"/>
      <c r="BS103" s="695"/>
      <c r="BT103" s="696"/>
      <c r="BU103" s="165"/>
    </row>
    <row r="104" spans="2:73" ht="15.75">
      <c r="B104" s="690"/>
      <c r="C104" s="690"/>
      <c r="D104" s="690"/>
      <c r="E104" s="690"/>
      <c r="F104" s="690"/>
      <c r="G104" s="690"/>
      <c r="H104" s="690"/>
      <c r="I104" s="644"/>
      <c r="J104" s="644"/>
      <c r="K104" s="633"/>
      <c r="L104" s="694"/>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6"/>
      <c r="AP104" s="633"/>
      <c r="AQ104" s="694"/>
      <c r="AR104" s="695"/>
      <c r="AS104" s="695"/>
      <c r="AT104" s="695"/>
      <c r="AU104" s="695"/>
      <c r="AV104" s="695"/>
      <c r="AW104" s="695"/>
      <c r="AX104" s="695"/>
      <c r="AY104" s="695"/>
      <c r="AZ104" s="695"/>
      <c r="BA104" s="695"/>
      <c r="BB104" s="695"/>
      <c r="BC104" s="695"/>
      <c r="BD104" s="695"/>
      <c r="BE104" s="695"/>
      <c r="BF104" s="695"/>
      <c r="BG104" s="695"/>
      <c r="BH104" s="695"/>
      <c r="BI104" s="695"/>
      <c r="BJ104" s="695"/>
      <c r="BK104" s="695"/>
      <c r="BL104" s="695"/>
      <c r="BM104" s="695"/>
      <c r="BN104" s="695"/>
      <c r="BO104" s="695"/>
      <c r="BP104" s="695"/>
      <c r="BQ104" s="695"/>
      <c r="BR104" s="695"/>
      <c r="BS104" s="695"/>
      <c r="BT104" s="696"/>
      <c r="BU104" s="165"/>
    </row>
    <row r="105" spans="2:73" ht="15.75">
      <c r="B105" s="690"/>
      <c r="C105" s="690"/>
      <c r="D105" s="690"/>
      <c r="E105" s="690"/>
      <c r="F105" s="690"/>
      <c r="G105" s="690"/>
      <c r="H105" s="690"/>
      <c r="I105" s="644"/>
      <c r="J105" s="644"/>
      <c r="K105" s="633"/>
      <c r="L105" s="694"/>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6"/>
      <c r="AP105" s="633"/>
      <c r="AQ105" s="694"/>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6"/>
      <c r="BU105" s="165"/>
    </row>
    <row r="106" spans="2:73" ht="15.75">
      <c r="B106" s="690"/>
      <c r="C106" s="690"/>
      <c r="D106" s="690"/>
      <c r="E106" s="690"/>
      <c r="F106" s="690"/>
      <c r="G106" s="690"/>
      <c r="H106" s="690"/>
      <c r="I106" s="644"/>
      <c r="J106" s="644"/>
      <c r="K106" s="633"/>
      <c r="L106" s="694"/>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6"/>
      <c r="AP106" s="633"/>
      <c r="AQ106" s="694"/>
      <c r="AR106" s="695"/>
      <c r="AS106" s="695"/>
      <c r="AT106" s="695"/>
      <c r="AU106" s="695"/>
      <c r="AV106" s="695"/>
      <c r="AW106" s="695"/>
      <c r="AX106" s="695"/>
      <c r="AY106" s="695"/>
      <c r="AZ106" s="695"/>
      <c r="BA106" s="695"/>
      <c r="BB106" s="695"/>
      <c r="BC106" s="695"/>
      <c r="BD106" s="695"/>
      <c r="BE106" s="695"/>
      <c r="BF106" s="695"/>
      <c r="BG106" s="695"/>
      <c r="BH106" s="695"/>
      <c r="BI106" s="695"/>
      <c r="BJ106" s="695"/>
      <c r="BK106" s="695"/>
      <c r="BL106" s="695"/>
      <c r="BM106" s="695"/>
      <c r="BN106" s="695"/>
      <c r="BO106" s="695"/>
      <c r="BP106" s="695"/>
      <c r="BQ106" s="695"/>
      <c r="BR106" s="695"/>
      <c r="BS106" s="695"/>
      <c r="BT106" s="696"/>
      <c r="BU106" s="165"/>
    </row>
    <row r="107" spans="2:73" ht="15.75">
      <c r="B107" s="690"/>
      <c r="C107" s="690"/>
      <c r="D107" s="690"/>
      <c r="E107" s="690"/>
      <c r="F107" s="690"/>
      <c r="G107" s="690"/>
      <c r="H107" s="690"/>
      <c r="I107" s="644"/>
      <c r="J107" s="644"/>
      <c r="K107" s="633"/>
      <c r="L107" s="694"/>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6"/>
      <c r="AP107" s="633"/>
      <c r="AQ107" s="697"/>
      <c r="AR107" s="698"/>
      <c r="AS107" s="698"/>
      <c r="AT107" s="698"/>
      <c r="AU107" s="698"/>
      <c r="AV107" s="698"/>
      <c r="AW107" s="698"/>
      <c r="AX107" s="698"/>
      <c r="AY107" s="698"/>
      <c r="AZ107" s="698"/>
      <c r="BA107" s="698"/>
      <c r="BB107" s="698"/>
      <c r="BC107" s="698"/>
      <c r="BD107" s="698"/>
      <c r="BE107" s="698"/>
      <c r="BF107" s="698"/>
      <c r="BG107" s="698"/>
      <c r="BH107" s="698"/>
      <c r="BI107" s="698"/>
      <c r="BJ107" s="698"/>
      <c r="BK107" s="698"/>
      <c r="BL107" s="698"/>
      <c r="BM107" s="698"/>
      <c r="BN107" s="698"/>
      <c r="BO107" s="698"/>
      <c r="BP107" s="698"/>
      <c r="BQ107" s="698"/>
      <c r="BR107" s="698"/>
      <c r="BS107" s="698"/>
      <c r="BT107" s="699"/>
      <c r="BU107" s="165"/>
    </row>
    <row r="108" spans="2:73" ht="15.75">
      <c r="B108" s="690"/>
      <c r="C108" s="690"/>
      <c r="D108" s="690"/>
      <c r="E108" s="690"/>
      <c r="F108" s="690"/>
      <c r="G108" s="690"/>
      <c r="H108" s="690"/>
      <c r="I108" s="644"/>
      <c r="J108" s="644"/>
      <c r="K108" s="633"/>
      <c r="L108" s="694"/>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6"/>
      <c r="AP108" s="633"/>
      <c r="AQ108" s="691"/>
      <c r="AR108" s="692"/>
      <c r="AS108" s="692"/>
      <c r="AT108" s="692"/>
      <c r="AU108" s="692"/>
      <c r="AV108" s="692"/>
      <c r="AW108" s="692"/>
      <c r="AX108" s="692"/>
      <c r="AY108" s="692"/>
      <c r="AZ108" s="692"/>
      <c r="BA108" s="692"/>
      <c r="BB108" s="692"/>
      <c r="BC108" s="692"/>
      <c r="BD108" s="692"/>
      <c r="BE108" s="692"/>
      <c r="BF108" s="692"/>
      <c r="BG108" s="692"/>
      <c r="BH108" s="692"/>
      <c r="BI108" s="692"/>
      <c r="BJ108" s="692"/>
      <c r="BK108" s="692"/>
      <c r="BL108" s="692"/>
      <c r="BM108" s="692"/>
      <c r="BN108" s="692"/>
      <c r="BO108" s="692"/>
      <c r="BP108" s="692"/>
      <c r="BQ108" s="692"/>
      <c r="BR108" s="692"/>
      <c r="BS108" s="692"/>
      <c r="BT108" s="693"/>
      <c r="BU108" s="165"/>
    </row>
    <row r="109" spans="2:73" ht="15.75">
      <c r="B109" s="690"/>
      <c r="C109" s="690"/>
      <c r="D109" s="690"/>
      <c r="E109" s="690"/>
      <c r="F109" s="690"/>
      <c r="G109" s="690"/>
      <c r="H109" s="690"/>
      <c r="I109" s="644"/>
      <c r="J109" s="644"/>
      <c r="K109" s="633"/>
      <c r="L109" s="69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6"/>
      <c r="AP109" s="633"/>
      <c r="AQ109" s="694"/>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c r="BL109" s="695"/>
      <c r="BM109" s="695"/>
      <c r="BN109" s="695"/>
      <c r="BO109" s="695"/>
      <c r="BP109" s="695"/>
      <c r="BQ109" s="695"/>
      <c r="BR109" s="695"/>
      <c r="BS109" s="695"/>
      <c r="BT109" s="696"/>
      <c r="BU109" s="165"/>
    </row>
    <row r="110" spans="2:73" ht="15.75">
      <c r="B110" s="690"/>
      <c r="C110" s="690"/>
      <c r="D110" s="690"/>
      <c r="E110" s="690"/>
      <c r="F110" s="690"/>
      <c r="G110" s="690"/>
      <c r="H110" s="690"/>
      <c r="I110" s="644"/>
      <c r="J110" s="644"/>
      <c r="K110" s="633"/>
      <c r="L110" s="694"/>
      <c r="M110" s="695"/>
      <c r="N110" s="695"/>
      <c r="O110" s="695"/>
      <c r="P110" s="695"/>
      <c r="Q110" s="695"/>
      <c r="R110" s="695"/>
      <c r="S110" s="695"/>
      <c r="T110" s="695"/>
      <c r="U110" s="695"/>
      <c r="V110" s="695"/>
      <c r="W110" s="695"/>
      <c r="X110" s="695"/>
      <c r="Y110" s="695"/>
      <c r="Z110" s="695"/>
      <c r="AA110" s="695"/>
      <c r="AB110" s="695"/>
      <c r="AC110" s="695"/>
      <c r="AD110" s="695"/>
      <c r="AE110" s="695"/>
      <c r="AF110" s="695"/>
      <c r="AG110" s="695"/>
      <c r="AH110" s="695"/>
      <c r="AI110" s="695"/>
      <c r="AJ110" s="695"/>
      <c r="AK110" s="695"/>
      <c r="AL110" s="695"/>
      <c r="AM110" s="695"/>
      <c r="AN110" s="695"/>
      <c r="AO110" s="696"/>
      <c r="AP110" s="633"/>
      <c r="AQ110" s="694"/>
      <c r="AR110" s="695"/>
      <c r="AS110" s="695"/>
      <c r="AT110" s="695"/>
      <c r="AU110" s="695"/>
      <c r="AV110" s="695"/>
      <c r="AW110" s="695"/>
      <c r="AX110" s="695"/>
      <c r="AY110" s="695"/>
      <c r="AZ110" s="695"/>
      <c r="BA110" s="695"/>
      <c r="BB110" s="695"/>
      <c r="BC110" s="695"/>
      <c r="BD110" s="695"/>
      <c r="BE110" s="695"/>
      <c r="BF110" s="695"/>
      <c r="BG110" s="695"/>
      <c r="BH110" s="695"/>
      <c r="BI110" s="695"/>
      <c r="BJ110" s="695"/>
      <c r="BK110" s="695"/>
      <c r="BL110" s="695"/>
      <c r="BM110" s="695"/>
      <c r="BN110" s="695"/>
      <c r="BO110" s="695"/>
      <c r="BP110" s="695"/>
      <c r="BQ110" s="695"/>
      <c r="BR110" s="695"/>
      <c r="BS110" s="695"/>
      <c r="BT110" s="696"/>
      <c r="BU110" s="165"/>
    </row>
    <row r="111" spans="2:73" ht="15.75">
      <c r="B111" s="690"/>
      <c r="C111" s="690"/>
      <c r="D111" s="690"/>
      <c r="E111" s="690"/>
      <c r="F111" s="690"/>
      <c r="G111" s="690"/>
      <c r="H111" s="690"/>
      <c r="I111" s="644"/>
      <c r="J111" s="644"/>
      <c r="K111" s="633"/>
      <c r="L111" s="694"/>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695"/>
      <c r="AL111" s="695"/>
      <c r="AM111" s="695"/>
      <c r="AN111" s="695"/>
      <c r="AO111" s="696"/>
      <c r="AP111" s="633"/>
      <c r="AQ111" s="694"/>
      <c r="AR111" s="695"/>
      <c r="AS111" s="695"/>
      <c r="AT111" s="695"/>
      <c r="AU111" s="695"/>
      <c r="AV111" s="695"/>
      <c r="AW111" s="695"/>
      <c r="AX111" s="695"/>
      <c r="AY111" s="695"/>
      <c r="AZ111" s="695"/>
      <c r="BA111" s="695"/>
      <c r="BB111" s="695"/>
      <c r="BC111" s="695"/>
      <c r="BD111" s="695"/>
      <c r="BE111" s="695"/>
      <c r="BF111" s="695"/>
      <c r="BG111" s="695"/>
      <c r="BH111" s="695"/>
      <c r="BI111" s="695"/>
      <c r="BJ111" s="695"/>
      <c r="BK111" s="695"/>
      <c r="BL111" s="695"/>
      <c r="BM111" s="695"/>
      <c r="BN111" s="695"/>
      <c r="BO111" s="695"/>
      <c r="BP111" s="695"/>
      <c r="BQ111" s="695"/>
      <c r="BR111" s="695"/>
      <c r="BS111" s="695"/>
      <c r="BT111" s="696"/>
      <c r="BU111" s="165"/>
    </row>
    <row r="112" spans="2:73">
      <c r="B112" s="690"/>
      <c r="C112" s="690"/>
      <c r="D112" s="690"/>
      <c r="E112" s="690"/>
      <c r="F112" s="690"/>
      <c r="G112" s="690"/>
      <c r="H112" s="690"/>
      <c r="I112" s="644"/>
      <c r="J112" s="644"/>
      <c r="K112" s="633"/>
      <c r="L112" s="694"/>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6"/>
      <c r="AP112" s="633"/>
      <c r="AQ112" s="694"/>
      <c r="AR112" s="695"/>
      <c r="AS112" s="695"/>
      <c r="AT112" s="695"/>
      <c r="AU112" s="695"/>
      <c r="AV112" s="695"/>
      <c r="AW112" s="695"/>
      <c r="AX112" s="695"/>
      <c r="AY112" s="695"/>
      <c r="AZ112" s="695"/>
      <c r="BA112" s="695"/>
      <c r="BB112" s="695"/>
      <c r="BC112" s="695"/>
      <c r="BD112" s="695"/>
      <c r="BE112" s="695"/>
      <c r="BF112" s="695"/>
      <c r="BG112" s="695"/>
      <c r="BH112" s="695"/>
      <c r="BI112" s="695"/>
      <c r="BJ112" s="695"/>
      <c r="BK112" s="695"/>
      <c r="BL112" s="695"/>
      <c r="BM112" s="695"/>
      <c r="BN112" s="695"/>
      <c r="BO112" s="695"/>
      <c r="BP112" s="695"/>
      <c r="BQ112" s="695"/>
      <c r="BR112" s="695"/>
      <c r="BS112" s="695"/>
      <c r="BT112" s="696"/>
    </row>
    <row r="113" spans="2:73">
      <c r="B113" s="690"/>
      <c r="C113" s="690"/>
      <c r="D113" s="690"/>
      <c r="E113" s="690"/>
      <c r="F113" s="690"/>
      <c r="G113" s="690"/>
      <c r="H113" s="690"/>
      <c r="I113" s="644"/>
      <c r="J113" s="644"/>
      <c r="K113" s="633"/>
      <c r="L113" s="694"/>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6"/>
      <c r="AP113" s="633"/>
      <c r="AQ113" s="694"/>
      <c r="AR113" s="695"/>
      <c r="AS113" s="695"/>
      <c r="AT113" s="695"/>
      <c r="AU113" s="695"/>
      <c r="AV113" s="695"/>
      <c r="AW113" s="695"/>
      <c r="AX113" s="695"/>
      <c r="AY113" s="695"/>
      <c r="AZ113" s="695"/>
      <c r="BA113" s="695"/>
      <c r="BB113" s="695"/>
      <c r="BC113" s="695"/>
      <c r="BD113" s="695"/>
      <c r="BE113" s="695"/>
      <c r="BF113" s="695"/>
      <c r="BG113" s="695"/>
      <c r="BH113" s="695"/>
      <c r="BI113" s="695"/>
      <c r="BJ113" s="695"/>
      <c r="BK113" s="695"/>
      <c r="BL113" s="695"/>
      <c r="BM113" s="695"/>
      <c r="BN113" s="695"/>
      <c r="BO113" s="695"/>
      <c r="BP113" s="695"/>
      <c r="BQ113" s="695"/>
      <c r="BR113" s="695"/>
      <c r="BS113" s="695"/>
      <c r="BT113" s="696"/>
    </row>
    <row r="114" spans="2:73">
      <c r="B114" s="690"/>
      <c r="C114" s="690"/>
      <c r="D114" s="690"/>
      <c r="E114" s="690"/>
      <c r="F114" s="690"/>
      <c r="G114" s="690"/>
      <c r="H114" s="690"/>
      <c r="I114" s="644"/>
      <c r="J114" s="644"/>
      <c r="K114" s="633"/>
      <c r="L114" s="694"/>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6"/>
      <c r="AP114" s="633"/>
      <c r="AQ114" s="694"/>
      <c r="AR114" s="695"/>
      <c r="AS114" s="695"/>
      <c r="AT114" s="695"/>
      <c r="AU114" s="695"/>
      <c r="AV114" s="695"/>
      <c r="AW114" s="695"/>
      <c r="AX114" s="695"/>
      <c r="AY114" s="695"/>
      <c r="AZ114" s="695"/>
      <c r="BA114" s="695"/>
      <c r="BB114" s="695"/>
      <c r="BC114" s="695"/>
      <c r="BD114" s="695"/>
      <c r="BE114" s="695"/>
      <c r="BF114" s="695"/>
      <c r="BG114" s="695"/>
      <c r="BH114" s="695"/>
      <c r="BI114" s="695"/>
      <c r="BJ114" s="695"/>
      <c r="BK114" s="695"/>
      <c r="BL114" s="695"/>
      <c r="BM114" s="695"/>
      <c r="BN114" s="695"/>
      <c r="BO114" s="695"/>
      <c r="BP114" s="695"/>
      <c r="BQ114" s="695"/>
      <c r="BR114" s="695"/>
      <c r="BS114" s="695"/>
      <c r="BT114" s="696"/>
    </row>
    <row r="115" spans="2:73" ht="15.75">
      <c r="B115" s="690"/>
      <c r="C115" s="690"/>
      <c r="D115" s="690"/>
      <c r="E115" s="690"/>
      <c r="F115" s="690"/>
      <c r="G115" s="690"/>
      <c r="H115" s="690"/>
      <c r="I115" s="644"/>
      <c r="J115" s="644"/>
      <c r="K115" s="633"/>
      <c r="L115" s="694"/>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6"/>
      <c r="AP115" s="633"/>
      <c r="AQ115" s="694"/>
      <c r="AR115" s="695"/>
      <c r="AS115" s="695"/>
      <c r="AT115" s="695"/>
      <c r="AU115" s="695"/>
      <c r="AV115" s="695"/>
      <c r="AW115" s="695"/>
      <c r="AX115" s="695"/>
      <c r="AY115" s="695"/>
      <c r="AZ115" s="695"/>
      <c r="BA115" s="695"/>
      <c r="BB115" s="695"/>
      <c r="BC115" s="695"/>
      <c r="BD115" s="695"/>
      <c r="BE115" s="695"/>
      <c r="BF115" s="695"/>
      <c r="BG115" s="695"/>
      <c r="BH115" s="695"/>
      <c r="BI115" s="695"/>
      <c r="BJ115" s="695"/>
      <c r="BK115" s="695"/>
      <c r="BL115" s="695"/>
      <c r="BM115" s="695"/>
      <c r="BN115" s="695"/>
      <c r="BO115" s="695"/>
      <c r="BP115" s="695"/>
      <c r="BQ115" s="695"/>
      <c r="BR115" s="695"/>
      <c r="BS115" s="695"/>
      <c r="BT115" s="696"/>
      <c r="BU115" s="165"/>
    </row>
    <row r="116" spans="2:73" ht="15.75">
      <c r="B116" s="690"/>
      <c r="C116" s="690"/>
      <c r="D116" s="690"/>
      <c r="E116" s="690"/>
      <c r="F116" s="690"/>
      <c r="G116" s="690"/>
      <c r="H116" s="690"/>
      <c r="I116" s="644"/>
      <c r="J116" s="644"/>
      <c r="K116" s="633"/>
      <c r="L116" s="694"/>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6"/>
      <c r="AP116" s="633"/>
      <c r="AQ116" s="694"/>
      <c r="AR116" s="695"/>
      <c r="AS116" s="695"/>
      <c r="AT116" s="695"/>
      <c r="AU116" s="695"/>
      <c r="AV116" s="695"/>
      <c r="AW116" s="695"/>
      <c r="AX116" s="695"/>
      <c r="AY116" s="695"/>
      <c r="AZ116" s="695"/>
      <c r="BA116" s="695"/>
      <c r="BB116" s="695"/>
      <c r="BC116" s="695"/>
      <c r="BD116" s="695"/>
      <c r="BE116" s="695"/>
      <c r="BF116" s="695"/>
      <c r="BG116" s="695"/>
      <c r="BH116" s="695"/>
      <c r="BI116" s="695"/>
      <c r="BJ116" s="695"/>
      <c r="BK116" s="695"/>
      <c r="BL116" s="695"/>
      <c r="BM116" s="695"/>
      <c r="BN116" s="695"/>
      <c r="BO116" s="695"/>
      <c r="BP116" s="695"/>
      <c r="BQ116" s="695"/>
      <c r="BR116" s="695"/>
      <c r="BS116" s="695"/>
      <c r="BT116" s="696"/>
      <c r="BU116" s="165"/>
    </row>
    <row r="117" spans="2:73" ht="15.75">
      <c r="B117" s="690"/>
      <c r="C117" s="690"/>
      <c r="D117" s="690"/>
      <c r="E117" s="690"/>
      <c r="F117" s="690"/>
      <c r="G117" s="690"/>
      <c r="H117" s="690"/>
      <c r="I117" s="644"/>
      <c r="J117" s="644"/>
      <c r="K117" s="633"/>
      <c r="L117" s="694"/>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c r="AN117" s="695"/>
      <c r="AO117" s="696"/>
      <c r="AP117" s="633"/>
      <c r="AQ117" s="694"/>
      <c r="AR117" s="695"/>
      <c r="AS117" s="695"/>
      <c r="AT117" s="695"/>
      <c r="AU117" s="695"/>
      <c r="AV117" s="695"/>
      <c r="AW117" s="695"/>
      <c r="AX117" s="695"/>
      <c r="AY117" s="695"/>
      <c r="AZ117" s="695"/>
      <c r="BA117" s="695"/>
      <c r="BB117" s="695"/>
      <c r="BC117" s="695"/>
      <c r="BD117" s="695"/>
      <c r="BE117" s="695"/>
      <c r="BF117" s="695"/>
      <c r="BG117" s="695"/>
      <c r="BH117" s="695"/>
      <c r="BI117" s="695"/>
      <c r="BJ117" s="695"/>
      <c r="BK117" s="695"/>
      <c r="BL117" s="695"/>
      <c r="BM117" s="695"/>
      <c r="BN117" s="695"/>
      <c r="BO117" s="695"/>
      <c r="BP117" s="695"/>
      <c r="BQ117" s="695"/>
      <c r="BR117" s="695"/>
      <c r="BS117" s="695"/>
      <c r="BT117" s="696"/>
      <c r="BU117" s="165"/>
    </row>
    <row r="118" spans="2:73" ht="15.75">
      <c r="B118" s="690"/>
      <c r="C118" s="690"/>
      <c r="D118" s="690"/>
      <c r="E118" s="690"/>
      <c r="F118" s="690"/>
      <c r="G118" s="690"/>
      <c r="H118" s="690"/>
      <c r="I118" s="644"/>
      <c r="J118" s="644"/>
      <c r="K118" s="633"/>
      <c r="L118" s="694"/>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695"/>
      <c r="AL118" s="695"/>
      <c r="AM118" s="695"/>
      <c r="AN118" s="695"/>
      <c r="AO118" s="696"/>
      <c r="AP118" s="633"/>
      <c r="AQ118" s="694"/>
      <c r="AR118" s="695"/>
      <c r="AS118" s="695"/>
      <c r="AT118" s="695"/>
      <c r="AU118" s="695"/>
      <c r="AV118" s="695"/>
      <c r="AW118" s="695"/>
      <c r="AX118" s="695"/>
      <c r="AY118" s="695"/>
      <c r="AZ118" s="695"/>
      <c r="BA118" s="695"/>
      <c r="BB118" s="695"/>
      <c r="BC118" s="695"/>
      <c r="BD118" s="695"/>
      <c r="BE118" s="695"/>
      <c r="BF118" s="695"/>
      <c r="BG118" s="695"/>
      <c r="BH118" s="695"/>
      <c r="BI118" s="695"/>
      <c r="BJ118" s="695"/>
      <c r="BK118" s="695"/>
      <c r="BL118" s="695"/>
      <c r="BM118" s="695"/>
      <c r="BN118" s="695"/>
      <c r="BO118" s="695"/>
      <c r="BP118" s="695"/>
      <c r="BQ118" s="695"/>
      <c r="BR118" s="695"/>
      <c r="BS118" s="695"/>
      <c r="BT118" s="696"/>
      <c r="BU118" s="165"/>
    </row>
    <row r="119" spans="2:73" ht="15.75">
      <c r="B119" s="690"/>
      <c r="C119" s="690"/>
      <c r="D119" s="690"/>
      <c r="E119" s="690"/>
      <c r="F119" s="690"/>
      <c r="G119" s="690"/>
      <c r="H119" s="690"/>
      <c r="I119" s="644"/>
      <c r="J119" s="644"/>
      <c r="K119" s="633"/>
      <c r="L119" s="694"/>
      <c r="M119" s="695"/>
      <c r="N119" s="695"/>
      <c r="O119" s="695"/>
      <c r="P119" s="695"/>
      <c r="Q119" s="695"/>
      <c r="R119" s="695"/>
      <c r="S119" s="695"/>
      <c r="T119" s="695"/>
      <c r="U119" s="695"/>
      <c r="V119" s="695"/>
      <c r="W119" s="695"/>
      <c r="X119" s="695"/>
      <c r="Y119" s="695"/>
      <c r="Z119" s="695"/>
      <c r="AA119" s="695"/>
      <c r="AB119" s="695"/>
      <c r="AC119" s="695"/>
      <c r="AD119" s="695"/>
      <c r="AE119" s="695"/>
      <c r="AF119" s="695"/>
      <c r="AG119" s="695"/>
      <c r="AH119" s="695"/>
      <c r="AI119" s="695"/>
      <c r="AJ119" s="695"/>
      <c r="AK119" s="695"/>
      <c r="AL119" s="695"/>
      <c r="AM119" s="695"/>
      <c r="AN119" s="695"/>
      <c r="AO119" s="696"/>
      <c r="AP119" s="633"/>
      <c r="AQ119" s="694"/>
      <c r="AR119" s="695"/>
      <c r="AS119" s="695"/>
      <c r="AT119" s="695"/>
      <c r="AU119" s="695"/>
      <c r="AV119" s="695"/>
      <c r="AW119" s="695"/>
      <c r="AX119" s="695"/>
      <c r="AY119" s="695"/>
      <c r="AZ119" s="695"/>
      <c r="BA119" s="695"/>
      <c r="BB119" s="695"/>
      <c r="BC119" s="695"/>
      <c r="BD119" s="695"/>
      <c r="BE119" s="695"/>
      <c r="BF119" s="695"/>
      <c r="BG119" s="695"/>
      <c r="BH119" s="695"/>
      <c r="BI119" s="695"/>
      <c r="BJ119" s="695"/>
      <c r="BK119" s="695"/>
      <c r="BL119" s="695"/>
      <c r="BM119" s="695"/>
      <c r="BN119" s="695"/>
      <c r="BO119" s="695"/>
      <c r="BP119" s="695"/>
      <c r="BQ119" s="695"/>
      <c r="BR119" s="695"/>
      <c r="BS119" s="695"/>
      <c r="BT119" s="696"/>
      <c r="BU119" s="165"/>
    </row>
    <row r="120" spans="2:73">
      <c r="B120" s="690"/>
      <c r="C120" s="690"/>
      <c r="D120" s="690"/>
      <c r="E120" s="690"/>
      <c r="F120" s="690"/>
      <c r="G120" s="690"/>
      <c r="H120" s="690"/>
      <c r="I120" s="644"/>
      <c r="J120" s="644"/>
      <c r="K120" s="633"/>
      <c r="L120" s="694"/>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6"/>
      <c r="AP120" s="633"/>
      <c r="AQ120" s="694"/>
      <c r="AR120" s="695"/>
      <c r="AS120" s="695"/>
      <c r="AT120" s="695"/>
      <c r="AU120" s="695"/>
      <c r="AV120" s="695"/>
      <c r="AW120" s="695"/>
      <c r="AX120" s="695"/>
      <c r="AY120" s="695"/>
      <c r="AZ120" s="695"/>
      <c r="BA120" s="695"/>
      <c r="BB120" s="695"/>
      <c r="BC120" s="695"/>
      <c r="BD120" s="695"/>
      <c r="BE120" s="695"/>
      <c r="BF120" s="695"/>
      <c r="BG120" s="695"/>
      <c r="BH120" s="695"/>
      <c r="BI120" s="695"/>
      <c r="BJ120" s="695"/>
      <c r="BK120" s="695"/>
      <c r="BL120" s="695"/>
      <c r="BM120" s="695"/>
      <c r="BN120" s="695"/>
      <c r="BO120" s="695"/>
      <c r="BP120" s="695"/>
      <c r="BQ120" s="695"/>
      <c r="BR120" s="695"/>
      <c r="BS120" s="695"/>
      <c r="BT120" s="696"/>
    </row>
    <row r="121" spans="2:73" ht="15.75">
      <c r="B121" s="690"/>
      <c r="C121" s="690"/>
      <c r="D121" s="690"/>
      <c r="E121" s="690"/>
      <c r="F121" s="690"/>
      <c r="G121" s="690"/>
      <c r="H121" s="690"/>
      <c r="I121" s="644"/>
      <c r="J121" s="644"/>
      <c r="K121" s="633"/>
      <c r="L121" s="694"/>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6"/>
      <c r="AP121" s="633"/>
      <c r="AQ121" s="694"/>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c r="BL121" s="695"/>
      <c r="BM121" s="695"/>
      <c r="BN121" s="695"/>
      <c r="BO121" s="695"/>
      <c r="BP121" s="695"/>
      <c r="BQ121" s="695"/>
      <c r="BR121" s="695"/>
      <c r="BS121" s="695"/>
      <c r="BT121" s="696"/>
      <c r="BU121" s="165"/>
    </row>
    <row r="122" spans="2:73" ht="15.75">
      <c r="B122" s="690"/>
      <c r="C122" s="690"/>
      <c r="D122" s="690"/>
      <c r="E122" s="690"/>
      <c r="F122" s="690"/>
      <c r="G122" s="690"/>
      <c r="H122" s="690"/>
      <c r="I122" s="644"/>
      <c r="J122" s="644"/>
      <c r="K122" s="633"/>
      <c r="L122" s="697"/>
      <c r="M122" s="698"/>
      <c r="N122" s="698"/>
      <c r="O122" s="698"/>
      <c r="P122" s="698"/>
      <c r="Q122" s="698"/>
      <c r="R122" s="698"/>
      <c r="S122" s="698"/>
      <c r="T122" s="698"/>
      <c r="U122" s="698"/>
      <c r="V122" s="698"/>
      <c r="W122" s="698"/>
      <c r="X122" s="698"/>
      <c r="Y122" s="698"/>
      <c r="Z122" s="698"/>
      <c r="AA122" s="698"/>
      <c r="AB122" s="698"/>
      <c r="AC122" s="698"/>
      <c r="AD122" s="698"/>
      <c r="AE122" s="698"/>
      <c r="AF122" s="698"/>
      <c r="AG122" s="698"/>
      <c r="AH122" s="698"/>
      <c r="AI122" s="698"/>
      <c r="AJ122" s="698"/>
      <c r="AK122" s="698"/>
      <c r="AL122" s="698"/>
      <c r="AM122" s="698"/>
      <c r="AN122" s="698"/>
      <c r="AO122" s="699"/>
      <c r="AP122" s="633"/>
      <c r="AQ122" s="697"/>
      <c r="AR122" s="698"/>
      <c r="AS122" s="698"/>
      <c r="AT122" s="698"/>
      <c r="AU122" s="698"/>
      <c r="AV122" s="698"/>
      <c r="AW122" s="698"/>
      <c r="AX122" s="698"/>
      <c r="AY122" s="698"/>
      <c r="AZ122" s="698"/>
      <c r="BA122" s="698"/>
      <c r="BB122" s="698"/>
      <c r="BC122" s="698"/>
      <c r="BD122" s="698"/>
      <c r="BE122" s="698"/>
      <c r="BF122" s="698"/>
      <c r="BG122" s="698"/>
      <c r="BH122" s="698"/>
      <c r="BI122" s="698"/>
      <c r="BJ122" s="698"/>
      <c r="BK122" s="698"/>
      <c r="BL122" s="698"/>
      <c r="BM122" s="698"/>
      <c r="BN122" s="698"/>
      <c r="BO122" s="698"/>
      <c r="BP122" s="698"/>
      <c r="BQ122" s="698"/>
      <c r="BR122" s="698"/>
      <c r="BS122" s="698"/>
      <c r="BT122" s="699"/>
      <c r="BU122" s="165"/>
    </row>
  </sheetData>
  <autoFilter ref="C26:BT94">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0866141732283505" right="0.70866141732283505" top="0.74803149606299202" bottom="0.74803149606299202" header="0.31496062992126" footer="0.31496062992126"/>
  <pageSetup scale="57" fitToWidth="4"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V15"/>
  <sheetViews>
    <sheetView tabSelected="1" zoomScaleNormal="100" workbookViewId="0">
      <selection activeCell="F51" sqref="F51"/>
    </sheetView>
  </sheetViews>
  <sheetFormatPr defaultRowHeight="15"/>
  <cols>
    <col min="1" max="16384" width="9.140625" style="12"/>
  </cols>
  <sheetData>
    <row r="12" spans="2:22" ht="24" customHeight="1"/>
    <row r="13" spans="2:22" ht="15.75">
      <c r="B13" s="588" t="s">
        <v>506</v>
      </c>
    </row>
    <row r="14" spans="2:22" ht="15.75">
      <c r="B14" s="588"/>
    </row>
    <row r="15" spans="2:22" s="668" customFormat="1" ht="27" customHeight="1">
      <c r="B15" s="666" t="s">
        <v>677</v>
      </c>
      <c r="C15" s="667"/>
      <c r="D15" s="667"/>
      <c r="E15" s="667"/>
      <c r="F15" s="667"/>
      <c r="G15" s="667"/>
      <c r="H15" s="667"/>
      <c r="I15" s="667"/>
      <c r="J15" s="667"/>
      <c r="K15" s="667"/>
      <c r="L15" s="667"/>
      <c r="M15" s="667"/>
      <c r="N15" s="667"/>
      <c r="O15" s="667"/>
      <c r="P15" s="667"/>
      <c r="Q15" s="667"/>
      <c r="R15" s="667"/>
      <c r="S15" s="667"/>
      <c r="T15" s="667"/>
      <c r="U15" s="667"/>
      <c r="V15" s="667"/>
    </row>
  </sheetData>
  <pageMargins left="0.70866141732283472" right="0.70866141732283472" top="0.74803149606299213" bottom="0.74803149606299213" header="0.31496062992125984" footer="0.31496062992125984"/>
  <pageSetup scale="56" fitToHeight="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Normal="100" workbookViewId="0">
      <pane ySplit="16" topLeftCell="A38" activePane="bottomLeft" state="frozen"/>
      <selection pane="bottomLeft" activeCell="A17" sqref="A17"/>
    </sheetView>
  </sheetViews>
  <sheetFormatPr defaultRowHeight="15"/>
  <cols>
    <col min="1" max="1" width="9.140625" style="12"/>
    <col min="2" max="2" width="36.85546875" style="718" customWidth="1"/>
    <col min="3" max="3" width="9.140625" style="10"/>
    <col min="4" max="16384" width="9.140625" style="12"/>
  </cols>
  <sheetData>
    <row r="16" spans="2:21" ht="26.25" customHeight="1">
      <c r="B16" s="719" t="s">
        <v>562</v>
      </c>
      <c r="C16" s="755" t="s">
        <v>506</v>
      </c>
      <c r="D16" s="756"/>
      <c r="E16" s="756"/>
      <c r="F16" s="756"/>
      <c r="G16" s="756"/>
      <c r="H16" s="756"/>
      <c r="I16" s="756"/>
      <c r="J16" s="756"/>
      <c r="K16" s="756"/>
      <c r="L16" s="756"/>
      <c r="M16" s="756"/>
      <c r="N16" s="756"/>
      <c r="O16" s="756"/>
      <c r="P16" s="756"/>
      <c r="Q16" s="756"/>
      <c r="R16" s="756"/>
      <c r="S16" s="756"/>
      <c r="T16" s="756"/>
      <c r="U16" s="756"/>
    </row>
    <row r="17" spans="2:21" ht="55.5" customHeight="1">
      <c r="B17" s="720" t="s">
        <v>643</v>
      </c>
      <c r="C17" s="757" t="s">
        <v>644</v>
      </c>
      <c r="D17" s="757"/>
      <c r="E17" s="757"/>
      <c r="F17" s="757"/>
      <c r="G17" s="757"/>
      <c r="H17" s="757"/>
      <c r="I17" s="757"/>
      <c r="J17" s="757"/>
      <c r="K17" s="757"/>
      <c r="L17" s="757"/>
      <c r="M17" s="757"/>
      <c r="N17" s="757"/>
      <c r="O17" s="757"/>
      <c r="P17" s="757"/>
      <c r="Q17" s="757"/>
      <c r="R17" s="757"/>
      <c r="S17" s="757"/>
      <c r="T17" s="757"/>
      <c r="U17" s="758"/>
    </row>
    <row r="18" spans="2:21" ht="15.75">
      <c r="B18" s="721"/>
      <c r="C18" s="722"/>
      <c r="D18" s="723"/>
      <c r="E18" s="723"/>
      <c r="F18" s="723"/>
      <c r="G18" s="723"/>
      <c r="H18" s="723"/>
      <c r="I18" s="723"/>
      <c r="J18" s="723"/>
      <c r="K18" s="723"/>
      <c r="L18" s="723"/>
      <c r="M18" s="723"/>
      <c r="N18" s="723"/>
      <c r="O18" s="723"/>
      <c r="P18" s="723"/>
      <c r="Q18" s="723"/>
      <c r="R18" s="723"/>
      <c r="S18" s="723"/>
      <c r="T18" s="723"/>
      <c r="U18" s="724"/>
    </row>
    <row r="19" spans="2:21" ht="15.75">
      <c r="B19" s="721"/>
      <c r="C19" s="722" t="s">
        <v>648</v>
      </c>
      <c r="D19" s="723"/>
      <c r="E19" s="723"/>
      <c r="F19" s="723"/>
      <c r="G19" s="723"/>
      <c r="H19" s="723"/>
      <c r="I19" s="723"/>
      <c r="J19" s="723"/>
      <c r="K19" s="723"/>
      <c r="L19" s="723"/>
      <c r="M19" s="723"/>
      <c r="N19" s="723"/>
      <c r="O19" s="723"/>
      <c r="P19" s="723"/>
      <c r="Q19" s="723"/>
      <c r="R19" s="723"/>
      <c r="S19" s="723"/>
      <c r="T19" s="723"/>
      <c r="U19" s="724"/>
    </row>
    <row r="20" spans="2:21" ht="15.75">
      <c r="B20" s="721"/>
      <c r="C20" s="722"/>
      <c r="D20" s="723"/>
      <c r="E20" s="723"/>
      <c r="F20" s="723"/>
      <c r="G20" s="723"/>
      <c r="H20" s="723"/>
      <c r="I20" s="723"/>
      <c r="J20" s="723"/>
      <c r="K20" s="723"/>
      <c r="L20" s="723"/>
      <c r="M20" s="723"/>
      <c r="N20" s="723"/>
      <c r="O20" s="723"/>
      <c r="P20" s="723"/>
      <c r="Q20" s="723"/>
      <c r="R20" s="723"/>
      <c r="S20" s="723"/>
      <c r="T20" s="723"/>
      <c r="U20" s="724"/>
    </row>
    <row r="21" spans="2:21" ht="15.75">
      <c r="B21" s="721"/>
      <c r="C21" s="722" t="s">
        <v>645</v>
      </c>
      <c r="D21" s="723"/>
      <c r="E21" s="723"/>
      <c r="F21" s="723"/>
      <c r="G21" s="723"/>
      <c r="H21" s="723"/>
      <c r="I21" s="723"/>
      <c r="J21" s="723"/>
      <c r="K21" s="723"/>
      <c r="L21" s="723"/>
      <c r="M21" s="723"/>
      <c r="N21" s="723"/>
      <c r="O21" s="723"/>
      <c r="P21" s="723"/>
      <c r="Q21" s="723"/>
      <c r="R21" s="723"/>
      <c r="S21" s="723"/>
      <c r="T21" s="723"/>
      <c r="U21" s="724"/>
    </row>
    <row r="22" spans="2:21" ht="15.75">
      <c r="B22" s="721"/>
      <c r="C22" s="722"/>
      <c r="D22" s="723"/>
      <c r="E22" s="723"/>
      <c r="F22" s="723"/>
      <c r="G22" s="723"/>
      <c r="H22" s="723"/>
      <c r="I22" s="723"/>
      <c r="J22" s="723"/>
      <c r="K22" s="723"/>
      <c r="L22" s="723"/>
      <c r="M22" s="723"/>
      <c r="N22" s="723"/>
      <c r="O22" s="723"/>
      <c r="P22" s="723"/>
      <c r="Q22" s="723"/>
      <c r="R22" s="723"/>
      <c r="S22" s="723"/>
      <c r="T22" s="723"/>
      <c r="U22" s="724"/>
    </row>
    <row r="23" spans="2:21" ht="30" customHeight="1">
      <c r="B23" s="721"/>
      <c r="C23" s="751" t="s">
        <v>646</v>
      </c>
      <c r="D23" s="751"/>
      <c r="E23" s="751"/>
      <c r="F23" s="751"/>
      <c r="G23" s="751"/>
      <c r="H23" s="751"/>
      <c r="I23" s="751"/>
      <c r="J23" s="751"/>
      <c r="K23" s="751"/>
      <c r="L23" s="751"/>
      <c r="M23" s="751"/>
      <c r="N23" s="751"/>
      <c r="O23" s="751"/>
      <c r="P23" s="751"/>
      <c r="Q23" s="751"/>
      <c r="R23" s="751"/>
      <c r="S23" s="751"/>
      <c r="T23" s="723"/>
      <c r="U23" s="724"/>
    </row>
    <row r="24" spans="2:21" ht="15.75">
      <c r="B24" s="721"/>
      <c r="C24" s="722"/>
      <c r="D24" s="723"/>
      <c r="E24" s="723"/>
      <c r="F24" s="723"/>
      <c r="G24" s="723"/>
      <c r="H24" s="723"/>
      <c r="I24" s="723"/>
      <c r="J24" s="723"/>
      <c r="K24" s="723"/>
      <c r="L24" s="723"/>
      <c r="M24" s="723"/>
      <c r="N24" s="723"/>
      <c r="O24" s="723"/>
      <c r="P24" s="723"/>
      <c r="Q24" s="723"/>
      <c r="R24" s="723"/>
      <c r="S24" s="723"/>
      <c r="T24" s="723"/>
      <c r="U24" s="724"/>
    </row>
    <row r="25" spans="2:21" ht="15.75">
      <c r="B25" s="721"/>
      <c r="C25" s="722" t="s">
        <v>649</v>
      </c>
      <c r="D25" s="723"/>
      <c r="E25" s="723"/>
      <c r="F25" s="723"/>
      <c r="G25" s="723"/>
      <c r="H25" s="723"/>
      <c r="I25" s="723"/>
      <c r="J25" s="723"/>
      <c r="K25" s="723"/>
      <c r="L25" s="723"/>
      <c r="M25" s="723"/>
      <c r="N25" s="723"/>
      <c r="O25" s="723"/>
      <c r="P25" s="723"/>
      <c r="Q25" s="723"/>
      <c r="R25" s="723"/>
      <c r="S25" s="723"/>
      <c r="T25" s="723"/>
      <c r="U25" s="724"/>
    </row>
    <row r="26" spans="2:21" ht="15.75">
      <c r="B26" s="721"/>
      <c r="C26" s="722"/>
      <c r="D26" s="723"/>
      <c r="E26" s="723"/>
      <c r="F26" s="723"/>
      <c r="G26" s="723"/>
      <c r="H26" s="723"/>
      <c r="I26" s="723"/>
      <c r="J26" s="723"/>
      <c r="K26" s="723"/>
      <c r="L26" s="723"/>
      <c r="M26" s="723"/>
      <c r="N26" s="723"/>
      <c r="O26" s="723"/>
      <c r="P26" s="723"/>
      <c r="Q26" s="723"/>
      <c r="R26" s="723"/>
      <c r="S26" s="723"/>
      <c r="T26" s="723"/>
      <c r="U26" s="724"/>
    </row>
    <row r="27" spans="2:21" ht="31.5" customHeight="1">
      <c r="B27" s="721"/>
      <c r="C27" s="751" t="s">
        <v>647</v>
      </c>
      <c r="D27" s="751"/>
      <c r="E27" s="751"/>
      <c r="F27" s="751"/>
      <c r="G27" s="751"/>
      <c r="H27" s="751"/>
      <c r="I27" s="751"/>
      <c r="J27" s="751"/>
      <c r="K27" s="751"/>
      <c r="L27" s="751"/>
      <c r="M27" s="751"/>
      <c r="N27" s="751"/>
      <c r="O27" s="751"/>
      <c r="P27" s="751"/>
      <c r="Q27" s="751"/>
      <c r="R27" s="751"/>
      <c r="S27" s="751"/>
      <c r="T27" s="751"/>
      <c r="U27" s="752"/>
    </row>
    <row r="28" spans="2:21" ht="15.75">
      <c r="B28" s="721"/>
      <c r="C28" s="722"/>
      <c r="D28" s="723"/>
      <c r="E28" s="723"/>
      <c r="F28" s="723"/>
      <c r="G28" s="723"/>
      <c r="H28" s="723"/>
      <c r="I28" s="723"/>
      <c r="J28" s="723"/>
      <c r="K28" s="723"/>
      <c r="L28" s="723"/>
      <c r="M28" s="723"/>
      <c r="N28" s="723"/>
      <c r="O28" s="723"/>
      <c r="P28" s="723"/>
      <c r="Q28" s="723"/>
      <c r="R28" s="723"/>
      <c r="S28" s="723"/>
      <c r="T28" s="723"/>
      <c r="U28" s="724"/>
    </row>
    <row r="29" spans="2:21" ht="31.5" customHeight="1">
      <c r="B29" s="721"/>
      <c r="C29" s="751" t="s">
        <v>650</v>
      </c>
      <c r="D29" s="751"/>
      <c r="E29" s="751"/>
      <c r="F29" s="751"/>
      <c r="G29" s="751"/>
      <c r="H29" s="751"/>
      <c r="I29" s="751"/>
      <c r="J29" s="751"/>
      <c r="K29" s="751"/>
      <c r="L29" s="751"/>
      <c r="M29" s="751"/>
      <c r="N29" s="751"/>
      <c r="O29" s="751"/>
      <c r="P29" s="751"/>
      <c r="Q29" s="751"/>
      <c r="R29" s="751"/>
      <c r="S29" s="751"/>
      <c r="T29" s="751"/>
      <c r="U29" s="752"/>
    </row>
    <row r="30" spans="2:21" ht="15.75">
      <c r="B30" s="721"/>
      <c r="C30" s="722"/>
      <c r="D30" s="723"/>
      <c r="E30" s="723"/>
      <c r="F30" s="723"/>
      <c r="G30" s="723"/>
      <c r="H30" s="723"/>
      <c r="I30" s="723"/>
      <c r="J30" s="723"/>
      <c r="K30" s="723"/>
      <c r="L30" s="723"/>
      <c r="M30" s="723"/>
      <c r="N30" s="723"/>
      <c r="O30" s="723"/>
      <c r="P30" s="723"/>
      <c r="Q30" s="723"/>
      <c r="R30" s="723"/>
      <c r="S30" s="723"/>
      <c r="T30" s="723"/>
      <c r="U30" s="724"/>
    </row>
    <row r="31" spans="2:21" ht="15.75">
      <c r="B31" s="721"/>
      <c r="C31" s="722" t="s">
        <v>651</v>
      </c>
      <c r="D31" s="723"/>
      <c r="E31" s="723"/>
      <c r="F31" s="723"/>
      <c r="G31" s="723"/>
      <c r="H31" s="723"/>
      <c r="I31" s="723"/>
      <c r="J31" s="723"/>
      <c r="K31" s="723"/>
      <c r="L31" s="723"/>
      <c r="M31" s="723"/>
      <c r="N31" s="723"/>
      <c r="O31" s="723"/>
      <c r="P31" s="723"/>
      <c r="Q31" s="723"/>
      <c r="R31" s="723"/>
      <c r="S31" s="723"/>
      <c r="T31" s="723"/>
      <c r="U31" s="724"/>
    </row>
    <row r="32" spans="2:21" ht="15.75">
      <c r="B32" s="725"/>
      <c r="C32" s="726"/>
      <c r="D32" s="727"/>
      <c r="E32" s="727"/>
      <c r="F32" s="727"/>
      <c r="G32" s="727"/>
      <c r="H32" s="727"/>
      <c r="I32" s="727"/>
      <c r="J32" s="727"/>
      <c r="K32" s="727"/>
      <c r="L32" s="727"/>
      <c r="M32" s="727"/>
      <c r="N32" s="727"/>
      <c r="O32" s="727"/>
      <c r="P32" s="727"/>
      <c r="Q32" s="727"/>
      <c r="R32" s="727"/>
      <c r="S32" s="727"/>
      <c r="T32" s="727"/>
      <c r="U32" s="728"/>
    </row>
    <row r="33" spans="2:21" ht="39" customHeight="1">
      <c r="B33" s="729" t="s">
        <v>652</v>
      </c>
      <c r="C33" s="759" t="s">
        <v>653</v>
      </c>
      <c r="D33" s="759"/>
      <c r="E33" s="759"/>
      <c r="F33" s="759"/>
      <c r="G33" s="759"/>
      <c r="H33" s="759"/>
      <c r="I33" s="759"/>
      <c r="J33" s="759"/>
      <c r="K33" s="759"/>
      <c r="L33" s="759"/>
      <c r="M33" s="759"/>
      <c r="N33" s="759"/>
      <c r="O33" s="759"/>
      <c r="P33" s="759"/>
      <c r="Q33" s="759"/>
      <c r="R33" s="759"/>
      <c r="S33" s="759"/>
      <c r="T33" s="759"/>
      <c r="U33" s="760"/>
    </row>
    <row r="34" spans="2:21">
      <c r="B34" s="730"/>
      <c r="C34" s="731"/>
      <c r="D34" s="731"/>
      <c r="E34" s="731"/>
      <c r="F34" s="731"/>
      <c r="G34" s="731"/>
      <c r="H34" s="731"/>
      <c r="I34" s="731"/>
      <c r="J34" s="731"/>
      <c r="K34" s="731"/>
      <c r="L34" s="731"/>
      <c r="M34" s="731"/>
      <c r="N34" s="731"/>
      <c r="O34" s="731"/>
      <c r="P34" s="731"/>
      <c r="Q34" s="731"/>
      <c r="R34" s="731"/>
      <c r="S34" s="731"/>
      <c r="T34" s="731"/>
      <c r="U34" s="732"/>
    </row>
    <row r="35" spans="2:21" ht="15.75">
      <c r="B35" s="733" t="s">
        <v>654</v>
      </c>
      <c r="C35" s="734" t="s">
        <v>655</v>
      </c>
      <c r="D35" s="723"/>
      <c r="E35" s="723"/>
      <c r="F35" s="723"/>
      <c r="G35" s="723"/>
      <c r="H35" s="723"/>
      <c r="I35" s="723"/>
      <c r="J35" s="723"/>
      <c r="K35" s="723"/>
      <c r="L35" s="723"/>
      <c r="M35" s="723"/>
      <c r="N35" s="723"/>
      <c r="O35" s="723"/>
      <c r="P35" s="723"/>
      <c r="Q35" s="723"/>
      <c r="R35" s="723"/>
      <c r="S35" s="723"/>
      <c r="T35" s="723"/>
      <c r="U35" s="724"/>
    </row>
    <row r="36" spans="2:21">
      <c r="B36" s="735"/>
      <c r="C36" s="727"/>
      <c r="D36" s="727"/>
      <c r="E36" s="727"/>
      <c r="F36" s="727"/>
      <c r="G36" s="727"/>
      <c r="H36" s="727"/>
      <c r="I36" s="727"/>
      <c r="J36" s="727"/>
      <c r="K36" s="727"/>
      <c r="L36" s="727"/>
      <c r="M36" s="727"/>
      <c r="N36" s="727"/>
      <c r="O36" s="727"/>
      <c r="P36" s="727"/>
      <c r="Q36" s="727"/>
      <c r="R36" s="727"/>
      <c r="S36" s="727"/>
      <c r="T36" s="727"/>
      <c r="U36" s="728"/>
    </row>
    <row r="37" spans="2:21" ht="34.5" customHeight="1">
      <c r="B37" s="720" t="s">
        <v>656</v>
      </c>
      <c r="C37" s="753" t="s">
        <v>657</v>
      </c>
      <c r="D37" s="753"/>
      <c r="E37" s="753"/>
      <c r="F37" s="753"/>
      <c r="G37" s="753"/>
      <c r="H37" s="753"/>
      <c r="I37" s="753"/>
      <c r="J37" s="753"/>
      <c r="K37" s="753"/>
      <c r="L37" s="753"/>
      <c r="M37" s="753"/>
      <c r="N37" s="753"/>
      <c r="O37" s="753"/>
      <c r="P37" s="753"/>
      <c r="Q37" s="753"/>
      <c r="R37" s="753"/>
      <c r="S37" s="753"/>
      <c r="T37" s="753"/>
      <c r="U37" s="754"/>
    </row>
    <row r="38" spans="2:21">
      <c r="B38" s="735"/>
      <c r="C38" s="727"/>
      <c r="D38" s="727"/>
      <c r="E38" s="727"/>
      <c r="F38" s="727"/>
      <c r="G38" s="727"/>
      <c r="H38" s="727"/>
      <c r="I38" s="727"/>
      <c r="J38" s="727"/>
      <c r="K38" s="727"/>
      <c r="L38" s="727"/>
      <c r="M38" s="727"/>
      <c r="N38" s="727"/>
      <c r="O38" s="727"/>
      <c r="P38" s="727"/>
      <c r="Q38" s="727"/>
      <c r="R38" s="727"/>
      <c r="S38" s="727"/>
      <c r="T38" s="727"/>
      <c r="U38" s="728"/>
    </row>
    <row r="39" spans="2:21" ht="15.75">
      <c r="B39" s="720" t="s">
        <v>658</v>
      </c>
      <c r="C39" s="736" t="s">
        <v>659</v>
      </c>
      <c r="D39" s="731"/>
      <c r="E39" s="731"/>
      <c r="F39" s="731"/>
      <c r="G39" s="731"/>
      <c r="H39" s="731"/>
      <c r="I39" s="731"/>
      <c r="J39" s="731"/>
      <c r="K39" s="731"/>
      <c r="L39" s="731"/>
      <c r="M39" s="731"/>
      <c r="N39" s="731"/>
      <c r="O39" s="731"/>
      <c r="P39" s="731"/>
      <c r="Q39" s="731"/>
      <c r="R39" s="731"/>
      <c r="S39" s="731"/>
      <c r="T39" s="731"/>
      <c r="U39" s="732"/>
    </row>
    <row r="40" spans="2:21">
      <c r="B40" s="735"/>
      <c r="C40" s="727"/>
      <c r="D40" s="727"/>
      <c r="E40" s="727"/>
      <c r="F40" s="727"/>
      <c r="G40" s="727"/>
      <c r="H40" s="727"/>
      <c r="I40" s="727"/>
      <c r="J40" s="727"/>
      <c r="K40" s="727"/>
      <c r="L40" s="727"/>
      <c r="M40" s="727"/>
      <c r="N40" s="727"/>
      <c r="O40" s="727"/>
      <c r="P40" s="727"/>
      <c r="Q40" s="727"/>
      <c r="R40" s="727"/>
      <c r="S40" s="727"/>
      <c r="T40" s="727"/>
      <c r="U40" s="728"/>
    </row>
    <row r="41" spans="2:21" ht="38.25" customHeight="1">
      <c r="B41" s="729" t="s">
        <v>660</v>
      </c>
      <c r="C41" s="761" t="s">
        <v>661</v>
      </c>
      <c r="D41" s="761"/>
      <c r="E41" s="761"/>
      <c r="F41" s="761"/>
      <c r="G41" s="761"/>
      <c r="H41" s="761"/>
      <c r="I41" s="761"/>
      <c r="J41" s="761"/>
      <c r="K41" s="761"/>
      <c r="L41" s="761"/>
      <c r="M41" s="761"/>
      <c r="N41" s="761"/>
      <c r="O41" s="761"/>
      <c r="P41" s="761"/>
      <c r="Q41" s="761"/>
      <c r="R41" s="761"/>
      <c r="S41" s="761"/>
      <c r="T41" s="761"/>
      <c r="U41" s="762"/>
    </row>
    <row r="42" spans="2:21">
      <c r="B42" s="737"/>
      <c r="C42" s="731"/>
      <c r="D42" s="731"/>
      <c r="E42" s="731"/>
      <c r="F42" s="731"/>
      <c r="G42" s="731"/>
      <c r="H42" s="731"/>
      <c r="I42" s="731"/>
      <c r="J42" s="731"/>
      <c r="K42" s="731"/>
      <c r="L42" s="731"/>
      <c r="M42" s="731"/>
      <c r="N42" s="731"/>
      <c r="O42" s="731"/>
      <c r="P42" s="731"/>
      <c r="Q42" s="731"/>
      <c r="R42" s="731"/>
      <c r="S42" s="731"/>
      <c r="T42" s="731"/>
      <c r="U42" s="732"/>
    </row>
    <row r="43" spans="2:21" ht="15.75">
      <c r="B43" s="733" t="s">
        <v>662</v>
      </c>
      <c r="C43" s="734" t="s">
        <v>663</v>
      </c>
      <c r="D43" s="723"/>
      <c r="E43" s="723"/>
      <c r="F43" s="723"/>
      <c r="G43" s="723"/>
      <c r="H43" s="723"/>
      <c r="I43" s="723"/>
      <c r="J43" s="723"/>
      <c r="K43" s="723"/>
      <c r="L43" s="723"/>
      <c r="M43" s="723"/>
      <c r="N43" s="723"/>
      <c r="O43" s="723"/>
      <c r="P43" s="723"/>
      <c r="Q43" s="723"/>
      <c r="R43" s="723"/>
      <c r="S43" s="723"/>
      <c r="T43" s="723"/>
      <c r="U43" s="724"/>
    </row>
    <row r="44" spans="2:21">
      <c r="B44" s="738"/>
      <c r="C44" s="723"/>
      <c r="D44" s="723"/>
      <c r="E44" s="723"/>
      <c r="F44" s="723"/>
      <c r="G44" s="723"/>
      <c r="H44" s="723"/>
      <c r="I44" s="723"/>
      <c r="J44" s="723"/>
      <c r="K44" s="723"/>
      <c r="L44" s="723"/>
      <c r="M44" s="723"/>
      <c r="N44" s="723"/>
      <c r="O44" s="723"/>
      <c r="P44" s="723"/>
      <c r="Q44" s="723"/>
      <c r="R44" s="723"/>
      <c r="S44" s="723"/>
      <c r="T44" s="723"/>
      <c r="U44" s="724"/>
    </row>
    <row r="45" spans="2:21" ht="36" customHeight="1">
      <c r="B45" s="738"/>
      <c r="C45" s="749" t="s">
        <v>667</v>
      </c>
      <c r="D45" s="749"/>
      <c r="E45" s="749"/>
      <c r="F45" s="749"/>
      <c r="G45" s="749"/>
      <c r="H45" s="749"/>
      <c r="I45" s="749"/>
      <c r="J45" s="749"/>
      <c r="K45" s="749"/>
      <c r="L45" s="749"/>
      <c r="M45" s="749"/>
      <c r="N45" s="749"/>
      <c r="O45" s="749"/>
      <c r="P45" s="749"/>
      <c r="Q45" s="749"/>
      <c r="R45" s="749"/>
      <c r="S45" s="749"/>
      <c r="T45" s="749"/>
      <c r="U45" s="750"/>
    </row>
    <row r="46" spans="2:21">
      <c r="B46" s="738"/>
      <c r="C46" s="739"/>
      <c r="D46" s="723"/>
      <c r="E46" s="723"/>
      <c r="F46" s="723"/>
      <c r="G46" s="723"/>
      <c r="H46" s="723"/>
      <c r="I46" s="723"/>
      <c r="J46" s="723"/>
      <c r="K46" s="723"/>
      <c r="L46" s="723"/>
      <c r="M46" s="723"/>
      <c r="N46" s="723"/>
      <c r="O46" s="723"/>
      <c r="P46" s="723"/>
      <c r="Q46" s="723"/>
      <c r="R46" s="723"/>
      <c r="S46" s="723"/>
      <c r="T46" s="723"/>
      <c r="U46" s="724"/>
    </row>
    <row r="47" spans="2:21" ht="35.25" customHeight="1">
      <c r="B47" s="738"/>
      <c r="C47" s="749" t="s">
        <v>664</v>
      </c>
      <c r="D47" s="749"/>
      <c r="E47" s="749"/>
      <c r="F47" s="749"/>
      <c r="G47" s="749"/>
      <c r="H47" s="749"/>
      <c r="I47" s="749"/>
      <c r="J47" s="749"/>
      <c r="K47" s="749"/>
      <c r="L47" s="749"/>
      <c r="M47" s="749"/>
      <c r="N47" s="749"/>
      <c r="O47" s="749"/>
      <c r="P47" s="749"/>
      <c r="Q47" s="749"/>
      <c r="R47" s="749"/>
      <c r="S47" s="749"/>
      <c r="T47" s="749"/>
      <c r="U47" s="750"/>
    </row>
    <row r="48" spans="2:21">
      <c r="B48" s="738"/>
      <c r="C48" s="739"/>
      <c r="D48" s="723"/>
      <c r="E48" s="723"/>
      <c r="F48" s="723"/>
      <c r="G48" s="723"/>
      <c r="H48" s="723"/>
      <c r="I48" s="723"/>
      <c r="J48" s="723"/>
      <c r="K48" s="723"/>
      <c r="L48" s="723"/>
      <c r="M48" s="723"/>
      <c r="N48" s="723"/>
      <c r="O48" s="723"/>
      <c r="P48" s="723"/>
      <c r="Q48" s="723"/>
      <c r="R48" s="723"/>
      <c r="S48" s="723"/>
      <c r="T48" s="723"/>
      <c r="U48" s="724"/>
    </row>
    <row r="49" spans="2:21" ht="40.5" customHeight="1">
      <c r="B49" s="738"/>
      <c r="C49" s="749" t="s">
        <v>665</v>
      </c>
      <c r="D49" s="749"/>
      <c r="E49" s="749"/>
      <c r="F49" s="749"/>
      <c r="G49" s="749"/>
      <c r="H49" s="749"/>
      <c r="I49" s="749"/>
      <c r="J49" s="749"/>
      <c r="K49" s="749"/>
      <c r="L49" s="749"/>
      <c r="M49" s="749"/>
      <c r="N49" s="749"/>
      <c r="O49" s="749"/>
      <c r="P49" s="749"/>
      <c r="Q49" s="749"/>
      <c r="R49" s="749"/>
      <c r="S49" s="749"/>
      <c r="T49" s="749"/>
      <c r="U49" s="750"/>
    </row>
    <row r="50" spans="2:21">
      <c r="B50" s="738"/>
      <c r="C50" s="739"/>
      <c r="D50" s="723"/>
      <c r="E50" s="723"/>
      <c r="F50" s="723"/>
      <c r="G50" s="723"/>
      <c r="H50" s="723"/>
      <c r="I50" s="723"/>
      <c r="J50" s="723"/>
      <c r="K50" s="723"/>
      <c r="L50" s="723"/>
      <c r="M50" s="723"/>
      <c r="N50" s="723"/>
      <c r="O50" s="723"/>
      <c r="P50" s="723"/>
      <c r="Q50" s="723"/>
      <c r="R50" s="723"/>
      <c r="S50" s="723"/>
      <c r="T50" s="723"/>
      <c r="U50" s="724"/>
    </row>
    <row r="51" spans="2:21" ht="30" customHeight="1">
      <c r="B51" s="738"/>
      <c r="C51" s="749" t="s">
        <v>666</v>
      </c>
      <c r="D51" s="749"/>
      <c r="E51" s="749"/>
      <c r="F51" s="749"/>
      <c r="G51" s="749"/>
      <c r="H51" s="749"/>
      <c r="I51" s="749"/>
      <c r="J51" s="749"/>
      <c r="K51" s="749"/>
      <c r="L51" s="749"/>
      <c r="M51" s="749"/>
      <c r="N51" s="749"/>
      <c r="O51" s="749"/>
      <c r="P51" s="749"/>
      <c r="Q51" s="749"/>
      <c r="R51" s="749"/>
      <c r="S51" s="749"/>
      <c r="T51" s="749"/>
      <c r="U51" s="750"/>
    </row>
    <row r="52" spans="2:21" ht="15.75">
      <c r="B52" s="738"/>
      <c r="C52" s="722"/>
      <c r="D52" s="723"/>
      <c r="E52" s="723"/>
      <c r="F52" s="723"/>
      <c r="G52" s="723"/>
      <c r="H52" s="723"/>
      <c r="I52" s="723"/>
      <c r="J52" s="723"/>
      <c r="K52" s="723"/>
      <c r="L52" s="723"/>
      <c r="M52" s="723"/>
      <c r="N52" s="723"/>
      <c r="O52" s="723"/>
      <c r="P52" s="723"/>
      <c r="Q52" s="723"/>
      <c r="R52" s="723"/>
      <c r="S52" s="723"/>
      <c r="T52" s="723"/>
      <c r="U52" s="724"/>
    </row>
    <row r="53" spans="2:21" ht="31.5" customHeight="1">
      <c r="B53" s="738"/>
      <c r="C53" s="751" t="s">
        <v>668</v>
      </c>
      <c r="D53" s="751"/>
      <c r="E53" s="751"/>
      <c r="F53" s="751"/>
      <c r="G53" s="751"/>
      <c r="H53" s="751"/>
      <c r="I53" s="751"/>
      <c r="J53" s="751"/>
      <c r="K53" s="751"/>
      <c r="L53" s="751"/>
      <c r="M53" s="751"/>
      <c r="N53" s="751"/>
      <c r="O53" s="751"/>
      <c r="P53" s="751"/>
      <c r="Q53" s="751"/>
      <c r="R53" s="751"/>
      <c r="S53" s="751"/>
      <c r="T53" s="751"/>
      <c r="U53" s="752"/>
    </row>
    <row r="54" spans="2:21">
      <c r="B54" s="735"/>
      <c r="C54" s="727"/>
      <c r="D54" s="727"/>
      <c r="E54" s="727"/>
      <c r="F54" s="727"/>
      <c r="G54" s="727"/>
      <c r="H54" s="727"/>
      <c r="I54" s="727"/>
      <c r="J54" s="727"/>
      <c r="K54" s="727"/>
      <c r="L54" s="727"/>
      <c r="M54" s="727"/>
      <c r="N54" s="727"/>
      <c r="O54" s="727"/>
      <c r="P54" s="727"/>
      <c r="Q54" s="727"/>
      <c r="R54" s="727"/>
      <c r="S54" s="727"/>
      <c r="T54" s="727"/>
      <c r="U54" s="728"/>
    </row>
    <row r="55" spans="2:21" ht="48" customHeight="1">
      <c r="B55" s="720" t="s">
        <v>669</v>
      </c>
      <c r="C55" s="753" t="s">
        <v>670</v>
      </c>
      <c r="D55" s="753"/>
      <c r="E55" s="753"/>
      <c r="F55" s="753"/>
      <c r="G55" s="753"/>
      <c r="H55" s="753"/>
      <c r="I55" s="753"/>
      <c r="J55" s="753"/>
      <c r="K55" s="753"/>
      <c r="L55" s="753"/>
      <c r="M55" s="753"/>
      <c r="N55" s="753"/>
      <c r="O55" s="753"/>
      <c r="P55" s="753"/>
      <c r="Q55" s="753"/>
      <c r="R55" s="753"/>
      <c r="S55" s="753"/>
      <c r="T55" s="753"/>
      <c r="U55" s="754"/>
    </row>
    <row r="56" spans="2:21">
      <c r="B56" s="735"/>
      <c r="C56" s="727"/>
      <c r="D56" s="727"/>
      <c r="E56" s="727"/>
      <c r="F56" s="727"/>
      <c r="G56" s="727"/>
      <c r="H56" s="727"/>
      <c r="I56" s="727"/>
      <c r="J56" s="727"/>
      <c r="K56" s="727"/>
      <c r="L56" s="727"/>
      <c r="M56" s="727"/>
      <c r="N56" s="727"/>
      <c r="O56" s="727"/>
      <c r="P56" s="727"/>
      <c r="Q56" s="727"/>
      <c r="R56" s="727"/>
      <c r="S56" s="727"/>
      <c r="T56" s="727"/>
      <c r="U56" s="728"/>
    </row>
    <row r="57" spans="2:21" ht="34.5" customHeight="1">
      <c r="B57" s="720" t="s">
        <v>671</v>
      </c>
      <c r="C57" s="753" t="s">
        <v>672</v>
      </c>
      <c r="D57" s="753"/>
      <c r="E57" s="753"/>
      <c r="F57" s="753"/>
      <c r="G57" s="753"/>
      <c r="H57" s="753"/>
      <c r="I57" s="753"/>
      <c r="J57" s="753"/>
      <c r="K57" s="753"/>
      <c r="L57" s="753"/>
      <c r="M57" s="753"/>
      <c r="N57" s="753"/>
      <c r="O57" s="753"/>
      <c r="P57" s="753"/>
      <c r="Q57" s="753"/>
      <c r="R57" s="753"/>
      <c r="S57" s="753"/>
      <c r="T57" s="753"/>
      <c r="U57" s="754"/>
    </row>
    <row r="58" spans="2:21">
      <c r="B58" s="740"/>
      <c r="C58" s="727"/>
      <c r="D58" s="727"/>
      <c r="E58" s="727"/>
      <c r="F58" s="727"/>
      <c r="G58" s="727"/>
      <c r="H58" s="727"/>
      <c r="I58" s="727"/>
      <c r="J58" s="727"/>
      <c r="K58" s="727"/>
      <c r="L58" s="727"/>
      <c r="M58" s="727"/>
      <c r="N58" s="727"/>
      <c r="O58" s="727"/>
      <c r="P58" s="727"/>
      <c r="Q58" s="727"/>
      <c r="R58" s="727"/>
      <c r="S58" s="727"/>
      <c r="T58" s="727"/>
      <c r="U58" s="728"/>
    </row>
    <row r="59" spans="2:21" ht="30.75" customHeight="1">
      <c r="B59" s="729" t="s">
        <v>673</v>
      </c>
      <c r="C59" s="741" t="s">
        <v>674</v>
      </c>
      <c r="D59" s="742"/>
      <c r="E59" s="742"/>
      <c r="F59" s="742"/>
      <c r="G59" s="742"/>
      <c r="H59" s="742"/>
      <c r="I59" s="742"/>
      <c r="J59" s="742"/>
      <c r="K59" s="742"/>
      <c r="L59" s="742"/>
      <c r="M59" s="742"/>
      <c r="N59" s="742"/>
      <c r="O59" s="742"/>
      <c r="P59" s="742"/>
      <c r="Q59" s="742"/>
      <c r="R59" s="742"/>
      <c r="S59" s="742"/>
      <c r="T59" s="742"/>
      <c r="U59" s="743"/>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49"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0" zoomScale="90" zoomScaleNormal="90" workbookViewId="0">
      <selection activeCell="C25" sqref="C25"/>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4" t="s">
        <v>566</v>
      </c>
      <c r="C3" s="765"/>
      <c r="D3" s="765"/>
      <c r="E3" s="765"/>
      <c r="F3" s="766"/>
      <c r="G3" s="124"/>
    </row>
    <row r="4" spans="2:20" ht="16.5" customHeight="1">
      <c r="B4" s="767"/>
      <c r="C4" s="768"/>
      <c r="D4" s="768"/>
      <c r="E4" s="768"/>
      <c r="F4" s="769"/>
      <c r="G4" s="124"/>
    </row>
    <row r="5" spans="2:20" ht="71.25" customHeight="1">
      <c r="B5" s="767"/>
      <c r="C5" s="768"/>
      <c r="D5" s="768"/>
      <c r="E5" s="768"/>
      <c r="F5" s="769"/>
      <c r="G5" s="124"/>
    </row>
    <row r="6" spans="2:20" ht="21.75" customHeight="1">
      <c r="B6" s="770"/>
      <c r="C6" s="771"/>
      <c r="D6" s="771"/>
      <c r="E6" s="771"/>
      <c r="F6" s="772"/>
      <c r="G6" s="124"/>
    </row>
    <row r="8" spans="2:20" ht="21">
      <c r="B8" s="763" t="s">
        <v>482</v>
      </c>
      <c r="C8" s="763"/>
      <c r="D8" s="763"/>
      <c r="E8" s="763"/>
      <c r="F8" s="763"/>
      <c r="G8" s="763"/>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593</v>
      </c>
      <c r="G12" s="28"/>
      <c r="L12" s="33"/>
      <c r="M12" s="33"/>
      <c r="N12" s="33"/>
      <c r="O12" s="33"/>
      <c r="P12" s="33"/>
      <c r="Q12" s="70"/>
      <c r="S12" s="8"/>
      <c r="T12" s="8"/>
    </row>
    <row r="13" spans="2:20" s="9" customFormat="1" ht="26.25" customHeight="1" thickBot="1">
      <c r="B13" s="104"/>
      <c r="C13" s="126" t="s">
        <v>634</v>
      </c>
      <c r="G13" s="111"/>
      <c r="L13" s="33"/>
      <c r="M13" s="33"/>
      <c r="N13" s="33"/>
      <c r="O13" s="33"/>
      <c r="P13" s="33"/>
      <c r="Q13" s="70"/>
      <c r="S13" s="8"/>
      <c r="T13" s="8"/>
    </row>
    <row r="14" spans="2:20" s="9" customFormat="1" ht="26.25" customHeight="1" thickBot="1">
      <c r="B14" s="104"/>
      <c r="C14" s="174" t="s">
        <v>629</v>
      </c>
      <c r="G14" s="125"/>
      <c r="L14" s="33"/>
      <c r="M14" s="33"/>
      <c r="N14" s="33"/>
      <c r="O14" s="33"/>
      <c r="P14" s="33"/>
      <c r="Q14" s="70"/>
      <c r="S14" s="8"/>
      <c r="T14" s="8"/>
    </row>
    <row r="15" spans="2:20" s="9" customFormat="1" ht="26.25" customHeight="1" thickBot="1">
      <c r="B15" s="104"/>
      <c r="C15" s="174" t="s">
        <v>630</v>
      </c>
      <c r="G15" s="125"/>
      <c r="L15" s="33"/>
      <c r="M15" s="33"/>
      <c r="N15" s="33"/>
      <c r="O15" s="33"/>
      <c r="P15" s="33"/>
      <c r="Q15" s="70"/>
      <c r="S15" s="8"/>
      <c r="T15" s="8"/>
    </row>
    <row r="16" spans="2:20" s="9" customFormat="1" ht="26.25" customHeight="1" thickBot="1">
      <c r="B16" s="104"/>
      <c r="C16" s="174" t="s">
        <v>631</v>
      </c>
      <c r="G16" s="125"/>
      <c r="L16" s="33"/>
      <c r="M16" s="33"/>
      <c r="N16" s="33"/>
      <c r="O16" s="33"/>
      <c r="P16" s="33"/>
      <c r="Q16" s="70"/>
      <c r="S16" s="8"/>
      <c r="T16" s="8"/>
    </row>
    <row r="17" spans="2:20" s="9" customFormat="1" ht="26.25" customHeight="1" thickBot="1">
      <c r="B17" s="104"/>
      <c r="C17" s="126" t="s">
        <v>632</v>
      </c>
      <c r="G17" s="111"/>
      <c r="L17" s="33"/>
      <c r="M17" s="33"/>
      <c r="N17" s="33"/>
      <c r="O17" s="33"/>
      <c r="P17" s="33"/>
      <c r="Q17" s="70"/>
      <c r="S17" s="8"/>
      <c r="T17" s="8"/>
    </row>
    <row r="18" spans="2:20" s="9" customFormat="1" ht="26.25" customHeight="1" thickBot="1">
      <c r="B18" s="104"/>
      <c r="C18" s="126" t="s">
        <v>633</v>
      </c>
      <c r="G18" s="125"/>
      <c r="L18" s="33"/>
      <c r="M18" s="33"/>
      <c r="N18" s="33"/>
      <c r="O18" s="33"/>
      <c r="P18" s="33"/>
      <c r="Q18" s="70"/>
      <c r="S18" s="8"/>
      <c r="T18" s="8"/>
    </row>
    <row r="19" spans="2:20" s="9" customFormat="1" ht="26.25" customHeight="1" thickBot="1">
      <c r="B19" s="104"/>
      <c r="C19" s="126" t="s">
        <v>635</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541</v>
      </c>
      <c r="C21" s="245" t="s">
        <v>472</v>
      </c>
      <c r="D21" s="245" t="s">
        <v>448</v>
      </c>
      <c r="E21" s="245" t="s">
        <v>440</v>
      </c>
      <c r="F21" s="245" t="s">
        <v>554</v>
      </c>
      <c r="G21" s="40"/>
      <c r="M21" s="25"/>
      <c r="T21" s="25"/>
    </row>
    <row r="22" spans="2:20" s="105" customFormat="1" ht="36" customHeight="1">
      <c r="B22" s="647" t="s">
        <v>544</v>
      </c>
      <c r="C22" s="653" t="s">
        <v>438</v>
      </c>
      <c r="D22" s="656" t="s">
        <v>444</v>
      </c>
      <c r="E22" s="660" t="s">
        <v>592</v>
      </c>
      <c r="F22" s="656" t="s">
        <v>449</v>
      </c>
      <c r="G22" s="176"/>
      <c r="M22" s="645"/>
      <c r="T22" s="645"/>
    </row>
    <row r="23" spans="2:20" s="105" customFormat="1" ht="35.25" customHeight="1">
      <c r="B23" s="648" t="s">
        <v>459</v>
      </c>
      <c r="C23" s="654" t="s">
        <v>439</v>
      </c>
      <c r="D23" s="657" t="s">
        <v>445</v>
      </c>
      <c r="E23" s="661" t="s">
        <v>592</v>
      </c>
      <c r="F23" s="657" t="s">
        <v>449</v>
      </c>
      <c r="G23" s="176"/>
      <c r="M23" s="645"/>
      <c r="T23" s="645"/>
    </row>
    <row r="24" spans="2:20" s="105" customFormat="1" ht="34.5" customHeight="1">
      <c r="B24" s="648" t="s">
        <v>456</v>
      </c>
      <c r="C24" s="654" t="s">
        <v>439</v>
      </c>
      <c r="D24" s="657" t="s">
        <v>446</v>
      </c>
      <c r="E24" s="661" t="s">
        <v>592</v>
      </c>
      <c r="F24" s="657" t="s">
        <v>449</v>
      </c>
      <c r="G24" s="176"/>
      <c r="M24" s="645"/>
      <c r="T24" s="645"/>
    </row>
    <row r="25" spans="2:20" s="105" customFormat="1" ht="32.25" customHeight="1">
      <c r="B25" s="649" t="s">
        <v>457</v>
      </c>
      <c r="C25" s="654" t="s">
        <v>438</v>
      </c>
      <c r="D25" s="657" t="s">
        <v>447</v>
      </c>
      <c r="E25" s="662" t="s">
        <v>611</v>
      </c>
      <c r="F25" s="665"/>
      <c r="G25" s="176"/>
      <c r="M25" s="645"/>
      <c r="T25" s="645"/>
    </row>
    <row r="26" spans="2:20" s="105" customFormat="1" ht="30.75" customHeight="1">
      <c r="B26" s="650" t="s">
        <v>542</v>
      </c>
      <c r="C26" s="654" t="s">
        <v>438</v>
      </c>
      <c r="D26" s="657"/>
      <c r="E26" s="662"/>
      <c r="F26" s="665"/>
      <c r="G26" s="176"/>
      <c r="M26" s="645"/>
      <c r="T26" s="645"/>
    </row>
    <row r="27" spans="2:20" s="105" customFormat="1" ht="32.25" customHeight="1">
      <c r="B27" s="651" t="s">
        <v>543</v>
      </c>
      <c r="C27" s="654" t="s">
        <v>438</v>
      </c>
      <c r="D27" s="658" t="s">
        <v>539</v>
      </c>
      <c r="E27" s="662"/>
      <c r="F27" s="665"/>
      <c r="G27" s="176"/>
      <c r="M27" s="645"/>
      <c r="T27" s="645"/>
    </row>
    <row r="28" spans="2:20" s="105" customFormat="1" ht="27" customHeight="1">
      <c r="B28" s="649" t="s">
        <v>458</v>
      </c>
      <c r="C28" s="654" t="s">
        <v>441</v>
      </c>
      <c r="D28" s="657" t="s">
        <v>483</v>
      </c>
      <c r="E28" s="662" t="s">
        <v>460</v>
      </c>
      <c r="F28" s="665"/>
      <c r="G28" s="176"/>
      <c r="M28" s="645"/>
      <c r="T28" s="645"/>
    </row>
    <row r="29" spans="2:20" s="105" customFormat="1" ht="27" customHeight="1">
      <c r="B29" s="651" t="s">
        <v>453</v>
      </c>
      <c r="C29" s="654" t="s">
        <v>438</v>
      </c>
      <c r="D29" s="657"/>
      <c r="E29" s="662"/>
      <c r="F29" s="657" t="s">
        <v>409</v>
      </c>
      <c r="G29" s="176"/>
      <c r="M29" s="645"/>
      <c r="T29" s="645"/>
    </row>
    <row r="30" spans="2:20" s="105" customFormat="1" ht="32.25" customHeight="1">
      <c r="B30" s="649" t="s">
        <v>208</v>
      </c>
      <c r="C30" s="654" t="s">
        <v>443</v>
      </c>
      <c r="D30" s="657" t="s">
        <v>556</v>
      </c>
      <c r="E30" s="663"/>
      <c r="F30" s="657" t="s">
        <v>555</v>
      </c>
      <c r="G30" s="646"/>
      <c r="M30" s="645"/>
    </row>
    <row r="31" spans="2:20" s="105" customFormat="1" ht="27.75" customHeight="1">
      <c r="B31" s="652" t="s">
        <v>540</v>
      </c>
      <c r="C31" s="655" t="s">
        <v>442</v>
      </c>
      <c r="D31" s="659"/>
      <c r="E31" s="664"/>
      <c r="F31" s="659"/>
      <c r="G31" s="646"/>
      <c r="M31" s="645"/>
    </row>
    <row r="32" spans="2:20" s="105" customFormat="1" ht="23.25" customHeight="1">
      <c r="C32" s="177"/>
      <c r="D32" s="177"/>
      <c r="E32" s="177"/>
      <c r="G32" s="646"/>
      <c r="M32" s="645"/>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416</v>
      </c>
      <c r="E1" s="122" t="s">
        <v>451</v>
      </c>
      <c r="F1" s="122" t="s">
        <v>550</v>
      </c>
      <c r="G1" s="122" t="s">
        <v>575</v>
      </c>
      <c r="H1" s="122" t="s">
        <v>586</v>
      </c>
    </row>
    <row r="2" spans="1:8">
      <c r="A2" s="12" t="s">
        <v>29</v>
      </c>
      <c r="B2" s="12" t="s">
        <v>27</v>
      </c>
      <c r="C2" s="10">
        <v>2006</v>
      </c>
      <c r="D2" s="12" t="s">
        <v>417</v>
      </c>
      <c r="E2" s="10">
        <f>'2. LRAMVA Threshold'!D9</f>
        <v>2013</v>
      </c>
      <c r="F2" s="26" t="s">
        <v>171</v>
      </c>
      <c r="G2" s="12" t="s">
        <v>576</v>
      </c>
      <c r="H2" s="12" t="s">
        <v>594</v>
      </c>
    </row>
    <row r="3" spans="1:8">
      <c r="A3" s="12" t="s">
        <v>373</v>
      </c>
      <c r="B3" s="12" t="s">
        <v>27</v>
      </c>
      <c r="C3" s="10">
        <v>2007</v>
      </c>
      <c r="D3" s="12" t="s">
        <v>418</v>
      </c>
      <c r="E3" s="10">
        <f>'2. LRAMVA Threshold'!D24</f>
        <v>0</v>
      </c>
      <c r="F3" s="12" t="s">
        <v>551</v>
      </c>
      <c r="G3" s="12" t="s">
        <v>577</v>
      </c>
      <c r="H3" s="12" t="s">
        <v>587</v>
      </c>
    </row>
    <row r="4" spans="1:8">
      <c r="A4" s="12" t="s">
        <v>374</v>
      </c>
      <c r="B4" s="12" t="s">
        <v>28</v>
      </c>
      <c r="C4" s="10">
        <v>2008</v>
      </c>
      <c r="D4" s="12" t="s">
        <v>419</v>
      </c>
      <c r="F4" s="12" t="s">
        <v>170</v>
      </c>
      <c r="G4" s="12" t="s">
        <v>578</v>
      </c>
    </row>
    <row r="5" spans="1:8">
      <c r="A5" s="12" t="s">
        <v>375</v>
      </c>
      <c r="B5" s="12" t="s">
        <v>28</v>
      </c>
      <c r="C5" s="10">
        <v>2009</v>
      </c>
      <c r="F5" s="12" t="s">
        <v>370</v>
      </c>
      <c r="G5" s="12" t="s">
        <v>579</v>
      </c>
    </row>
    <row r="6" spans="1:8">
      <c r="A6" s="12" t="s">
        <v>376</v>
      </c>
      <c r="B6" s="12" t="s">
        <v>28</v>
      </c>
      <c r="C6" s="10">
        <v>2010</v>
      </c>
      <c r="F6" s="12" t="s">
        <v>371</v>
      </c>
      <c r="G6" s="12" t="s">
        <v>580</v>
      </c>
    </row>
    <row r="7" spans="1:8">
      <c r="A7" s="12" t="s">
        <v>377</v>
      </c>
      <c r="B7" s="12" t="s">
        <v>28</v>
      </c>
      <c r="C7" s="10">
        <v>2011</v>
      </c>
      <c r="F7" s="12" t="s">
        <v>372</v>
      </c>
      <c r="G7" s="12" t="s">
        <v>581</v>
      </c>
    </row>
    <row r="8" spans="1:8">
      <c r="A8" s="12" t="s">
        <v>378</v>
      </c>
      <c r="B8" s="12" t="s">
        <v>28</v>
      </c>
      <c r="C8" s="10">
        <v>2012</v>
      </c>
      <c r="F8" s="12" t="s">
        <v>559</v>
      </c>
      <c r="G8" s="12" t="s">
        <v>582</v>
      </c>
    </row>
    <row r="9" spans="1:8">
      <c r="A9" s="12" t="s">
        <v>379</v>
      </c>
      <c r="B9" s="12" t="s">
        <v>28</v>
      </c>
      <c r="C9" s="10">
        <v>2013</v>
      </c>
      <c r="G9" s="12" t="s">
        <v>583</v>
      </c>
    </row>
    <row r="10" spans="1:8">
      <c r="A10" s="12" t="s">
        <v>380</v>
      </c>
      <c r="B10" s="12" t="s">
        <v>28</v>
      </c>
      <c r="C10" s="10">
        <v>2014</v>
      </c>
      <c r="G10" s="12" t="s">
        <v>584</v>
      </c>
    </row>
    <row r="11" spans="1:8">
      <c r="A11" s="12" t="s">
        <v>381</v>
      </c>
      <c r="B11" s="12" t="s">
        <v>28</v>
      </c>
      <c r="C11" s="10">
        <v>2015</v>
      </c>
      <c r="G11" s="12" t="s">
        <v>585</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6"/>
  <sheetViews>
    <sheetView topLeftCell="B28" zoomScale="90" zoomScaleNormal="90" workbookViewId="0">
      <selection activeCell="F51" sqref="F51"/>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6.710937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9" t="s">
        <v>552</v>
      </c>
      <c r="D6" s="17"/>
      <c r="E6" s="9"/>
      <c r="T6" s="9"/>
      <c r="V6" s="8"/>
    </row>
    <row r="7" spans="2:22" ht="21" customHeight="1">
      <c r="B7" s="537"/>
      <c r="C7" s="17"/>
      <c r="D7" s="17"/>
      <c r="E7" s="9"/>
      <c r="T7" s="9"/>
      <c r="V7" s="8"/>
    </row>
    <row r="8" spans="2:22" ht="24.75" customHeight="1">
      <c r="B8" s="119" t="s">
        <v>240</v>
      </c>
      <c r="C8" s="191" t="s">
        <v>690</v>
      </c>
      <c r="D8" s="601"/>
      <c r="E8" s="9"/>
      <c r="T8" s="9"/>
      <c r="V8" s="8"/>
    </row>
    <row r="9" spans="2:22" ht="41.25" customHeight="1">
      <c r="B9" s="551" t="s">
        <v>521</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557</v>
      </c>
      <c r="C11" s="567"/>
      <c r="D11" s="567"/>
      <c r="E11" s="567"/>
      <c r="F11" s="567"/>
      <c r="G11" s="567"/>
      <c r="H11" s="567"/>
      <c r="T11" s="550"/>
      <c r="U11" s="550"/>
    </row>
    <row r="12" spans="2:22" s="32" customFormat="1" ht="18.75" customHeight="1">
      <c r="B12" s="544"/>
      <c r="T12" s="188"/>
      <c r="U12" s="188"/>
    </row>
    <row r="13" spans="2:22" s="32" customFormat="1" ht="22.5" customHeight="1" thickBot="1">
      <c r="B13" s="187" t="s">
        <v>509</v>
      </c>
      <c r="C13" s="17"/>
      <c r="F13" s="187" t="s">
        <v>510</v>
      </c>
      <c r="G13" s="36"/>
      <c r="H13" s="31"/>
      <c r="I13" s="9"/>
      <c r="J13" s="186" t="s">
        <v>507</v>
      </c>
      <c r="N13" s="105"/>
      <c r="P13" s="9"/>
      <c r="Q13" s="189"/>
      <c r="R13" s="42"/>
      <c r="T13" s="188"/>
      <c r="U13" s="188"/>
    </row>
    <row r="14" spans="2:22" ht="29.25" customHeight="1" thickBot="1">
      <c r="B14" s="126" t="s">
        <v>548</v>
      </c>
      <c r="D14" s="542"/>
      <c r="E14" s="132"/>
      <c r="F14" s="126" t="s">
        <v>549</v>
      </c>
      <c r="H14" s="542" t="s">
        <v>681</v>
      </c>
      <c r="J14" s="126" t="s">
        <v>516</v>
      </c>
      <c r="L14" s="134"/>
      <c r="N14" s="105"/>
      <c r="Q14" s="101"/>
      <c r="R14" s="98"/>
    </row>
    <row r="15" spans="2:22" ht="26.25" customHeight="1" thickBot="1">
      <c r="B15" s="126" t="s">
        <v>425</v>
      </c>
      <c r="C15" s="108"/>
      <c r="D15" s="542"/>
      <c r="F15" s="126" t="s">
        <v>415</v>
      </c>
      <c r="G15" s="129"/>
      <c r="H15" s="542" t="s">
        <v>682</v>
      </c>
      <c r="I15" s="17"/>
      <c r="J15" s="126" t="s">
        <v>517</v>
      </c>
      <c r="L15" s="134"/>
      <c r="M15" s="105"/>
      <c r="Q15" s="110"/>
      <c r="R15" s="98"/>
    </row>
    <row r="16" spans="2:22" ht="28.5" customHeight="1" thickBot="1">
      <c r="B16" s="126" t="s">
        <v>455</v>
      </c>
      <c r="C16" s="108"/>
      <c r="D16" s="543"/>
      <c r="E16" s="105"/>
      <c r="F16" s="126" t="s">
        <v>435</v>
      </c>
      <c r="G16" s="127"/>
      <c r="H16" s="543" t="s">
        <v>182</v>
      </c>
      <c r="I16" s="105"/>
      <c r="K16" s="197"/>
      <c r="L16" s="197"/>
      <c r="M16" s="197"/>
      <c r="N16" s="197"/>
      <c r="Q16" s="117"/>
      <c r="R16" s="98"/>
    </row>
    <row r="17" spans="1:21" ht="29.25" customHeight="1" thickBot="1">
      <c r="B17" s="126" t="s">
        <v>422</v>
      </c>
      <c r="C17" s="108"/>
      <c r="D17" s="134"/>
      <c r="E17" s="123"/>
      <c r="F17" s="126" t="s">
        <v>436</v>
      </c>
      <c r="G17" s="603" t="s">
        <v>364</v>
      </c>
      <c r="H17" s="244">
        <f>SUM(R52,R55,R58,R61,R64,R67)</f>
        <v>254247.15840196051</v>
      </c>
      <c r="I17" s="17"/>
      <c r="K17" s="197"/>
      <c r="L17" s="197"/>
      <c r="M17" s="197"/>
      <c r="N17" s="197"/>
      <c r="P17" s="101"/>
      <c r="Q17" s="101"/>
      <c r="R17" s="98"/>
    </row>
    <row r="18" spans="1:21" ht="27.75" customHeight="1" thickBot="1">
      <c r="E18" s="9"/>
      <c r="F18" s="126" t="s">
        <v>437</v>
      </c>
      <c r="G18" s="603" t="s">
        <v>365</v>
      </c>
      <c r="H18" s="133">
        <f>-SUM(R53,R56,R59,R62,R65,R68)</f>
        <v>202367.2389</v>
      </c>
      <c r="I18" s="17"/>
      <c r="J18" s="117"/>
      <c r="K18" s="117"/>
      <c r="L18" s="117"/>
      <c r="M18" s="117"/>
      <c r="N18" s="117"/>
      <c r="P18" s="117"/>
      <c r="Q18" s="117"/>
      <c r="R18" s="98"/>
    </row>
    <row r="19" spans="1:21" ht="27.75" customHeight="1" thickBot="1">
      <c r="E19" s="9"/>
      <c r="F19" s="126" t="s">
        <v>410</v>
      </c>
      <c r="G19" s="603" t="s">
        <v>366</v>
      </c>
      <c r="H19" s="190">
        <f>R82</f>
        <v>2839.9227235072772</v>
      </c>
      <c r="I19" s="17"/>
      <c r="J19" s="117"/>
      <c r="P19" s="117"/>
      <c r="Q19" s="117"/>
      <c r="R19" s="98"/>
    </row>
    <row r="20" spans="1:21" ht="27.75" customHeight="1">
      <c r="C20" s="32"/>
      <c r="D20" s="32"/>
      <c r="E20" s="32"/>
      <c r="F20" s="126" t="s">
        <v>511</v>
      </c>
      <c r="G20" s="603" t="s">
        <v>450</v>
      </c>
      <c r="H20" s="190">
        <f>H17-H18+H19</f>
        <v>54719.842225467786</v>
      </c>
      <c r="I20" s="105"/>
      <c r="P20" s="117"/>
      <c r="Q20" s="117"/>
      <c r="R20" s="98"/>
    </row>
    <row r="21" spans="1:21" ht="22.5" customHeight="1">
      <c r="A21" s="28"/>
      <c r="E21" s="9"/>
    </row>
    <row r="22" spans="1:21" ht="13.5" customHeight="1">
      <c r="A22" s="28"/>
      <c r="B22" s="120" t="s">
        <v>420</v>
      </c>
      <c r="C22" s="35"/>
      <c r="E22" s="9"/>
    </row>
    <row r="23" spans="1:21" ht="13.5" customHeight="1">
      <c r="A23" s="28"/>
      <c r="B23" s="120"/>
      <c r="C23" s="35"/>
      <c r="E23" s="9"/>
    </row>
    <row r="24" spans="1:21" ht="138" customHeight="1">
      <c r="A24" s="28"/>
      <c r="B24" s="775" t="s">
        <v>638</v>
      </c>
      <c r="C24" s="775"/>
      <c r="D24" s="775"/>
      <c r="E24" s="775"/>
      <c r="F24" s="775"/>
      <c r="G24" s="775"/>
    </row>
    <row r="25" spans="1:21" ht="14.25" customHeight="1">
      <c r="A25" s="28"/>
      <c r="B25" s="548"/>
      <c r="C25" s="548"/>
      <c r="D25" s="538"/>
      <c r="E25" s="538"/>
      <c r="F25" s="538"/>
      <c r="G25" s="548"/>
    </row>
    <row r="26" spans="1:21" s="17" customFormat="1" ht="27" customHeight="1">
      <c r="B26" s="778" t="s">
        <v>508</v>
      </c>
      <c r="C26" s="779"/>
      <c r="D26" s="135" t="s">
        <v>41</v>
      </c>
      <c r="E26" s="136" t="s">
        <v>568</v>
      </c>
      <c r="F26" s="136" t="s">
        <v>410</v>
      </c>
      <c r="G26" s="137" t="s">
        <v>411</v>
      </c>
      <c r="T26" s="138"/>
      <c r="U26" s="138"/>
    </row>
    <row r="27" spans="1:21" ht="20.25" customHeight="1">
      <c r="B27" s="773" t="s">
        <v>29</v>
      </c>
      <c r="C27" s="774"/>
      <c r="D27" s="638" t="s">
        <v>27</v>
      </c>
      <c r="E27" s="744">
        <f>SUM(D52:D81)</f>
        <v>5858.1389612268067</v>
      </c>
      <c r="F27" s="141">
        <f>D82</f>
        <v>392.18892971459348</v>
      </c>
      <c r="G27" s="140">
        <f>E27+F27</f>
        <v>6250.3278909414003</v>
      </c>
    </row>
    <row r="28" spans="1:21" ht="20.25" customHeight="1">
      <c r="B28" s="773" t="s">
        <v>373</v>
      </c>
      <c r="C28" s="774"/>
      <c r="D28" s="638" t="s">
        <v>27</v>
      </c>
      <c r="E28" s="745">
        <f>SUM(E52:E81)</f>
        <v>95626.231715826667</v>
      </c>
      <c r="F28" s="143">
        <f>E82</f>
        <v>4573.2105807982371</v>
      </c>
      <c r="G28" s="142">
        <f>E28+F28</f>
        <v>100199.44229662491</v>
      </c>
    </row>
    <row r="29" spans="1:21" ht="20.25" customHeight="1">
      <c r="B29" s="773" t="s">
        <v>374</v>
      </c>
      <c r="C29" s="774"/>
      <c r="D29" s="638" t="s">
        <v>28</v>
      </c>
      <c r="E29" s="745">
        <f>SUM(F52:F81)</f>
        <v>-40984.49677509295</v>
      </c>
      <c r="F29" s="143">
        <f>F82</f>
        <v>-1721.9827619630514</v>
      </c>
      <c r="G29" s="142">
        <f t="shared" ref="G29:G32" si="0">E29+F29</f>
        <v>-42706.479537056002</v>
      </c>
    </row>
    <row r="30" spans="1:21" ht="20.25" customHeight="1">
      <c r="B30" s="773" t="s">
        <v>683</v>
      </c>
      <c r="C30" s="774"/>
      <c r="D30" s="638" t="s">
        <v>28</v>
      </c>
      <c r="E30" s="745">
        <f>SUM(G52:G81)</f>
        <v>-8457.4195999999993</v>
      </c>
      <c r="F30" s="143">
        <f>G82</f>
        <v>-395.6678983075002</v>
      </c>
      <c r="G30" s="142">
        <f t="shared" si="0"/>
        <v>-8853.0874983074991</v>
      </c>
    </row>
    <row r="31" spans="1:21" ht="20.25" customHeight="1">
      <c r="B31" s="773" t="s">
        <v>32</v>
      </c>
      <c r="C31" s="774"/>
      <c r="D31" s="638" t="s">
        <v>700</v>
      </c>
      <c r="E31" s="142">
        <f>SUM(H52:H81)</f>
        <v>-162.53479999999999</v>
      </c>
      <c r="F31" s="143">
        <f>H82</f>
        <v>-7.8261267350000052</v>
      </c>
      <c r="G31" s="142">
        <f>E31+F31</f>
        <v>-170.36092673499999</v>
      </c>
    </row>
    <row r="32" spans="1:21" ht="20.25" hidden="1" customHeight="1">
      <c r="B32" s="773"/>
      <c r="C32" s="774"/>
      <c r="D32" s="638"/>
      <c r="E32" s="142">
        <f>SUM(I52:I81)</f>
        <v>0</v>
      </c>
      <c r="F32" s="143">
        <f>I82</f>
        <v>0</v>
      </c>
      <c r="G32" s="142">
        <f t="shared" si="0"/>
        <v>0</v>
      </c>
    </row>
    <row r="33" spans="2:22" ht="20.25" hidden="1" customHeight="1">
      <c r="B33" s="773"/>
      <c r="C33" s="774"/>
      <c r="D33" s="638"/>
      <c r="E33" s="142">
        <f>SUM(J52:J81)</f>
        <v>0</v>
      </c>
      <c r="F33" s="143">
        <f>J82</f>
        <v>0</v>
      </c>
      <c r="G33" s="142">
        <f>E33+F33</f>
        <v>0</v>
      </c>
    </row>
    <row r="34" spans="2:22" ht="20.25" hidden="1" customHeight="1">
      <c r="B34" s="773"/>
      <c r="C34" s="774"/>
      <c r="D34" s="638"/>
      <c r="E34" s="142">
        <f>SUM(K52:K81)</f>
        <v>0</v>
      </c>
      <c r="F34" s="143">
        <f>K82</f>
        <v>0</v>
      </c>
      <c r="G34" s="142">
        <f t="shared" ref="G34:G40" si="1">E34+F34</f>
        <v>0</v>
      </c>
    </row>
    <row r="35" spans="2:22" ht="20.25" hidden="1" customHeight="1">
      <c r="B35" s="773"/>
      <c r="C35" s="774"/>
      <c r="D35" s="638"/>
      <c r="E35" s="142">
        <f>SUM(L52:L81)</f>
        <v>0</v>
      </c>
      <c r="F35" s="143">
        <f>L82</f>
        <v>0</v>
      </c>
      <c r="G35" s="142">
        <f t="shared" si="1"/>
        <v>0</v>
      </c>
    </row>
    <row r="36" spans="2:22" ht="20.25" hidden="1" customHeight="1">
      <c r="B36" s="773"/>
      <c r="C36" s="774"/>
      <c r="D36" s="638"/>
      <c r="E36" s="142">
        <f>SUM(M52:M81)</f>
        <v>0</v>
      </c>
      <c r="F36" s="143">
        <f>M82</f>
        <v>0</v>
      </c>
      <c r="G36" s="142">
        <f t="shared" si="1"/>
        <v>0</v>
      </c>
    </row>
    <row r="37" spans="2:22" ht="20.25" hidden="1" customHeight="1">
      <c r="B37" s="773"/>
      <c r="C37" s="774"/>
      <c r="D37" s="638"/>
      <c r="E37" s="142">
        <f>SUM(N52:N81)</f>
        <v>0</v>
      </c>
      <c r="F37" s="143">
        <f>N82</f>
        <v>0</v>
      </c>
      <c r="G37" s="142">
        <f t="shared" si="1"/>
        <v>0</v>
      </c>
    </row>
    <row r="38" spans="2:22" ht="20.25" hidden="1" customHeight="1">
      <c r="B38" s="773"/>
      <c r="C38" s="774"/>
      <c r="D38" s="638"/>
      <c r="E38" s="142">
        <f>SUM(O52:O81)</f>
        <v>0</v>
      </c>
      <c r="F38" s="143">
        <f>O82</f>
        <v>0</v>
      </c>
      <c r="G38" s="142">
        <f t="shared" si="1"/>
        <v>0</v>
      </c>
    </row>
    <row r="39" spans="2:22" ht="20.25" hidden="1" customHeight="1">
      <c r="B39" s="773"/>
      <c r="C39" s="774"/>
      <c r="D39" s="638"/>
      <c r="E39" s="142">
        <f>SUM(P52:P81)</f>
        <v>0</v>
      </c>
      <c r="F39" s="143">
        <f>P82</f>
        <v>0</v>
      </c>
      <c r="G39" s="142">
        <f t="shared" si="1"/>
        <v>0</v>
      </c>
    </row>
    <row r="40" spans="2:22" ht="20.25" hidden="1" customHeight="1">
      <c r="B40" s="773"/>
      <c r="C40" s="774"/>
      <c r="D40" s="639"/>
      <c r="E40" s="144">
        <f>SUM(Q52:Q81)</f>
        <v>0</v>
      </c>
      <c r="F40" s="145">
        <f>Q82</f>
        <v>0</v>
      </c>
      <c r="G40" s="144">
        <f t="shared" si="1"/>
        <v>0</v>
      </c>
    </row>
    <row r="41" spans="2:22" s="8" customFormat="1" ht="21" customHeight="1">
      <c r="B41" s="776" t="s">
        <v>26</v>
      </c>
      <c r="C41" s="777"/>
      <c r="D41" s="139"/>
      <c r="E41" s="146">
        <f>SUM(E27:E40)</f>
        <v>51879.919501960525</v>
      </c>
      <c r="F41" s="146">
        <f>SUM(F27:F40)</f>
        <v>2839.922723507279</v>
      </c>
      <c r="G41" s="146">
        <f>SUM(G27:G40)</f>
        <v>54719.842225467823</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461</v>
      </c>
      <c r="C44" s="31"/>
      <c r="D44" s="31"/>
      <c r="E44" s="597"/>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75" t="s">
        <v>614</v>
      </c>
      <c r="C46" s="775"/>
      <c r="D46" s="775"/>
      <c r="E46" s="775"/>
      <c r="F46" s="775"/>
      <c r="G46" s="775"/>
      <c r="H46" s="775"/>
      <c r="I46" s="775"/>
      <c r="J46" s="775"/>
      <c r="K46" s="775"/>
      <c r="L46" s="775"/>
      <c r="M46" s="617"/>
      <c r="N46" s="107"/>
      <c r="O46" s="107"/>
      <c r="P46" s="107"/>
      <c r="Q46" s="107"/>
      <c r="R46" s="107"/>
      <c r="T46" s="37"/>
      <c r="U46" s="19"/>
      <c r="V46" s="38"/>
    </row>
    <row r="47" spans="2:22" s="28" customFormat="1" ht="48" customHeight="1">
      <c r="B47" s="775" t="s">
        <v>567</v>
      </c>
      <c r="C47" s="775"/>
      <c r="D47" s="775"/>
      <c r="E47" s="775"/>
      <c r="F47" s="775"/>
      <c r="G47" s="775"/>
      <c r="H47" s="775"/>
      <c r="I47" s="775"/>
      <c r="J47" s="775"/>
      <c r="K47" s="775"/>
      <c r="L47" s="775"/>
      <c r="M47" s="617"/>
      <c r="N47" s="107"/>
      <c r="O47" s="107"/>
      <c r="P47" s="107"/>
      <c r="Q47" s="107"/>
      <c r="R47" s="107"/>
      <c r="T47" s="37"/>
      <c r="U47" s="19"/>
      <c r="V47" s="38"/>
    </row>
    <row r="48" spans="2:22" s="28" customFormat="1" ht="26.25" customHeight="1">
      <c r="B48" s="775" t="s">
        <v>623</v>
      </c>
      <c r="C48" s="775"/>
      <c r="D48" s="775"/>
      <c r="E48" s="775"/>
      <c r="F48" s="775"/>
      <c r="G48" s="775"/>
      <c r="H48" s="775"/>
      <c r="I48" s="775"/>
      <c r="J48" s="775"/>
      <c r="K48" s="775"/>
      <c r="L48" s="775"/>
      <c r="M48" s="617"/>
      <c r="N48" s="107"/>
      <c r="O48" s="107"/>
      <c r="P48" s="107"/>
      <c r="Q48" s="107"/>
      <c r="R48" s="107"/>
      <c r="T48" s="37"/>
      <c r="U48" s="19"/>
      <c r="V48" s="38"/>
    </row>
    <row r="49" spans="2:22" ht="15" customHeight="1">
      <c r="B49" s="613"/>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518</v>
      </c>
      <c r="D50" s="137" t="str">
        <f>IF($B27&lt;&gt;"",$B27,"")</f>
        <v>Residential</v>
      </c>
      <c r="E50" s="137" t="str">
        <f>IF($B28&lt;&gt;"",$B28,"")</f>
        <v>GS&lt;50 kW</v>
      </c>
      <c r="F50" s="137" t="str">
        <f>IF($B29&lt;&gt;"",$B29,"")</f>
        <v>GS&gt;50 kW</v>
      </c>
      <c r="G50" s="137" t="str">
        <f>IF($B30&lt;&gt;"",$B30,"")</f>
        <v>Streetlights</v>
      </c>
      <c r="H50" s="137" t="str">
        <f>IF($B31&lt;&gt;"",$B31,"")</f>
        <v>Unmetered Scattered Load</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5"/>
      <c r="C51" s="576"/>
      <c r="D51" s="576" t="str">
        <f>D27</f>
        <v>kWh</v>
      </c>
      <c r="E51" s="576" t="str">
        <f>D28</f>
        <v>kWh</v>
      </c>
      <c r="F51" s="576" t="str">
        <f>D29</f>
        <v>kW</v>
      </c>
      <c r="G51" s="576" t="str">
        <f>D30</f>
        <v>kW</v>
      </c>
      <c r="H51" s="576" t="str">
        <f>D31</f>
        <v>KWh</v>
      </c>
      <c r="I51" s="576">
        <f>D32</f>
        <v>0</v>
      </c>
      <c r="J51" s="576">
        <f>D33</f>
        <v>0</v>
      </c>
      <c r="K51" s="576">
        <f>D34</f>
        <v>0</v>
      </c>
      <c r="L51" s="576">
        <f>D35</f>
        <v>0</v>
      </c>
      <c r="M51" s="576">
        <f>D36</f>
        <v>0</v>
      </c>
      <c r="N51" s="576">
        <f>D37</f>
        <v>0</v>
      </c>
      <c r="O51" s="576">
        <f>D38</f>
        <v>0</v>
      </c>
      <c r="P51" s="576">
        <f>D39</f>
        <v>0</v>
      </c>
      <c r="Q51" s="576">
        <f>D40</f>
        <v>0</v>
      </c>
      <c r="R51" s="577"/>
      <c r="U51" s="149"/>
    </row>
    <row r="52" spans="2:22" s="17" customFormat="1">
      <c r="B52" s="150" t="s">
        <v>143</v>
      </c>
      <c r="C52" s="151"/>
      <c r="D52" s="152">
        <f>'4.  2011-2014 LRAM'!Y131</f>
        <v>4442.5738821225214</v>
      </c>
      <c r="E52" s="152">
        <f>'4.  2011-2014 LRAM'!Z131</f>
        <v>2946.012781841589</v>
      </c>
      <c r="F52" s="152">
        <f>'4.  2011-2014 LRAM'!AA131</f>
        <v>1511.13686316602</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8899.7235271301306</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5" t="s">
        <v>67</v>
      </c>
      <c r="C54" s="621"/>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7435.6465741208249</v>
      </c>
      <c r="E55" s="158">
        <f>'4.  2011-2014 LRAM'!Z261</f>
        <v>10111.611774590676</v>
      </c>
      <c r="F55" s="158">
        <f>'4.  2011-2014 LRAM'!AA261</f>
        <v>7115.0953286790063</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24662.353677390507</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5" t="s">
        <v>67</v>
      </c>
      <c r="C57" s="621"/>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10996.405299952912</v>
      </c>
      <c r="E58" s="158">
        <f>'4.  2011-2014 LRAM'!Z391</f>
        <v>20113.390571797976</v>
      </c>
      <c r="F58" s="158">
        <f>'4.  2011-2014 LRAM'!AA391</f>
        <v>10814.314936345441</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41924.110808096331</v>
      </c>
      <c r="U58" s="154"/>
      <c r="V58" s="155"/>
    </row>
    <row r="59" spans="2:22" s="165" customFormat="1">
      <c r="B59" s="156" t="s">
        <v>37</v>
      </c>
      <c r="C59" s="157"/>
      <c r="D59" s="158">
        <f>-'4.  2011-2014 LRAM'!Y392</f>
        <v>-23537.552500000002</v>
      </c>
      <c r="E59" s="158">
        <f>-'4.  2011-2014 LRAM'!Z392</f>
        <v>-6408.4030000000002</v>
      </c>
      <c r="F59" s="158">
        <f>-'4.  2011-2014 LRAM'!AA392</f>
        <v>-29190.520499999999</v>
      </c>
      <c r="G59" s="158">
        <f>-'4.  2011-2014 LRAM'!AB392</f>
        <v>-2726.9675999999999</v>
      </c>
      <c r="H59" s="158">
        <f>-'4.  2011-2014 LRAM'!AC392</f>
        <v>-66.512799999999999</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-61929.956399999995</v>
      </c>
      <c r="S59" s="160"/>
      <c r="U59" s="154"/>
      <c r="V59" s="155"/>
    </row>
    <row r="60" spans="2:22" s="138" customFormat="1">
      <c r="B60" s="625" t="s">
        <v>67</v>
      </c>
      <c r="C60" s="621"/>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24797.070438351002</v>
      </c>
      <c r="E61" s="158">
        <f>'4.  2011-2014 LRAM'!Z521</f>
        <v>37923.158953142389</v>
      </c>
      <c r="F61" s="158">
        <f>'4.  2011-2014 LRAM'!AA521</f>
        <v>15665.617258352851</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78385.846649846237</v>
      </c>
      <c r="U61" s="154"/>
      <c r="V61" s="155"/>
    </row>
    <row r="62" spans="2:22" s="165" customFormat="1">
      <c r="B62" s="156" t="s">
        <v>39</v>
      </c>
      <c r="C62" s="157"/>
      <c r="D62" s="158">
        <f>-'4.  2011-2014 LRAM'!Y522</f>
        <v>-26496.559099999999</v>
      </c>
      <c r="E62" s="158">
        <f>-'4.  2011-2014 LRAM'!Z522</f>
        <v>-7277.3389999999999</v>
      </c>
      <c r="F62" s="158">
        <f>-'4.  2011-2014 LRAM'!AA522</f>
        <v>-33258.305699999997</v>
      </c>
      <c r="G62" s="158">
        <f>-'4.  2011-2014 LRAM'!AB522</f>
        <v>-2846.2531999999997</v>
      </c>
      <c r="H62" s="158">
        <f>-'4.  2011-2014 LRAM'!AC522</f>
        <v>-41.687599999999996</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-69920.1446</v>
      </c>
      <c r="S62" s="160"/>
      <c r="U62" s="154"/>
      <c r="V62" s="155"/>
    </row>
    <row r="63" spans="2:22" s="138" customFormat="1">
      <c r="B63" s="625" t="s">
        <v>67</v>
      </c>
      <c r="C63" s="621"/>
      <c r="D63" s="162"/>
      <c r="E63" s="162"/>
      <c r="F63" s="162"/>
      <c r="G63" s="162"/>
      <c r="H63" s="162"/>
      <c r="I63" s="162"/>
      <c r="J63" s="162"/>
      <c r="K63" s="163"/>
      <c r="L63" s="163"/>
      <c r="M63" s="163"/>
      <c r="N63" s="163"/>
      <c r="O63" s="163"/>
      <c r="P63" s="163"/>
      <c r="Q63" s="163"/>
      <c r="R63" s="164"/>
      <c r="U63" s="161"/>
      <c r="V63" s="155"/>
    </row>
    <row r="64" spans="2:22" s="165" customFormat="1">
      <c r="B64" s="156" t="s">
        <v>94</v>
      </c>
      <c r="C64" s="535"/>
      <c r="D64" s="166">
        <f>'5.  2015-2020 LRAM'!Y204</f>
        <v>34851.613766679548</v>
      </c>
      <c r="E64" s="166">
        <f>'5.  2015-2020 LRAM'!Z204</f>
        <v>45495.13863445403</v>
      </c>
      <c r="F64" s="166">
        <f>'5.  2015-2020 LRAM'!AA204</f>
        <v>20028.371338363722</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100375.1237394973</v>
      </c>
      <c r="U64" s="154"/>
      <c r="V64" s="155"/>
    </row>
    <row r="65" spans="2:22" s="165" customFormat="1">
      <c r="B65" s="156" t="s">
        <v>93</v>
      </c>
      <c r="C65" s="157"/>
      <c r="D65" s="166">
        <f>-'5.  2015-2020 LRAM'!Y205</f>
        <v>-26631.059400000002</v>
      </c>
      <c r="E65" s="166">
        <f>-'5.  2015-2020 LRAM'!Z205</f>
        <v>-7277.3389999999999</v>
      </c>
      <c r="F65" s="166">
        <f>-'5.  2015-2020 LRAM'!AA205</f>
        <v>-33670.206299999998</v>
      </c>
      <c r="G65" s="166">
        <f>-'5.  2015-2020 LRAM'!AB205</f>
        <v>-2884.1987999999997</v>
      </c>
      <c r="H65" s="166">
        <f>-'5.  2015-2020 LRAM'!AC205</f>
        <v>-54.334399999999995</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-70517.137900000002</v>
      </c>
      <c r="S65" s="160"/>
      <c r="U65" s="154"/>
      <c r="V65" s="155"/>
    </row>
    <row r="66" spans="2:22" s="138" customFormat="1">
      <c r="B66" s="625" t="s">
        <v>67</v>
      </c>
      <c r="C66" s="621"/>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c r="E67" s="158"/>
      <c r="F67" s="158"/>
      <c r="G67" s="158"/>
      <c r="H67" s="158"/>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0</v>
      </c>
      <c r="U67" s="154"/>
      <c r="V67" s="155"/>
    </row>
    <row r="68" spans="2:22" s="165" customFormat="1">
      <c r="B68" s="156" t="s">
        <v>225</v>
      </c>
      <c r="C68" s="157"/>
      <c r="D68" s="158"/>
      <c r="E68" s="158"/>
      <c r="F68" s="158"/>
      <c r="G68" s="158"/>
      <c r="H68" s="158"/>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0</v>
      </c>
      <c r="S68" s="160"/>
      <c r="U68" s="154"/>
      <c r="V68" s="155"/>
    </row>
    <row r="69" spans="2:22" s="138" customFormat="1">
      <c r="B69" s="625" t="s">
        <v>67</v>
      </c>
      <c r="C69" s="621"/>
      <c r="D69" s="162"/>
      <c r="E69" s="162"/>
      <c r="F69" s="162"/>
      <c r="G69" s="162"/>
      <c r="H69" s="162"/>
      <c r="I69" s="162"/>
      <c r="J69" s="162"/>
      <c r="K69" s="163"/>
      <c r="L69" s="163"/>
      <c r="M69" s="163"/>
      <c r="N69" s="163"/>
      <c r="O69" s="163"/>
      <c r="P69" s="163"/>
      <c r="Q69" s="163"/>
      <c r="R69" s="164"/>
      <c r="U69" s="161"/>
      <c r="V69" s="155"/>
    </row>
    <row r="70" spans="2:22" s="165" customFormat="1">
      <c r="B70" s="156" t="s">
        <v>228</v>
      </c>
      <c r="C70" s="535"/>
      <c r="D70" s="158"/>
      <c r="E70" s="158"/>
      <c r="F70" s="158"/>
      <c r="G70" s="158"/>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22" s="165" customFormat="1">
      <c r="B71" s="156" t="s">
        <v>227</v>
      </c>
      <c r="C71" s="157"/>
      <c r="D71" s="158"/>
      <c r="E71" s="158"/>
      <c r="F71" s="158"/>
      <c r="G71" s="158"/>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c r="B72" s="625" t="s">
        <v>67</v>
      </c>
      <c r="C72" s="621"/>
      <c r="D72" s="162"/>
      <c r="E72" s="162"/>
      <c r="F72" s="162"/>
      <c r="G72" s="162"/>
      <c r="H72" s="162"/>
      <c r="I72" s="162"/>
      <c r="J72" s="162"/>
      <c r="K72" s="163"/>
      <c r="L72" s="163"/>
      <c r="M72" s="163"/>
      <c r="N72" s="163"/>
      <c r="O72" s="163"/>
      <c r="P72" s="163"/>
      <c r="Q72" s="163"/>
      <c r="R72" s="164"/>
      <c r="U72" s="161"/>
      <c r="V72" s="155"/>
    </row>
    <row r="73" spans="2:22" s="165" customFormat="1">
      <c r="B73" s="156" t="s">
        <v>230</v>
      </c>
      <c r="C73" s="535"/>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c r="B75" s="625" t="s">
        <v>67</v>
      </c>
      <c r="C75" s="621"/>
      <c r="D75" s="162"/>
      <c r="E75" s="162"/>
      <c r="F75" s="162"/>
      <c r="G75" s="162"/>
      <c r="H75" s="162"/>
      <c r="I75" s="162"/>
      <c r="J75" s="162"/>
      <c r="K75" s="163"/>
      <c r="L75" s="163"/>
      <c r="M75" s="163"/>
      <c r="N75" s="163"/>
      <c r="O75" s="163"/>
      <c r="P75" s="163"/>
      <c r="Q75" s="163"/>
      <c r="R75" s="164"/>
      <c r="U75" s="161"/>
      <c r="V75" s="155"/>
    </row>
    <row r="76" spans="2:22" s="165" customFormat="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c r="B78" s="625" t="s">
        <v>67</v>
      </c>
      <c r="C78" s="621"/>
      <c r="D78" s="162"/>
      <c r="E78" s="162"/>
      <c r="F78" s="162"/>
      <c r="G78" s="162"/>
      <c r="H78" s="162"/>
      <c r="I78" s="162"/>
      <c r="J78" s="162"/>
      <c r="K78" s="163"/>
      <c r="L78" s="163"/>
      <c r="M78" s="163"/>
      <c r="N78" s="163"/>
      <c r="O78" s="163"/>
      <c r="P78" s="163"/>
      <c r="Q78" s="163"/>
      <c r="R78" s="164"/>
      <c r="U78" s="161"/>
      <c r="V78" s="155"/>
    </row>
    <row r="79" spans="2:22" s="165" customFormat="1">
      <c r="B79" s="156" t="s">
        <v>234</v>
      </c>
      <c r="C79" s="535"/>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c r="B81" s="625" t="s">
        <v>67</v>
      </c>
      <c r="C81" s="621"/>
      <c r="D81" s="162"/>
      <c r="E81" s="162"/>
      <c r="F81" s="162"/>
      <c r="G81" s="162"/>
      <c r="H81" s="162"/>
      <c r="I81" s="162"/>
      <c r="J81" s="162"/>
      <c r="K81" s="163"/>
      <c r="L81" s="163"/>
      <c r="M81" s="163"/>
      <c r="N81" s="163"/>
      <c r="O81" s="163"/>
      <c r="P81" s="163"/>
      <c r="Q81" s="163"/>
      <c r="R81" s="164"/>
      <c r="U81" s="161"/>
      <c r="V81" s="155"/>
    </row>
    <row r="82" spans="2:22" s="17" customFormat="1" ht="20.25" customHeight="1">
      <c r="B82" s="622" t="s">
        <v>43</v>
      </c>
      <c r="C82" s="621"/>
      <c r="D82" s="679">
        <f>'6.  Carrying Charges'!I132</f>
        <v>392.18892971459348</v>
      </c>
      <c r="E82" s="679">
        <f>'6.  Carrying Charges'!J132</f>
        <v>4573.2105807982371</v>
      </c>
      <c r="F82" s="679">
        <f>'6.  Carrying Charges'!K132</f>
        <v>-1721.9827619630514</v>
      </c>
      <c r="G82" s="679">
        <f>'6.  Carrying Charges'!L132</f>
        <v>-395.6678983075002</v>
      </c>
      <c r="H82" s="679">
        <f>'6.  Carrying Charges'!M132</f>
        <v>-7.8261267350000052</v>
      </c>
      <c r="I82" s="679">
        <f>'6.  Carrying Charges'!N132</f>
        <v>0</v>
      </c>
      <c r="J82" s="679">
        <f>'6.  Carrying Charges'!O132</f>
        <v>0</v>
      </c>
      <c r="K82" s="679">
        <f>'6.  Carrying Charges'!P132</f>
        <v>0</v>
      </c>
      <c r="L82" s="679">
        <f>'6.  Carrying Charges'!Q132</f>
        <v>0</v>
      </c>
      <c r="M82" s="679">
        <f>'6.  Carrying Charges'!R132</f>
        <v>0</v>
      </c>
      <c r="N82" s="679">
        <f>'6.  Carrying Charges'!S132</f>
        <v>0</v>
      </c>
      <c r="O82" s="679">
        <f>'6.  Carrying Charges'!T132</f>
        <v>0</v>
      </c>
      <c r="P82" s="679">
        <f>'6.  Carrying Charges'!U132</f>
        <v>0</v>
      </c>
      <c r="Q82" s="679">
        <f>'6.  Carrying Charges'!V132</f>
        <v>0</v>
      </c>
      <c r="R82" s="679">
        <f>'6.  Carrying Charges'!W132</f>
        <v>2839.9227235072772</v>
      </c>
      <c r="U82" s="154"/>
      <c r="V82" s="155"/>
    </row>
    <row r="83" spans="2:22" s="165" customFormat="1" ht="21.75" customHeight="1">
      <c r="B83" s="623" t="s">
        <v>241</v>
      </c>
      <c r="C83" s="624"/>
      <c r="D83" s="623">
        <f>SUM(D52:D69)+D82</f>
        <v>6250.3278909414003</v>
      </c>
      <c r="E83" s="623">
        <f t="shared" ref="E83:Q83" si="2">SUM(E52:E69)+E82</f>
        <v>100199.44229662491</v>
      </c>
      <c r="F83" s="623">
        <f t="shared" si="2"/>
        <v>-42706.479537056002</v>
      </c>
      <c r="G83" s="623">
        <f t="shared" si="2"/>
        <v>-8853.0874983074991</v>
      </c>
      <c r="H83" s="623">
        <f t="shared" si="2"/>
        <v>-170.36092673499999</v>
      </c>
      <c r="I83" s="623">
        <f t="shared" si="2"/>
        <v>0</v>
      </c>
      <c r="J83" s="623">
        <f t="shared" si="2"/>
        <v>0</v>
      </c>
      <c r="K83" s="623">
        <f t="shared" si="2"/>
        <v>0</v>
      </c>
      <c r="L83" s="623">
        <f t="shared" si="2"/>
        <v>0</v>
      </c>
      <c r="M83" s="623">
        <f t="shared" si="2"/>
        <v>0</v>
      </c>
      <c r="N83" s="623">
        <f t="shared" si="2"/>
        <v>0</v>
      </c>
      <c r="O83" s="623">
        <f t="shared" si="2"/>
        <v>0</v>
      </c>
      <c r="P83" s="623">
        <f t="shared" si="2"/>
        <v>0</v>
      </c>
      <c r="Q83" s="623">
        <f t="shared" si="2"/>
        <v>0</v>
      </c>
      <c r="R83" s="623">
        <f>SUM(R52:R69)+R82</f>
        <v>54719.842225467786</v>
      </c>
      <c r="U83" s="154"/>
      <c r="V83" s="155"/>
    </row>
    <row r="84" spans="2:22" ht="20.25" customHeight="1">
      <c r="B84" s="455" t="s">
        <v>537</v>
      </c>
      <c r="C84" s="602"/>
      <c r="D84" s="601"/>
      <c r="E84" s="601"/>
      <c r="F84" s="601"/>
      <c r="G84" s="601"/>
      <c r="H84" s="601"/>
      <c r="I84" s="601"/>
      <c r="J84" s="601"/>
      <c r="K84" s="601"/>
      <c r="L84" s="601"/>
      <c r="M84" s="601"/>
      <c r="N84" s="601"/>
      <c r="O84" s="601"/>
      <c r="P84" s="601"/>
      <c r="Q84" s="601"/>
      <c r="R84" s="601"/>
      <c r="V84" s="13"/>
    </row>
    <row r="85" spans="2:22" ht="20.25" customHeight="1">
      <c r="B85" s="620"/>
      <c r="C85" s="68"/>
      <c r="E85" s="9"/>
      <c r="V85" s="13"/>
    </row>
    <row r="86" spans="2:22" ht="15">
      <c r="E86" s="9"/>
    </row>
    <row r="87" spans="2:22" ht="21" hidden="1" customHeight="1">
      <c r="B87" s="120" t="s">
        <v>538</v>
      </c>
      <c r="F87" s="589"/>
    </row>
    <row r="88" spans="2:22" s="549" customFormat="1" ht="27.75" hidden="1" customHeight="1">
      <c r="B88" s="570" t="s">
        <v>558</v>
      </c>
      <c r="C88" s="566"/>
      <c r="D88" s="566"/>
      <c r="E88" s="573"/>
      <c r="F88" s="566"/>
      <c r="G88" s="566"/>
      <c r="H88" s="566"/>
      <c r="I88" s="566"/>
      <c r="J88" s="566"/>
      <c r="T88" s="550"/>
      <c r="U88" s="550"/>
    </row>
    <row r="89" spans="2:22" ht="11.25" hidden="1" customHeight="1">
      <c r="B89" s="112"/>
    </row>
    <row r="90" spans="2:22" s="562" customFormat="1" ht="25.5" hidden="1" customHeight="1">
      <c r="B90" s="564"/>
      <c r="C90" s="560">
        <v>2011</v>
      </c>
      <c r="D90" s="560">
        <v>2012</v>
      </c>
      <c r="E90" s="560">
        <v>2013</v>
      </c>
      <c r="F90" s="560">
        <v>2014</v>
      </c>
      <c r="G90" s="560">
        <v>2015</v>
      </c>
      <c r="H90" s="560">
        <v>2016</v>
      </c>
      <c r="I90" s="560">
        <v>2017</v>
      </c>
      <c r="J90" s="560">
        <v>2018</v>
      </c>
      <c r="K90" s="560">
        <v>2019</v>
      </c>
      <c r="L90" s="560">
        <v>2020</v>
      </c>
      <c r="M90" s="561" t="s">
        <v>26</v>
      </c>
      <c r="T90" s="563"/>
      <c r="U90" s="563"/>
    </row>
    <row r="91" spans="2:22" s="92" customFormat="1" ht="23.25" hidden="1" customHeight="1">
      <c r="B91" s="200">
        <v>2011</v>
      </c>
      <c r="C91" s="555">
        <f>'4.  2011-2014 LRAM'!AM131</f>
        <v>8899.7235271301306</v>
      </c>
      <c r="D91" s="556">
        <f>SUM('4.  2011-2014 LRAM'!Y259:AL259)</f>
        <v>8915.4322850353929</v>
      </c>
      <c r="E91" s="556">
        <f>SUM('4.  2011-2014 LRAM'!Y388:AL388)</f>
        <v>9329.1357150110944</v>
      </c>
      <c r="F91" s="557">
        <f>SUM('4.  2011-2014 LRAM'!Y517:AL517)</f>
        <v>9442.6628846552812</v>
      </c>
      <c r="G91" s="557">
        <f>SUM('5.  2015-2020 LRAM'!Y199:AL199)</f>
        <v>8983.2390737423721</v>
      </c>
      <c r="H91" s="556">
        <f>SUM('5.  2015-2020 LRAM'!Y382:AL382)</f>
        <v>7509.8878384096106</v>
      </c>
      <c r="I91" s="557">
        <f>SUM('5.  2015-2020 LRAM'!Y565:AL565)</f>
        <v>5493.7299254419549</v>
      </c>
      <c r="J91" s="556">
        <f>SUM('5.  2015-2020 LRAM'!Y748:AL748)</f>
        <v>0</v>
      </c>
      <c r="K91" s="556">
        <f>SUM('5.  2015-2020 LRAM'!Y931:AL931)</f>
        <v>0</v>
      </c>
      <c r="L91" s="556">
        <f>SUM('5.  2015-2020 LRAM'!Y1114:AL1114)</f>
        <v>0</v>
      </c>
      <c r="M91" s="556">
        <f>SUM(C91:L91)</f>
        <v>58573.811249425838</v>
      </c>
      <c r="T91" s="199"/>
      <c r="U91" s="199"/>
    </row>
    <row r="92" spans="2:22" s="92" customFormat="1" ht="23.25" hidden="1" customHeight="1">
      <c r="B92" s="200">
        <v>2012</v>
      </c>
      <c r="C92" s="558"/>
      <c r="D92" s="557">
        <f>SUM('4.  2011-2014 LRAM'!Y260:AL260)</f>
        <v>15746.921392355112</v>
      </c>
      <c r="E92" s="556">
        <f>SUM('4.  2011-2014 LRAM'!Y389:AL389)</f>
        <v>16222.122788672481</v>
      </c>
      <c r="F92" s="557">
        <f>SUM('4.  2011-2014 LRAM'!Y518:AL518)</f>
        <v>18388.085676501156</v>
      </c>
      <c r="G92" s="557">
        <f>SUM('5.  2015-2020 LRAM'!Y200:AL200)</f>
        <v>17067.752181244145</v>
      </c>
      <c r="H92" s="556">
        <f>SUM('5.  2015-2020 LRAM'!Y383:AL383)</f>
        <v>16487.301406891274</v>
      </c>
      <c r="I92" s="557">
        <f>SUM('5.  2015-2020 LRAM'!Y566:AL566)</f>
        <v>14096.409686331872</v>
      </c>
      <c r="J92" s="556">
        <f>SUM('5.  2015-2020 LRAM'!Y749:AL749)</f>
        <v>0</v>
      </c>
      <c r="K92" s="556">
        <f>SUM('5.  2015-2020 LRAM'!Y932:AL932)</f>
        <v>0</v>
      </c>
      <c r="L92" s="556">
        <f>SUM('5.  2015-2020 LRAM'!Y1115:AL1115)</f>
        <v>0</v>
      </c>
      <c r="M92" s="556">
        <f>SUM(D92:L92)</f>
        <v>98008.593131996036</v>
      </c>
      <c r="T92" s="199"/>
      <c r="U92" s="199"/>
    </row>
    <row r="93" spans="2:22" s="92" customFormat="1" ht="23.25" hidden="1" customHeight="1">
      <c r="B93" s="200">
        <v>2013</v>
      </c>
      <c r="C93" s="559"/>
      <c r="D93" s="559"/>
      <c r="E93" s="557">
        <f>SUM('4.  2011-2014 LRAM'!Y390:AL390)</f>
        <v>16372.852304412754</v>
      </c>
      <c r="F93" s="557">
        <f>SUM('4.  2011-2014 LRAM'!Y519:AL519)</f>
        <v>18482.572927227171</v>
      </c>
      <c r="G93" s="557">
        <f>SUM('5.  2015-2020 LRAM'!Y201:AL201)</f>
        <v>18321.878272039939</v>
      </c>
      <c r="H93" s="556">
        <f>SUM('5.  2015-2020 LRAM'!Y384:AL384)</f>
        <v>16662.559864185943</v>
      </c>
      <c r="I93" s="557">
        <f>SUM('5.  2015-2020 LRAM'!Y567:AL567)</f>
        <v>14484.349777560255</v>
      </c>
      <c r="J93" s="556">
        <f>SUM('5.  2015-2020 LRAM'!Y750:AL750)</f>
        <v>0</v>
      </c>
      <c r="K93" s="556">
        <f>SUM('5.  2015-2020 LRAM'!Y933:AL933)</f>
        <v>0</v>
      </c>
      <c r="L93" s="556">
        <f>SUM('5.  2015-2020 LRAM'!Y1116:AL1116)</f>
        <v>0</v>
      </c>
      <c r="M93" s="556">
        <f>SUM(C93:L93)</f>
        <v>84324.213145426067</v>
      </c>
      <c r="T93" s="199"/>
      <c r="U93" s="199"/>
    </row>
    <row r="94" spans="2:22" s="92" customFormat="1" ht="23.25" hidden="1" customHeight="1">
      <c r="B94" s="200">
        <v>2014</v>
      </c>
      <c r="C94" s="559"/>
      <c r="D94" s="559"/>
      <c r="E94" s="559"/>
      <c r="F94" s="557">
        <f>SUM('4.  2011-2014 LRAM'!Y520:AL520)</f>
        <v>32072.525161462636</v>
      </c>
      <c r="G94" s="557">
        <f>SUM('5.  2015-2020 LRAM'!Y202:AL202)</f>
        <v>31079.987401956419</v>
      </c>
      <c r="H94" s="556">
        <f>SUM('5.  2015-2020 LRAM'!Y385:AL385)</f>
        <v>24855.371199890749</v>
      </c>
      <c r="I94" s="557">
        <f>SUM('5.  2015-2020 LRAM'!Y568:AL568)</f>
        <v>21494.647046756421</v>
      </c>
      <c r="J94" s="556">
        <f>SUM('5.  2015-2020 LRAM'!Y751:AL751)</f>
        <v>0</v>
      </c>
      <c r="K94" s="556">
        <f>SUM('5.  2015-2020 LRAM'!Y934:AL934)</f>
        <v>0</v>
      </c>
      <c r="L94" s="556">
        <f>SUM('5.  2015-2020 LRAM'!Y1117:AL1117)</f>
        <v>0</v>
      </c>
      <c r="M94" s="556">
        <f>SUM(F94:L94)</f>
        <v>109502.53081006622</v>
      </c>
      <c r="T94" s="199"/>
      <c r="U94" s="199"/>
    </row>
    <row r="95" spans="2:22" s="92" customFormat="1" ht="23.25" hidden="1" customHeight="1">
      <c r="B95" s="200">
        <v>2015</v>
      </c>
      <c r="C95" s="559"/>
      <c r="D95" s="559"/>
      <c r="E95" s="559"/>
      <c r="F95" s="559"/>
      <c r="G95" s="557">
        <f>SUM('5.  2015-2020 LRAM'!Y203:AL203)</f>
        <v>24922.266810514426</v>
      </c>
      <c r="H95" s="556">
        <f>SUM('5.  2015-2020 LRAM'!Y386:AL386)</f>
        <v>22976.917128556866</v>
      </c>
      <c r="I95" s="557">
        <f>SUM('5.  2015-2020 LRAM'!Y569:AL569)</f>
        <v>19979.555265616909</v>
      </c>
      <c r="J95" s="556">
        <f>SUM('5.  2015-2020 LRAM'!Y752:AL752)</f>
        <v>0</v>
      </c>
      <c r="K95" s="556">
        <f>SUM('5.  2015-2020 LRAM'!Y935:AL935)</f>
        <v>0</v>
      </c>
      <c r="L95" s="556">
        <f>SUM('5.  2015-2020 LRAM'!Y1118:AL1118)</f>
        <v>0</v>
      </c>
      <c r="M95" s="556">
        <f>SUM(G95:L95)</f>
        <v>67878.739204688201</v>
      </c>
      <c r="T95" s="199"/>
      <c r="U95" s="199"/>
    </row>
    <row r="96" spans="2:22" s="92" customFormat="1" ht="23.25" hidden="1" customHeight="1">
      <c r="B96" s="200">
        <v>2016</v>
      </c>
      <c r="C96" s="559"/>
      <c r="D96" s="559"/>
      <c r="E96" s="559"/>
      <c r="F96" s="559"/>
      <c r="G96" s="559"/>
      <c r="H96" s="556">
        <f>SUM('5.  2015-2020 LRAM'!Y387:AL387)</f>
        <v>0</v>
      </c>
      <c r="I96" s="557">
        <f>SUM('5.  2015-2020 LRAM'!Y570:AL570)</f>
        <v>24434.307380979528</v>
      </c>
      <c r="J96" s="556">
        <f>SUM('5.  2015-2020 LRAM'!Y753:AL753)</f>
        <v>0</v>
      </c>
      <c r="K96" s="556">
        <f>SUM('5.  2015-2020 LRAM'!Y936:AL936)</f>
        <v>0</v>
      </c>
      <c r="L96" s="556">
        <f>SUM('5.  2015-2020 LRAM'!Y1119:AL1119)</f>
        <v>0</v>
      </c>
      <c r="M96" s="556">
        <f>SUM(H96:L96)</f>
        <v>24434.307380979528</v>
      </c>
      <c r="T96" s="199"/>
      <c r="U96" s="199"/>
    </row>
    <row r="97" spans="2:21" s="92" customFormat="1" ht="23.25" hidden="1" customHeight="1">
      <c r="B97" s="200">
        <v>2017</v>
      </c>
      <c r="C97" s="559"/>
      <c r="D97" s="559"/>
      <c r="E97" s="559"/>
      <c r="F97" s="559"/>
      <c r="G97" s="559"/>
      <c r="H97" s="559"/>
      <c r="I97" s="556">
        <f>SUM('5.  2015-2020 LRAM'!Y571:AL571)</f>
        <v>0</v>
      </c>
      <c r="J97" s="556">
        <f>SUM('5.  2015-2020 LRAM'!Y754:AL754)</f>
        <v>0</v>
      </c>
      <c r="K97" s="556">
        <f>SUM('5.  2015-2020 LRAM'!Y937:AL937)</f>
        <v>0</v>
      </c>
      <c r="L97" s="556">
        <f>SUM('5.  2015-2020 LRAM'!Y1120:AL1120)</f>
        <v>0</v>
      </c>
      <c r="M97" s="556">
        <f>SUM(I97:L97)</f>
        <v>0</v>
      </c>
      <c r="T97" s="199"/>
      <c r="U97" s="199"/>
    </row>
    <row r="98" spans="2:21" s="92" customFormat="1" ht="23.25" hidden="1" customHeight="1">
      <c r="B98" s="200">
        <v>2018</v>
      </c>
      <c r="C98" s="559"/>
      <c r="D98" s="559"/>
      <c r="E98" s="559"/>
      <c r="F98" s="559"/>
      <c r="G98" s="559"/>
      <c r="H98" s="559"/>
      <c r="I98" s="559"/>
      <c r="J98" s="556">
        <f>SUM('5.  2015-2020 LRAM'!Y755:AL755)</f>
        <v>0</v>
      </c>
      <c r="K98" s="556">
        <f>SUM('5.  2015-2020 LRAM'!Y938:AL938)</f>
        <v>0</v>
      </c>
      <c r="L98" s="556">
        <f>SUM('5.  2015-2020 LRAM'!Y1121:AL1121)</f>
        <v>0</v>
      </c>
      <c r="M98" s="556">
        <f>SUM(J98:L98)</f>
        <v>0</v>
      </c>
      <c r="T98" s="199"/>
      <c r="U98" s="199"/>
    </row>
    <row r="99" spans="2:21" s="92" customFormat="1" ht="23.25" hidden="1" customHeight="1">
      <c r="B99" s="200">
        <v>2019</v>
      </c>
      <c r="C99" s="559"/>
      <c r="D99" s="559"/>
      <c r="E99" s="559"/>
      <c r="F99" s="559"/>
      <c r="G99" s="559"/>
      <c r="H99" s="559"/>
      <c r="I99" s="559"/>
      <c r="J99" s="559"/>
      <c r="K99" s="556">
        <f>SUM('5.  2015-2020 LRAM'!Y939:AL939)</f>
        <v>0</v>
      </c>
      <c r="L99" s="556">
        <f>SUM('5.  2015-2020 LRAM'!Y1122:AL1122)</f>
        <v>0</v>
      </c>
      <c r="M99" s="556">
        <f>SUM(K99:L99)</f>
        <v>0</v>
      </c>
      <c r="T99" s="199"/>
      <c r="U99" s="199"/>
    </row>
    <row r="100" spans="2:21" s="92" customFormat="1" ht="23.25" hidden="1" customHeight="1">
      <c r="B100" s="200">
        <v>2020</v>
      </c>
      <c r="C100" s="559"/>
      <c r="D100" s="559"/>
      <c r="E100" s="559"/>
      <c r="F100" s="559"/>
      <c r="G100" s="559"/>
      <c r="H100" s="559"/>
      <c r="I100" s="559"/>
      <c r="J100" s="559"/>
      <c r="K100" s="559"/>
      <c r="L100" s="558">
        <f>SUM('5.  2015-2020 LRAM'!Y1123:AL1123)</f>
        <v>0</v>
      </c>
      <c r="M100" s="558">
        <f>L100</f>
        <v>0</v>
      </c>
      <c r="T100" s="199"/>
      <c r="U100" s="199"/>
    </row>
    <row r="101" spans="2:21" s="198" customFormat="1" ht="24" hidden="1" customHeight="1">
      <c r="B101" s="571" t="s">
        <v>520</v>
      </c>
      <c r="C101" s="555">
        <f>C91</f>
        <v>8899.7235271301306</v>
      </c>
      <c r="D101" s="556">
        <f>D91+D92</f>
        <v>24662.353677390507</v>
      </c>
      <c r="E101" s="556">
        <f>E91+E92+E93</f>
        <v>41924.110808096331</v>
      </c>
      <c r="F101" s="556">
        <f>F91+F92+F93+F94</f>
        <v>78385.846649846237</v>
      </c>
      <c r="G101" s="556">
        <f>G91+G92+G93+G94+G95</f>
        <v>100375.1237394973</v>
      </c>
      <c r="H101" s="556">
        <f>H91+H92+H93+H94+H95+H96</f>
        <v>88492.037437934458</v>
      </c>
      <c r="I101" s="556">
        <f>I91+I92+I93+I94+I95+I96+I97</f>
        <v>99982.999082686933</v>
      </c>
      <c r="J101" s="556">
        <f>J91+J92+J93+J94+J95+J96+J97+J98</f>
        <v>0</v>
      </c>
      <c r="K101" s="556">
        <f>K91+K92+K93+K94+K95+K96+K97+K98+K99</f>
        <v>0</v>
      </c>
      <c r="L101" s="556">
        <f>SUM(L91:L100)</f>
        <v>0</v>
      </c>
      <c r="M101" s="556">
        <f>SUM(M91:M100)</f>
        <v>442722.1949225819</v>
      </c>
      <c r="T101" s="201"/>
      <c r="U101" s="201"/>
    </row>
    <row r="102" spans="2:21" s="27" customFormat="1" ht="24.75" hidden="1" customHeight="1">
      <c r="B102" s="572" t="s">
        <v>519</v>
      </c>
      <c r="C102" s="554">
        <f>'4.  2011-2014 LRAM'!AM132</f>
        <v>0</v>
      </c>
      <c r="D102" s="554">
        <f>'4.  2011-2014 LRAM'!AM262</f>
        <v>0</v>
      </c>
      <c r="E102" s="554">
        <f>'4.  2011-2014 LRAM'!AM392</f>
        <v>61929.956399999995</v>
      </c>
      <c r="F102" s="554">
        <f>'4.  2011-2014 LRAM'!AM522</f>
        <v>69920.1446</v>
      </c>
      <c r="G102" s="554">
        <f>'5.  2015-2020 LRAM'!AM205</f>
        <v>70517.137900000002</v>
      </c>
      <c r="H102" s="554">
        <f>'5.  2015-2020 LRAM'!AM389</f>
        <v>67548.122600000002</v>
      </c>
      <c r="I102" s="554">
        <f>'5.  2015-2020 LRAM'!AM573</f>
        <v>0</v>
      </c>
      <c r="J102" s="554">
        <f>'5.  2015-2020 LRAM'!AM757</f>
        <v>0</v>
      </c>
      <c r="K102" s="554">
        <f>'5.  2015-2020 LRAM'!AM941</f>
        <v>0</v>
      </c>
      <c r="L102" s="554">
        <f>'5.  2015-2020 LRAM'!AM1125</f>
        <v>0</v>
      </c>
      <c r="M102" s="556">
        <f>SUM(C102:L102)</f>
        <v>269915.3615</v>
      </c>
      <c r="T102" s="91"/>
      <c r="U102" s="91"/>
    </row>
    <row r="103" spans="2:21" ht="24.75" hidden="1" customHeight="1">
      <c r="B103" s="572" t="s">
        <v>43</v>
      </c>
      <c r="C103" s="554">
        <f>'6.  Carrying Charges'!W27</f>
        <v>59.961887264039255</v>
      </c>
      <c r="D103" s="554">
        <f>'6.  Carrying Charges'!W42</f>
        <v>356.95043101427069</v>
      </c>
      <c r="E103" s="554">
        <f>'6.  Carrying Charges'!W57</f>
        <v>715.52358124527314</v>
      </c>
      <c r="F103" s="554">
        <f>'6.  Carrying Charges'!W72</f>
        <v>971.83785351158156</v>
      </c>
      <c r="G103" s="554">
        <f>'6.  Carrying Charges'!W87</f>
        <v>1387.284977452382</v>
      </c>
      <c r="H103" s="554">
        <f>'6.  Carrying Charges'!W102</f>
        <v>1957.9640919739477</v>
      </c>
      <c r="I103" s="554">
        <f>'6.  Carrying Charges'!W117</f>
        <v>2580.5231259974748</v>
      </c>
      <c r="J103" s="554">
        <f>'6.  Carrying Charges'!W132</f>
        <v>2839.9227235072772</v>
      </c>
      <c r="K103" s="554">
        <f>'6.  Carrying Charges'!W147</f>
        <v>2839.9227235072772</v>
      </c>
      <c r="L103" s="554">
        <f>'6.  Carrying Charges'!W162</f>
        <v>2839.9227235072772</v>
      </c>
      <c r="M103" s="556">
        <f>SUM(C103:L103)</f>
        <v>16549.814118980801</v>
      </c>
    </row>
    <row r="104" spans="2:21" ht="23.25" hidden="1" customHeight="1">
      <c r="B104" s="571" t="s">
        <v>26</v>
      </c>
      <c r="C104" s="554">
        <f>C101-C102+C103</f>
        <v>8959.6854143941691</v>
      </c>
      <c r="D104" s="554">
        <f t="shared" ref="D104:J104" si="3">D101-D102+D103</f>
        <v>25019.304108404776</v>
      </c>
      <c r="E104" s="554">
        <f t="shared" si="3"/>
        <v>-19290.32201065839</v>
      </c>
      <c r="F104" s="554">
        <f t="shared" si="3"/>
        <v>9437.5399033578178</v>
      </c>
      <c r="G104" s="554">
        <f t="shared" si="3"/>
        <v>31245.27081694968</v>
      </c>
      <c r="H104" s="554">
        <f t="shared" si="3"/>
        <v>22901.878929908402</v>
      </c>
      <c r="I104" s="554">
        <f t="shared" si="3"/>
        <v>102563.5222086844</v>
      </c>
      <c r="J104" s="554">
        <f t="shared" si="3"/>
        <v>2839.9227235072772</v>
      </c>
      <c r="K104" s="554">
        <f>K101-K102+K103</f>
        <v>2839.9227235072772</v>
      </c>
      <c r="L104" s="554">
        <f>L101-L102+L103</f>
        <v>2839.9227235072772</v>
      </c>
      <c r="M104" s="554">
        <f>M101-M102+M103</f>
        <v>189356.64754156271</v>
      </c>
    </row>
    <row r="105" spans="2:21" hidden="1"/>
    <row r="106" spans="2:21">
      <c r="B106" s="589" t="s">
        <v>527</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hyperlink ref="B106" location="'1.  LRAMVA Summary'!A1" display="Return to top"/>
  </hyperlinks>
  <pageMargins left="0.70866141732283472" right="0.70866141732283472" top="0.74803149606299213" bottom="0.74803149606299213" header="0.31496062992125984" footer="0.31496062992125984"/>
  <pageSetup scale="2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16" zoomScale="85" zoomScaleNormal="85" workbookViewId="0">
      <selection activeCell="F51" sqref="F51"/>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172</v>
      </c>
      <c r="C14" s="128" t="s">
        <v>176</v>
      </c>
    </row>
    <row r="15" spans="2:3" ht="26.25" customHeight="1" thickBot="1">
      <c r="C15" s="130" t="s">
        <v>408</v>
      </c>
    </row>
    <row r="16" spans="2:3" ht="27" customHeight="1" thickBot="1">
      <c r="C16" s="569" t="s">
        <v>552</v>
      </c>
    </row>
    <row r="19" spans="2:8" ht="15.75">
      <c r="B19" s="537" t="s">
        <v>620</v>
      </c>
    </row>
    <row r="20" spans="2:8" ht="13.5" customHeight="1"/>
    <row r="21" spans="2:8" ht="57.75" customHeight="1">
      <c r="B21" s="775" t="s">
        <v>637</v>
      </c>
      <c r="C21" s="775"/>
      <c r="D21" s="775"/>
      <c r="E21" s="775"/>
      <c r="F21" s="775"/>
      <c r="G21" s="775"/>
      <c r="H21" s="775"/>
    </row>
    <row r="23" spans="2:8" s="609" customFormat="1" ht="15.75">
      <c r="B23" s="619" t="s">
        <v>547</v>
      </c>
      <c r="C23" s="619" t="s">
        <v>562</v>
      </c>
      <c r="D23" s="619" t="s">
        <v>546</v>
      </c>
      <c r="E23" s="784" t="s">
        <v>34</v>
      </c>
      <c r="F23" s="785"/>
      <c r="G23" s="784" t="s">
        <v>545</v>
      </c>
      <c r="H23" s="785"/>
    </row>
    <row r="24" spans="2:8">
      <c r="B24" s="608">
        <v>1</v>
      </c>
      <c r="C24" s="644"/>
      <c r="D24" s="607"/>
      <c r="E24" s="780"/>
      <c r="F24" s="781"/>
      <c r="G24" s="782"/>
      <c r="H24" s="783"/>
    </row>
    <row r="25" spans="2:8">
      <c r="B25" s="608">
        <v>2</v>
      </c>
      <c r="C25" s="644"/>
      <c r="D25" s="607"/>
      <c r="E25" s="780"/>
      <c r="F25" s="781"/>
      <c r="G25" s="782"/>
      <c r="H25" s="783"/>
    </row>
    <row r="26" spans="2:8">
      <c r="B26" s="608">
        <v>3</v>
      </c>
      <c r="C26" s="644"/>
      <c r="D26" s="607"/>
      <c r="E26" s="780"/>
      <c r="F26" s="781"/>
      <c r="G26" s="782"/>
      <c r="H26" s="783"/>
    </row>
    <row r="27" spans="2:8">
      <c r="B27" s="608">
        <v>4</v>
      </c>
      <c r="C27" s="644"/>
      <c r="D27" s="607"/>
      <c r="E27" s="780"/>
      <c r="F27" s="781"/>
      <c r="G27" s="782"/>
      <c r="H27" s="783"/>
    </row>
    <row r="28" spans="2:8">
      <c r="B28" s="608">
        <v>5</v>
      </c>
      <c r="C28" s="644"/>
      <c r="D28" s="607"/>
      <c r="E28" s="780"/>
      <c r="F28" s="781"/>
      <c r="G28" s="782"/>
      <c r="H28" s="783"/>
    </row>
    <row r="29" spans="2:8">
      <c r="B29" s="608">
        <v>6</v>
      </c>
      <c r="C29" s="644"/>
      <c r="D29" s="607"/>
      <c r="E29" s="780"/>
      <c r="F29" s="781"/>
      <c r="G29" s="782"/>
      <c r="H29" s="783"/>
    </row>
    <row r="30" spans="2:8">
      <c r="B30" s="608">
        <v>7</v>
      </c>
      <c r="C30" s="644"/>
      <c r="D30" s="607"/>
      <c r="E30" s="780"/>
      <c r="F30" s="781"/>
      <c r="G30" s="782"/>
      <c r="H30" s="783"/>
    </row>
    <row r="31" spans="2:8">
      <c r="B31" s="608">
        <v>8</v>
      </c>
      <c r="C31" s="644"/>
      <c r="D31" s="607"/>
      <c r="E31" s="780"/>
      <c r="F31" s="781"/>
      <c r="G31" s="782"/>
      <c r="H31" s="783"/>
    </row>
    <row r="32" spans="2:8">
      <c r="B32" s="608">
        <v>9</v>
      </c>
      <c r="C32" s="644"/>
      <c r="D32" s="607"/>
      <c r="E32" s="780"/>
      <c r="F32" s="781"/>
      <c r="G32" s="782"/>
      <c r="H32" s="783"/>
    </row>
    <row r="33" spans="2:8">
      <c r="B33" s="608">
        <v>10</v>
      </c>
      <c r="C33" s="644"/>
      <c r="D33" s="607"/>
      <c r="E33" s="780"/>
      <c r="F33" s="781"/>
      <c r="G33" s="782"/>
      <c r="H33" s="783"/>
    </row>
    <row r="34" spans="2:8">
      <c r="B34" s="608" t="s">
        <v>481</v>
      </c>
      <c r="C34" s="644"/>
      <c r="D34" s="607"/>
      <c r="E34" s="780"/>
      <c r="F34" s="781"/>
      <c r="G34" s="782"/>
      <c r="H34" s="783"/>
    </row>
    <row r="36" spans="2:8" ht="30.75" customHeight="1">
      <c r="B36" s="537" t="s">
        <v>615</v>
      </c>
    </row>
    <row r="37" spans="2:8" ht="23.25" customHeight="1">
      <c r="B37" s="568" t="s">
        <v>621</v>
      </c>
      <c r="C37" s="605"/>
      <c r="D37" s="605"/>
      <c r="E37" s="605"/>
      <c r="F37" s="605"/>
      <c r="G37" s="605"/>
      <c r="H37" s="605"/>
    </row>
    <row r="39" spans="2:8" s="92" customFormat="1" ht="15.75">
      <c r="B39" s="619" t="s">
        <v>547</v>
      </c>
      <c r="C39" s="619" t="s">
        <v>562</v>
      </c>
      <c r="D39" s="619" t="s">
        <v>546</v>
      </c>
      <c r="E39" s="784" t="s">
        <v>34</v>
      </c>
      <c r="F39" s="785"/>
      <c r="G39" s="784" t="s">
        <v>545</v>
      </c>
      <c r="H39" s="785"/>
    </row>
    <row r="40" spans="2:8">
      <c r="B40" s="608">
        <v>1</v>
      </c>
      <c r="C40" s="644"/>
      <c r="D40" s="607"/>
      <c r="E40" s="780"/>
      <c r="F40" s="781"/>
      <c r="G40" s="782"/>
      <c r="H40" s="783"/>
    </row>
    <row r="41" spans="2:8">
      <c r="B41" s="608">
        <v>2</v>
      </c>
      <c r="C41" s="644"/>
      <c r="D41" s="607"/>
      <c r="E41" s="780"/>
      <c r="F41" s="781"/>
      <c r="G41" s="782"/>
      <c r="H41" s="783"/>
    </row>
    <row r="42" spans="2:8">
      <c r="B42" s="608">
        <v>3</v>
      </c>
      <c r="C42" s="644"/>
      <c r="D42" s="607"/>
      <c r="E42" s="780"/>
      <c r="F42" s="781"/>
      <c r="G42" s="782"/>
      <c r="H42" s="783"/>
    </row>
    <row r="43" spans="2:8">
      <c r="B43" s="608">
        <v>4</v>
      </c>
      <c r="C43" s="644"/>
      <c r="D43" s="607"/>
      <c r="E43" s="780"/>
      <c r="F43" s="781"/>
      <c r="G43" s="782"/>
      <c r="H43" s="783"/>
    </row>
    <row r="44" spans="2:8">
      <c r="B44" s="608">
        <v>5</v>
      </c>
      <c r="C44" s="644"/>
      <c r="D44" s="607"/>
      <c r="E44" s="780"/>
      <c r="F44" s="781"/>
      <c r="G44" s="782"/>
      <c r="H44" s="783"/>
    </row>
    <row r="45" spans="2:8">
      <c r="B45" s="608">
        <v>6</v>
      </c>
      <c r="C45" s="644"/>
      <c r="D45" s="607"/>
      <c r="E45" s="780"/>
      <c r="F45" s="781"/>
      <c r="G45" s="782"/>
      <c r="H45" s="783"/>
    </row>
    <row r="46" spans="2:8">
      <c r="B46" s="608">
        <v>7</v>
      </c>
      <c r="C46" s="644"/>
      <c r="D46" s="607"/>
      <c r="E46" s="780"/>
      <c r="F46" s="781"/>
      <c r="G46" s="782"/>
      <c r="H46" s="783"/>
    </row>
    <row r="47" spans="2:8">
      <c r="B47" s="608">
        <v>8</v>
      </c>
      <c r="C47" s="644"/>
      <c r="D47" s="607"/>
      <c r="E47" s="780"/>
      <c r="F47" s="781"/>
      <c r="G47" s="782"/>
      <c r="H47" s="783"/>
    </row>
    <row r="48" spans="2:8">
      <c r="B48" s="608">
        <v>9</v>
      </c>
      <c r="C48" s="644"/>
      <c r="D48" s="607"/>
      <c r="E48" s="780"/>
      <c r="F48" s="781"/>
      <c r="G48" s="782"/>
      <c r="H48" s="783"/>
    </row>
    <row r="49" spans="2:8">
      <c r="B49" s="608">
        <v>10</v>
      </c>
      <c r="C49" s="644"/>
      <c r="D49" s="607"/>
      <c r="E49" s="780"/>
      <c r="F49" s="781"/>
      <c r="G49" s="782"/>
      <c r="H49" s="783"/>
    </row>
    <row r="50" spans="2:8">
      <c r="B50" s="608" t="s">
        <v>481</v>
      </c>
      <c r="C50" s="644"/>
      <c r="D50" s="607"/>
      <c r="E50" s="780"/>
      <c r="F50" s="781"/>
      <c r="G50" s="782"/>
      <c r="H50" s="78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scale="50"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048576"/>
  <sheetViews>
    <sheetView topLeftCell="A28" zoomScale="90" zoomScaleNormal="90" workbookViewId="0">
      <selection activeCell="F51" sqref="F51"/>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408</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69" t="s">
        <v>552</v>
      </c>
      <c r="P7" s="107"/>
      <c r="Q7" s="107"/>
    </row>
    <row r="8" spans="2:17" s="106" customFormat="1" ht="30" customHeight="1">
      <c r="D8" s="574"/>
      <c r="P8" s="107"/>
      <c r="Q8" s="107"/>
    </row>
    <row r="9" spans="2:17" s="2" customFormat="1" ht="24.75" customHeight="1">
      <c r="B9" s="120" t="s">
        <v>413</v>
      </c>
      <c r="C9" s="17"/>
      <c r="D9" s="457">
        <v>2013</v>
      </c>
    </row>
    <row r="10" spans="2:17" s="17" customFormat="1" ht="16.5" customHeight="1"/>
    <row r="11" spans="2:17" s="17" customFormat="1" ht="36.75" customHeight="1">
      <c r="B11" s="786" t="s">
        <v>564</v>
      </c>
      <c r="C11" s="786"/>
      <c r="D11" s="786"/>
      <c r="E11" s="786"/>
      <c r="F11" s="786"/>
      <c r="G11" s="786"/>
      <c r="H11" s="786"/>
      <c r="I11" s="786"/>
      <c r="J11" s="786"/>
      <c r="K11" s="786"/>
      <c r="L11" s="786"/>
      <c r="M11" s="786"/>
      <c r="N11" s="614"/>
      <c r="O11" s="614"/>
      <c r="P11" s="614"/>
      <c r="Q11" s="614"/>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 kW</v>
      </c>
      <c r="G13" s="245" t="str">
        <f>'1.  LRAMVA Summary'!G50</f>
        <v>Streetlights</v>
      </c>
      <c r="H13" s="245" t="str">
        <f>'1.  LRAMVA Summary'!H50</f>
        <v>Unmetered Scattered Load</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8"/>
      <c r="D14" s="579" t="str">
        <f>'1.  LRAMVA Summary'!D51</f>
        <v>kWh</v>
      </c>
      <c r="E14" s="579" t="str">
        <f>'1.  LRAMVA Summary'!E51</f>
        <v>kWh</v>
      </c>
      <c r="F14" s="579" t="str">
        <f>'1.  LRAMVA Summary'!F51</f>
        <v>kW</v>
      </c>
      <c r="G14" s="579" t="str">
        <f>'1.  LRAMVA Summary'!G51</f>
        <v>kW</v>
      </c>
      <c r="H14" s="579" t="str">
        <f>'1.  LRAMVA Summary'!H51</f>
        <v>KWh</v>
      </c>
      <c r="I14" s="579">
        <f>'1.  LRAMVA Summary'!I51</f>
        <v>0</v>
      </c>
      <c r="J14" s="579">
        <f>'1.  LRAMVA Summary'!J51</f>
        <v>0</v>
      </c>
      <c r="K14" s="579">
        <f>'1.  LRAMVA Summary'!K51</f>
        <v>0</v>
      </c>
      <c r="L14" s="579">
        <f>'1.  LRAMVA Summary'!L51</f>
        <v>0</v>
      </c>
      <c r="M14" s="579">
        <f>'1.  LRAMVA Summary'!M51</f>
        <v>0</v>
      </c>
      <c r="N14" s="579">
        <f>'1.  LRAMVA Summary'!N51</f>
        <v>0</v>
      </c>
      <c r="O14" s="579">
        <f>'1.  LRAMVA Summary'!O51</f>
        <v>0</v>
      </c>
      <c r="P14" s="579">
        <f>'1.  LRAMVA Summary'!P51</f>
        <v>0</v>
      </c>
      <c r="Q14" s="580">
        <f>'1.  LRAMVA Summary'!Q51</f>
        <v>0</v>
      </c>
    </row>
    <row r="15" spans="2:17" s="458" customFormat="1" ht="15.75" customHeight="1">
      <c r="B15" s="463" t="s">
        <v>27</v>
      </c>
      <c r="C15" s="626">
        <f>SUM(D15:Q15)</f>
        <v>3264017</v>
      </c>
      <c r="D15" s="453">
        <v>1345003</v>
      </c>
      <c r="E15" s="453">
        <v>543085</v>
      </c>
      <c r="F15" s="453">
        <v>1346579</v>
      </c>
      <c r="G15" s="453">
        <v>24666</v>
      </c>
      <c r="H15" s="746">
        <v>4684</v>
      </c>
      <c r="I15" s="453"/>
      <c r="J15" s="453"/>
      <c r="K15" s="453"/>
      <c r="L15" s="453"/>
      <c r="M15" s="453"/>
      <c r="N15" s="453"/>
      <c r="O15" s="453"/>
      <c r="P15" s="454"/>
      <c r="Q15" s="454"/>
    </row>
    <row r="16" spans="2:17" s="458" customFormat="1" ht="15.75" customHeight="1">
      <c r="B16" s="463" t="s">
        <v>28</v>
      </c>
      <c r="C16" s="626">
        <f>SUM(D16:Q16)</f>
        <v>10867</v>
      </c>
      <c r="D16" s="452">
        <v>0</v>
      </c>
      <c r="E16" s="452">
        <v>0</v>
      </c>
      <c r="F16" s="452">
        <v>10671</v>
      </c>
      <c r="G16" s="452">
        <v>196</v>
      </c>
      <c r="H16" s="452"/>
      <c r="I16" s="452"/>
      <c r="J16" s="452"/>
      <c r="K16" s="454"/>
      <c r="L16" s="454"/>
      <c r="M16" s="454"/>
      <c r="N16" s="454"/>
      <c r="O16" s="454"/>
      <c r="P16" s="454"/>
      <c r="Q16" s="454"/>
    </row>
    <row r="17" spans="2:17" s="17" customFormat="1" ht="15.75" customHeight="1"/>
    <row r="18" spans="2:17" s="25" customFormat="1" ht="15.75" customHeight="1">
      <c r="B18" s="193" t="s">
        <v>452</v>
      </c>
      <c r="C18" s="194"/>
      <c r="D18" s="194">
        <f t="shared" ref="D18:E18" si="0">IF(D14="kw",HLOOKUP(D14,D14:D16,3,FALSE),HLOOKUP(D14,D14:D16,2,FALSE))</f>
        <v>1345003</v>
      </c>
      <c r="E18" s="194">
        <f t="shared" si="0"/>
        <v>543085</v>
      </c>
      <c r="F18" s="194">
        <f>IF(F14="kw",HLOOKUP(F14,F14:F16,3,FALSE),HLOOKUP(F14,F14:F16,2,FALSE))</f>
        <v>10671</v>
      </c>
      <c r="G18" s="194">
        <f t="shared" ref="G18:Q18" si="1">IF(G14="kw",HLOOKUP(G14,G14:G16,3,FALSE),HLOOKUP(G14,G14:G16,2,FALSE))</f>
        <v>196</v>
      </c>
      <c r="H18" s="194">
        <f t="shared" si="1"/>
        <v>4684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367</v>
      </c>
      <c r="C20" s="455"/>
      <c r="D20" s="456"/>
    </row>
    <row r="21" spans="2:17" s="440" customFormat="1" ht="21" customHeight="1">
      <c r="B21" s="462" t="s">
        <v>368</v>
      </c>
      <c r="C21" s="455" t="s">
        <v>699</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7"/>
    </row>
    <row r="25" spans="2:17" s="2" customFormat="1" ht="15.75" customHeight="1">
      <c r="D25" s="20"/>
    </row>
    <row r="26" spans="2:17" s="2" customFormat="1" ht="42" customHeight="1">
      <c r="B26" s="786" t="s">
        <v>563</v>
      </c>
      <c r="C26" s="786"/>
      <c r="D26" s="786"/>
      <c r="E26" s="786"/>
      <c r="F26" s="786"/>
      <c r="G26" s="786"/>
      <c r="H26" s="786"/>
      <c r="I26" s="786"/>
      <c r="J26" s="786"/>
      <c r="K26" s="786"/>
      <c r="L26" s="786"/>
      <c r="M26" s="786"/>
      <c r="N26" s="614"/>
      <c r="O26" s="614"/>
      <c r="P26" s="614"/>
      <c r="Q26" s="614"/>
    </row>
    <row r="27" spans="2:17" s="2" customFormat="1" ht="15.75" customHeight="1">
      <c r="D27" s="20"/>
    </row>
    <row r="28" spans="2:17" s="17" customFormat="1" ht="44.25" customHeight="1">
      <c r="C28" s="245" t="str">
        <f>'1.  LRAMVA Summary'!R50</f>
        <v>Total</v>
      </c>
      <c r="D28" s="245" t="str">
        <f>'1.  LRAMVA Summary'!D50</f>
        <v>Residential</v>
      </c>
      <c r="E28" s="245" t="str">
        <f>'1.  LRAMVA Summary'!E50</f>
        <v>GS&lt;50 kW</v>
      </c>
      <c r="F28" s="245" t="str">
        <f>'1.  LRAMVA Summary'!F50</f>
        <v>GS&gt;50 kW</v>
      </c>
      <c r="G28" s="245" t="str">
        <f>'1.  LRAMVA Summary'!G50</f>
        <v>Streetlights</v>
      </c>
      <c r="H28" s="245" t="str">
        <f>'1.  LRAMVA Summary'!H50</f>
        <v>Unmetered Scattered Load</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8"/>
      <c r="D29" s="579" t="str">
        <f>'1.  LRAMVA Summary'!D51</f>
        <v>kWh</v>
      </c>
      <c r="E29" s="579" t="str">
        <f>'1.  LRAMVA Summary'!E51</f>
        <v>kWh</v>
      </c>
      <c r="F29" s="579" t="str">
        <f>'1.  LRAMVA Summary'!F51</f>
        <v>kW</v>
      </c>
      <c r="G29" s="579" t="str">
        <f>'1.  LRAMVA Summary'!G51</f>
        <v>kW</v>
      </c>
      <c r="H29" s="579" t="str">
        <f>'1.  LRAMVA Summary'!H51</f>
        <v>KWh</v>
      </c>
      <c r="I29" s="579">
        <f>'1.  LRAMVA Summary'!I51</f>
        <v>0</v>
      </c>
      <c r="J29" s="579">
        <f>'1.  LRAMVA Summary'!J51</f>
        <v>0</v>
      </c>
      <c r="K29" s="579">
        <f>'1.  LRAMVA Summary'!K51</f>
        <v>0</v>
      </c>
      <c r="L29" s="579">
        <f>'1.  LRAMVA Summary'!L51</f>
        <v>0</v>
      </c>
      <c r="M29" s="579">
        <f>'1.  LRAMVA Summary'!M51</f>
        <v>0</v>
      </c>
      <c r="N29" s="579">
        <f>'1.  LRAMVA Summary'!N51</f>
        <v>0</v>
      </c>
      <c r="O29" s="579">
        <f>'1.  LRAMVA Summary'!O51</f>
        <v>0</v>
      </c>
      <c r="P29" s="579">
        <f>'1.  LRAMVA Summary'!P51</f>
        <v>0</v>
      </c>
      <c r="Q29" s="580">
        <f>'1.  LRAMVA Summary'!Q51</f>
        <v>0</v>
      </c>
    </row>
    <row r="30" spans="2:17" s="458" customFormat="1" ht="15.75" customHeight="1">
      <c r="B30" s="463" t="s">
        <v>27</v>
      </c>
      <c r="C30" s="626"/>
      <c r="D30" s="453"/>
      <c r="E30" s="453"/>
      <c r="F30" s="453"/>
      <c r="G30" s="453"/>
      <c r="H30" s="464"/>
      <c r="I30" s="464"/>
      <c r="J30" s="464"/>
      <c r="K30" s="464"/>
      <c r="L30" s="464"/>
      <c r="M30" s="464"/>
      <c r="N30" s="464"/>
      <c r="O30" s="464"/>
      <c r="P30" s="464"/>
      <c r="Q30" s="454"/>
    </row>
    <row r="31" spans="2:17" s="465" customFormat="1" ht="15" customHeight="1">
      <c r="B31" s="463" t="s">
        <v>28</v>
      </c>
      <c r="C31" s="626"/>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452</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367</v>
      </c>
      <c r="C35" s="455"/>
      <c r="D35" s="456"/>
      <c r="E35" s="95"/>
      <c r="F35" s="95"/>
      <c r="G35" s="95"/>
      <c r="H35" s="95"/>
      <c r="I35" s="95"/>
      <c r="J35" s="95"/>
      <c r="K35" s="95"/>
      <c r="L35" s="95"/>
      <c r="M35" s="95"/>
      <c r="N35" s="95"/>
      <c r="O35" s="95"/>
      <c r="P35" s="95"/>
      <c r="Q35" s="95"/>
    </row>
    <row r="36" spans="2:32" s="440" customFormat="1" ht="21" customHeight="1">
      <c r="B36" s="462" t="s">
        <v>368</v>
      </c>
      <c r="C36" s="455"/>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454</v>
      </c>
      <c r="C39" s="35"/>
      <c r="D39" s="34"/>
      <c r="E39" s="39"/>
      <c r="F39" s="40"/>
    </row>
    <row r="40" spans="2:32" s="72" customFormat="1" ht="39" customHeight="1">
      <c r="B40" s="786" t="s">
        <v>613</v>
      </c>
      <c r="C40" s="786"/>
      <c r="D40" s="786"/>
      <c r="E40" s="786"/>
      <c r="F40" s="786"/>
      <c r="G40" s="786"/>
      <c r="H40" s="786"/>
      <c r="I40" s="786"/>
      <c r="J40" s="786"/>
      <c r="K40" s="786"/>
      <c r="L40" s="786"/>
      <c r="M40" s="786"/>
      <c r="N40" s="614"/>
      <c r="O40" s="614"/>
      <c r="P40" s="614"/>
      <c r="Q40" s="614"/>
    </row>
    <row r="41" spans="2:32" s="2" customFormat="1" ht="16.5" customHeight="1">
      <c r="B41" s="10"/>
      <c r="C41" s="10"/>
      <c r="D41" s="22"/>
      <c r="E41" s="20"/>
      <c r="F41" s="20"/>
      <c r="G41" s="20"/>
      <c r="R41" s="20"/>
    </row>
    <row r="42" spans="2:32" s="17" customFormat="1" ht="56.25" customHeight="1">
      <c r="B42" s="245" t="s">
        <v>235</v>
      </c>
      <c r="C42" s="245" t="s">
        <v>610</v>
      </c>
      <c r="D42" s="245" t="str">
        <f>'1.  LRAMVA Summary'!D50</f>
        <v>Residential</v>
      </c>
      <c r="E42" s="245" t="str">
        <f>'1.  LRAMVA Summary'!E50</f>
        <v>GS&lt;50 kW</v>
      </c>
      <c r="F42" s="245" t="str">
        <f>'1.  LRAMVA Summary'!F50</f>
        <v>GS&gt;50 kW</v>
      </c>
      <c r="G42" s="245" t="str">
        <f>'1.  LRAMVA Summary'!G50</f>
        <v>Streetlights</v>
      </c>
      <c r="H42" s="245" t="str">
        <f>'1.  LRAMVA Summary'!H50</f>
        <v>Unmetered Scattered Load</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1"/>
      <c r="C43" s="582"/>
      <c r="D43" s="583" t="str">
        <f>'1.  LRAMVA Summary'!D51</f>
        <v>kWh</v>
      </c>
      <c r="E43" s="583" t="str">
        <f>'1.  LRAMVA Summary'!E51</f>
        <v>kWh</v>
      </c>
      <c r="F43" s="583" t="str">
        <f>'1.  LRAMVA Summary'!F51</f>
        <v>kW</v>
      </c>
      <c r="G43" s="583" t="str">
        <f>'1.  LRAMVA Summary'!G51</f>
        <v>kW</v>
      </c>
      <c r="H43" s="583" t="str">
        <f>'1.  LRAMVA Summary'!H51</f>
        <v>KWh</v>
      </c>
      <c r="I43" s="583">
        <f>'1.  LRAMVA Summary'!I51</f>
        <v>0</v>
      </c>
      <c r="J43" s="583">
        <f>'1.  LRAMVA Summary'!J51</f>
        <v>0</v>
      </c>
      <c r="K43" s="583">
        <f>'1.  LRAMVA Summary'!K51</f>
        <v>0</v>
      </c>
      <c r="L43" s="583">
        <f>'1.  LRAMVA Summary'!L51</f>
        <v>0</v>
      </c>
      <c r="M43" s="583">
        <f>'1.  LRAMVA Summary'!M51</f>
        <v>0</v>
      </c>
      <c r="N43" s="583">
        <f>'1.  LRAMVA Summary'!N51</f>
        <v>0</v>
      </c>
      <c r="O43" s="583">
        <f>'1.  LRAMVA Summary'!O51</f>
        <v>0</v>
      </c>
      <c r="P43" s="583">
        <f>'1.  LRAMVA Summary'!P51</f>
        <v>0</v>
      </c>
      <c r="Q43" s="584">
        <f>'1.  LRAMVA Summary'!Q51</f>
        <v>0</v>
      </c>
      <c r="R43" s="171"/>
    </row>
    <row r="44" spans="2:32" s="17" customFormat="1" ht="15.75">
      <c r="B44" s="172">
        <v>2011</v>
      </c>
      <c r="C44" s="534">
        <v>0</v>
      </c>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4">
        <v>0</v>
      </c>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4">
        <v>2013</v>
      </c>
      <c r="D46" s="192">
        <f t="shared" ref="D46:Q46" si="5">IF(ISBLANK($C$46),0,IF($C$46=$D$9,HLOOKUP(D43,D14:D18,5,FALSE),HLOOKUP(D43,D29:D33,5,FALSE)))</f>
        <v>1345003</v>
      </c>
      <c r="E46" s="192">
        <f t="shared" si="5"/>
        <v>543085</v>
      </c>
      <c r="F46" s="192">
        <f t="shared" si="5"/>
        <v>10671</v>
      </c>
      <c r="G46" s="192">
        <f t="shared" si="5"/>
        <v>196</v>
      </c>
      <c r="H46" s="192">
        <f t="shared" si="5"/>
        <v>4684</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4">
        <v>2013</v>
      </c>
      <c r="D47" s="192">
        <f t="shared" ref="D47:Q47" si="6">IF(ISBLANK($C$47),0,IF($C$47=$D$9,HLOOKUP(D43,D14:D18,5,FALSE),HLOOKUP(D43,D29:D33,5,FALSE)))</f>
        <v>1345003</v>
      </c>
      <c r="E47" s="192">
        <f t="shared" si="6"/>
        <v>543085</v>
      </c>
      <c r="F47" s="192">
        <f t="shared" si="6"/>
        <v>10671</v>
      </c>
      <c r="G47" s="192">
        <f t="shared" si="6"/>
        <v>196</v>
      </c>
      <c r="H47" s="192">
        <f t="shared" si="6"/>
        <v>4684</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4">
        <v>2013</v>
      </c>
      <c r="D48" s="747">
        <f t="shared" ref="D48:Q48" si="7">IF(ISBLANK($C$48),0,IF($C$48=$D$9,HLOOKUP(D43,D14:D18,5,FALSE),HLOOKUP(D43,D29:D33,5,FALSE)))</f>
        <v>1345003</v>
      </c>
      <c r="E48" s="747">
        <f t="shared" si="7"/>
        <v>543085</v>
      </c>
      <c r="F48" s="747">
        <f t="shared" si="7"/>
        <v>10671</v>
      </c>
      <c r="G48" s="747">
        <f t="shared" si="7"/>
        <v>196</v>
      </c>
      <c r="H48" s="192">
        <f t="shared" si="7"/>
        <v>4684</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4">
        <v>2013</v>
      </c>
      <c r="D49" s="747">
        <f t="shared" ref="D49:Q49" si="8">IF(ISBLANK($C$49),0,IF($C$49=$D$9,HLOOKUP(D43,D14:D18,5,FALSE),HLOOKUP(D43,D29:D33,5,FALSE)))</f>
        <v>1345003</v>
      </c>
      <c r="E49" s="747">
        <f t="shared" si="8"/>
        <v>543085</v>
      </c>
      <c r="F49" s="747">
        <f t="shared" si="8"/>
        <v>10671</v>
      </c>
      <c r="G49" s="747">
        <f t="shared" si="8"/>
        <v>196</v>
      </c>
      <c r="H49" s="192">
        <f t="shared" si="8"/>
        <v>4684</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4"/>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4"/>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4"/>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4"/>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537</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1048576" spans="3:3" ht="15.75">
      <c r="C1048576" s="534"/>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31"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C1048576 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90" zoomScaleNormal="90" workbookViewId="0">
      <pane ySplit="14" topLeftCell="A116" activePane="bottomLeft" state="frozen"/>
      <selection activeCell="F51" sqref="F51"/>
      <selection pane="bottomLeft" activeCell="F51" sqref="F51"/>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1" width="15.85546875" style="5" customWidth="1"/>
    <col min="12" max="13" width="15.85546875" style="5" hidden="1" customWidth="1"/>
    <col min="14" max="14" width="18.85546875" style="5" hidden="1" customWidth="1"/>
    <col min="15" max="15" width="16.5703125" style="5" hidden="1"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2" t="s">
        <v>172</v>
      </c>
      <c r="C4" s="87" t="s">
        <v>176</v>
      </c>
      <c r="D4" s="87"/>
      <c r="E4" s="50"/>
    </row>
    <row r="5" spans="1:26" s="18" customFormat="1" ht="26.25" hidden="1" customHeight="1" outlineLevel="1" thickBot="1">
      <c r="A5" s="4"/>
      <c r="B5" s="792"/>
      <c r="C5" s="88" t="s">
        <v>173</v>
      </c>
      <c r="D5" s="88"/>
      <c r="E5" s="50"/>
    </row>
    <row r="6" spans="1:26" ht="26.25" hidden="1" customHeight="1" outlineLevel="1" thickBot="1">
      <c r="B6" s="792"/>
      <c r="C6" s="795" t="s">
        <v>552</v>
      </c>
      <c r="D6" s="79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528</v>
      </c>
      <c r="C8" s="594" t="s">
        <v>483</v>
      </c>
      <c r="D8" s="593"/>
      <c r="M8" s="6"/>
      <c r="N8" s="6"/>
      <c r="O8" s="6"/>
      <c r="P8" s="6"/>
      <c r="Q8" s="6"/>
      <c r="R8" s="6"/>
      <c r="S8" s="6"/>
      <c r="T8" s="6"/>
      <c r="U8" s="6"/>
      <c r="V8" s="6"/>
      <c r="W8" s="6"/>
      <c r="X8" s="6"/>
      <c r="Y8" s="6"/>
      <c r="Z8" s="6"/>
    </row>
    <row r="9" spans="1:26" s="18" customFormat="1" ht="19.5" hidden="1" customHeight="1" outlineLevel="1">
      <c r="A9" s="4"/>
      <c r="B9" s="540"/>
      <c r="C9" s="594" t="s">
        <v>529</v>
      </c>
      <c r="D9" s="593"/>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484</v>
      </c>
      <c r="O11" s="552"/>
    </row>
    <row r="12" spans="1:26" ht="58.5" customHeight="1">
      <c r="B12" s="790" t="s">
        <v>622</v>
      </c>
      <c r="C12" s="790"/>
      <c r="D12" s="790"/>
      <c r="E12" s="790"/>
      <c r="F12" s="790"/>
      <c r="G12" s="790"/>
      <c r="H12" s="790"/>
      <c r="I12" s="790"/>
      <c r="J12" s="790"/>
      <c r="K12" s="790"/>
      <c r="L12" s="790"/>
      <c r="M12" s="790"/>
      <c r="N12" s="790"/>
      <c r="O12" s="790"/>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3"/>
      <c r="C14" s="471" t="s">
        <v>41</v>
      </c>
      <c r="D14" s="472" t="s">
        <v>697</v>
      </c>
      <c r="E14" s="472" t="s">
        <v>691</v>
      </c>
      <c r="F14" s="472" t="s">
        <v>692</v>
      </c>
      <c r="G14" s="472" t="s">
        <v>698</v>
      </c>
      <c r="H14" s="472" t="s">
        <v>693</v>
      </c>
      <c r="I14" s="472" t="s">
        <v>694</v>
      </c>
      <c r="J14" s="472" t="s">
        <v>695</v>
      </c>
      <c r="K14" s="472" t="s">
        <v>696</v>
      </c>
      <c r="L14" s="472" t="s">
        <v>681</v>
      </c>
      <c r="M14" s="472" t="s">
        <v>569</v>
      </c>
      <c r="N14" s="472" t="s">
        <v>570</v>
      </c>
      <c r="O14" s="472" t="s">
        <v>571</v>
      </c>
      <c r="P14" s="7"/>
    </row>
    <row r="15" spans="1:26" s="7" customFormat="1" ht="18.75" customHeight="1">
      <c r="B15" s="473" t="s">
        <v>189</v>
      </c>
      <c r="C15" s="793"/>
      <c r="D15" s="474">
        <v>2010</v>
      </c>
      <c r="E15" s="474">
        <v>2011</v>
      </c>
      <c r="F15" s="474">
        <v>2012</v>
      </c>
      <c r="G15" s="474">
        <v>2013</v>
      </c>
      <c r="H15" s="474">
        <v>2014</v>
      </c>
      <c r="I15" s="474">
        <v>2015</v>
      </c>
      <c r="J15" s="474">
        <v>2016</v>
      </c>
      <c r="K15" s="474">
        <v>2017</v>
      </c>
      <c r="L15" s="474">
        <v>2018</v>
      </c>
      <c r="M15" s="474">
        <v>2019</v>
      </c>
      <c r="N15" s="474">
        <v>2020</v>
      </c>
      <c r="O15" s="475">
        <v>2021</v>
      </c>
    </row>
    <row r="16" spans="1:26" s="113" customFormat="1" ht="18" customHeight="1">
      <c r="B16" s="476" t="s">
        <v>560</v>
      </c>
      <c r="C16" s="788"/>
      <c r="D16" s="477">
        <v>0</v>
      </c>
      <c r="E16" s="477">
        <v>4</v>
      </c>
      <c r="F16" s="477">
        <v>4</v>
      </c>
      <c r="G16" s="477">
        <v>9</v>
      </c>
      <c r="H16" s="477">
        <v>4</v>
      </c>
      <c r="I16" s="477">
        <v>4</v>
      </c>
      <c r="J16" s="477">
        <v>4</v>
      </c>
      <c r="K16" s="477">
        <v>4</v>
      </c>
      <c r="L16" s="477"/>
      <c r="M16" s="477"/>
      <c r="N16" s="477"/>
      <c r="O16" s="478"/>
    </row>
    <row r="17" spans="1:15" s="113" customFormat="1" ht="17.25" customHeight="1">
      <c r="B17" s="479" t="s">
        <v>561</v>
      </c>
      <c r="C17" s="794"/>
      <c r="D17" s="114">
        <f>12-D16</f>
        <v>12</v>
      </c>
      <c r="E17" s="114">
        <f>12-E16</f>
        <v>8</v>
      </c>
      <c r="F17" s="114">
        <f t="shared" ref="F17:K17" si="0">12-F16</f>
        <v>8</v>
      </c>
      <c r="G17" s="114">
        <f t="shared" si="0"/>
        <v>3</v>
      </c>
      <c r="H17" s="114">
        <f t="shared" si="0"/>
        <v>8</v>
      </c>
      <c r="I17" s="114">
        <f t="shared" si="0"/>
        <v>8</v>
      </c>
      <c r="J17" s="114">
        <f t="shared" si="0"/>
        <v>8</v>
      </c>
      <c r="K17" s="114">
        <f t="shared" si="0"/>
        <v>8</v>
      </c>
      <c r="L17" s="114">
        <f t="shared" ref="L17:O17" si="1">12-L16</f>
        <v>12</v>
      </c>
      <c r="M17" s="114">
        <f t="shared" si="1"/>
        <v>12</v>
      </c>
      <c r="N17" s="114">
        <f t="shared" si="1"/>
        <v>12</v>
      </c>
      <c r="O17" s="115">
        <f t="shared" si="1"/>
        <v>12</v>
      </c>
    </row>
    <row r="18" spans="1:15" s="7" customFormat="1" ht="17.25" customHeight="1">
      <c r="B18" s="480" t="str">
        <f>'1.  LRAMVA Summary'!B27</f>
        <v>Residential</v>
      </c>
      <c r="C18" s="787" t="str">
        <f>'2. LRAMVA Threshold'!D43</f>
        <v>kWh</v>
      </c>
      <c r="D18" s="47">
        <v>1.78E-2</v>
      </c>
      <c r="E18" s="47">
        <v>1.6899999999999998E-2</v>
      </c>
      <c r="F18" s="47">
        <v>1.7000000000000001E-2</v>
      </c>
      <c r="G18" s="47">
        <v>1.9300000000000001E-2</v>
      </c>
      <c r="H18" s="47">
        <v>1.9599999999999999E-2</v>
      </c>
      <c r="I18" s="47">
        <v>1.9900000000000001E-2</v>
      </c>
      <c r="J18" s="47">
        <v>1.52E-2</v>
      </c>
      <c r="K18" s="47">
        <v>1.03E-2</v>
      </c>
      <c r="L18" s="47"/>
      <c r="M18" s="47"/>
      <c r="N18" s="47"/>
      <c r="O18" s="71"/>
    </row>
    <row r="19" spans="1:15" s="7" customFormat="1" ht="15" hidden="1" customHeight="1" outlineLevel="1">
      <c r="B19" s="536" t="s">
        <v>512</v>
      </c>
      <c r="C19" s="788"/>
      <c r="D19" s="47"/>
      <c r="E19" s="47">
        <v>-1E-4</v>
      </c>
      <c r="F19" s="47">
        <v>-2.0000000000000001E-4</v>
      </c>
      <c r="G19" s="47"/>
      <c r="H19" s="47"/>
      <c r="I19" s="47"/>
      <c r="J19" s="47">
        <f>0.12/750</f>
        <v>1.5999999999999999E-4</v>
      </c>
      <c r="K19" s="47">
        <f>0.12/750</f>
        <v>1.5999999999999999E-4</v>
      </c>
      <c r="L19" s="47"/>
      <c r="M19" s="47"/>
      <c r="N19" s="47"/>
      <c r="O19" s="71"/>
    </row>
    <row r="20" spans="1:15" s="7" customFormat="1" ht="15" hidden="1" customHeight="1" outlineLevel="1">
      <c r="B20" s="536" t="s">
        <v>513</v>
      </c>
      <c r="C20" s="788"/>
      <c r="D20" s="47"/>
      <c r="E20" s="47"/>
      <c r="F20" s="47"/>
      <c r="G20" s="47">
        <f>0.98/2000</f>
        <v>4.8999999999999998E-4</v>
      </c>
      <c r="H20" s="47"/>
      <c r="I20" s="47"/>
      <c r="J20" s="47"/>
      <c r="K20" s="47"/>
      <c r="L20" s="47"/>
      <c r="M20" s="47"/>
      <c r="N20" s="47"/>
      <c r="O20" s="71"/>
    </row>
    <row r="21" spans="1:15" s="7" customFormat="1" ht="15" hidden="1" customHeight="1" outlineLevel="1">
      <c r="B21" s="536" t="s">
        <v>491</v>
      </c>
      <c r="C21" s="788"/>
      <c r="D21" s="47"/>
      <c r="E21" s="47"/>
      <c r="F21" s="47"/>
      <c r="G21" s="47"/>
      <c r="H21" s="47"/>
      <c r="I21" s="47"/>
      <c r="J21" s="47"/>
      <c r="K21" s="47"/>
      <c r="L21" s="47"/>
      <c r="M21" s="47"/>
      <c r="N21" s="47"/>
      <c r="O21" s="71"/>
    </row>
    <row r="22" spans="1:15" s="7" customFormat="1" ht="14.25" customHeight="1" collapsed="1">
      <c r="B22" s="536" t="s">
        <v>514</v>
      </c>
      <c r="C22" s="789"/>
      <c r="D22" s="67">
        <f>SUM(D18:D21)</f>
        <v>1.78E-2</v>
      </c>
      <c r="E22" s="67">
        <f>SUM(E18:E21)</f>
        <v>1.6799999999999999E-2</v>
      </c>
      <c r="F22" s="67">
        <f>SUM(F18:F21)</f>
        <v>1.6800000000000002E-2</v>
      </c>
      <c r="G22" s="67">
        <f t="shared" ref="G22:N22" si="2">SUM(G18:G21)</f>
        <v>1.9790000000000002E-2</v>
      </c>
      <c r="H22" s="67">
        <f t="shared" si="2"/>
        <v>1.9599999999999999E-2</v>
      </c>
      <c r="I22" s="67">
        <f t="shared" si="2"/>
        <v>1.9900000000000001E-2</v>
      </c>
      <c r="J22" s="67">
        <f t="shared" si="2"/>
        <v>1.536E-2</v>
      </c>
      <c r="K22" s="67">
        <f t="shared" si="2"/>
        <v>1.0460000000000001E-2</v>
      </c>
      <c r="L22" s="67">
        <f t="shared" si="2"/>
        <v>0</v>
      </c>
      <c r="M22" s="67">
        <f t="shared" si="2"/>
        <v>0</v>
      </c>
      <c r="N22" s="67">
        <f t="shared" si="2"/>
        <v>0</v>
      </c>
      <c r="O22" s="78"/>
    </row>
    <row r="23" spans="1:15" s="65" customFormat="1">
      <c r="A23" s="64"/>
      <c r="B23" s="492" t="s">
        <v>515</v>
      </c>
      <c r="C23" s="482"/>
      <c r="D23" s="483"/>
      <c r="E23" s="484">
        <f>ROUND(SUM(D22*E16+E22*E17)/12,4)</f>
        <v>1.7100000000000001E-2</v>
      </c>
      <c r="F23" s="484">
        <f>ROUND(SUM(E22*F16+F22*F17)/12,4)</f>
        <v>1.6799999999999999E-2</v>
      </c>
      <c r="G23" s="484">
        <f>ROUND(SUM(F22*G16+G22*G17)/12,4)</f>
        <v>1.7500000000000002E-2</v>
      </c>
      <c r="H23" s="484">
        <f>ROUND(SUM(G22*H16+H22*H17)/12,4)</f>
        <v>1.9699999999999999E-2</v>
      </c>
      <c r="I23" s="484">
        <f>ROUND(SUM(H22*I16+I22*I17)/12,4)</f>
        <v>1.9800000000000002E-2</v>
      </c>
      <c r="J23" s="484">
        <f t="shared" ref="J23:N23" si="3">ROUND(SUM(I22*J16+J22*J17)/12,4)</f>
        <v>1.6899999999999998E-2</v>
      </c>
      <c r="K23" s="484">
        <f t="shared" si="3"/>
        <v>1.21E-2</v>
      </c>
      <c r="L23" s="484">
        <f t="shared" si="3"/>
        <v>0</v>
      </c>
      <c r="M23" s="484">
        <f t="shared" si="3"/>
        <v>0</v>
      </c>
      <c r="N23" s="484">
        <f t="shared" si="3"/>
        <v>0</v>
      </c>
      <c r="O23" s="485"/>
    </row>
    <row r="24" spans="1:15" s="65" customFormat="1">
      <c r="A24" s="64"/>
      <c r="B24" s="481"/>
      <c r="C24" s="486"/>
      <c r="D24" s="483"/>
      <c r="E24" s="484"/>
      <c r="F24" s="484"/>
      <c r="G24" s="484"/>
      <c r="H24" s="484"/>
      <c r="I24" s="484"/>
      <c r="J24" s="484"/>
      <c r="K24" s="484"/>
      <c r="L24" s="487"/>
      <c r="M24" s="487"/>
      <c r="N24" s="487"/>
      <c r="O24" s="485"/>
    </row>
    <row r="25" spans="1:15" s="65" customFormat="1" ht="15.75" customHeight="1">
      <c r="A25" s="64"/>
      <c r="B25" s="604" t="str">
        <f>'1.  LRAMVA Summary'!B28</f>
        <v>GS&lt;50 kW</v>
      </c>
      <c r="C25" s="787" t="s">
        <v>27</v>
      </c>
      <c r="D25" s="47">
        <v>1.12E-2</v>
      </c>
      <c r="E25" s="47">
        <v>1.12E-2</v>
      </c>
      <c r="F25" s="47">
        <v>1.1299999999999999E-2</v>
      </c>
      <c r="G25" s="47">
        <v>1.3100000000000001E-2</v>
      </c>
      <c r="H25" s="47">
        <v>1.3299999999999999E-2</v>
      </c>
      <c r="I25" s="47">
        <v>1.35E-2</v>
      </c>
      <c r="J25" s="47">
        <v>1.37E-2</v>
      </c>
      <c r="K25" s="47">
        <v>1.3899999999999999E-2</v>
      </c>
      <c r="L25" s="47"/>
      <c r="M25" s="47"/>
      <c r="N25" s="47"/>
      <c r="O25" s="71"/>
    </row>
    <row r="26" spans="1:15" s="18" customFormat="1" hidden="1" outlineLevel="1">
      <c r="A26" s="4"/>
      <c r="B26" s="536" t="s">
        <v>512</v>
      </c>
      <c r="C26" s="788"/>
      <c r="D26" s="47"/>
      <c r="E26" s="47">
        <v>-1E-4</v>
      </c>
      <c r="F26" s="47">
        <v>-1E-4</v>
      </c>
      <c r="G26" s="47"/>
      <c r="H26" s="47"/>
      <c r="I26" s="47"/>
      <c r="J26" s="47">
        <v>1E-4</v>
      </c>
      <c r="K26" s="47">
        <v>1E-4</v>
      </c>
      <c r="L26" s="47"/>
      <c r="M26" s="47"/>
      <c r="N26" s="47"/>
      <c r="O26" s="71"/>
    </row>
    <row r="27" spans="1:15" s="18" customFormat="1" hidden="1" outlineLevel="1">
      <c r="A27" s="4"/>
      <c r="B27" s="536" t="s">
        <v>513</v>
      </c>
      <c r="C27" s="788"/>
      <c r="D27" s="47"/>
      <c r="E27" s="47"/>
      <c r="F27" s="47"/>
      <c r="G27" s="47">
        <f>0.98/2000</f>
        <v>4.8999999999999998E-4</v>
      </c>
      <c r="H27" s="47"/>
      <c r="I27" s="47"/>
      <c r="J27" s="47"/>
      <c r="K27" s="47"/>
      <c r="L27" s="47"/>
      <c r="M27" s="47"/>
      <c r="N27" s="47"/>
      <c r="O27" s="71"/>
    </row>
    <row r="28" spans="1:15" s="18" customFormat="1" hidden="1" outlineLevel="1">
      <c r="A28" s="4"/>
      <c r="B28" s="536" t="s">
        <v>491</v>
      </c>
      <c r="C28" s="788"/>
      <c r="D28" s="47"/>
      <c r="E28" s="47"/>
      <c r="F28" s="47"/>
      <c r="G28" s="47"/>
      <c r="H28" s="47"/>
      <c r="I28" s="47"/>
      <c r="J28" s="47"/>
      <c r="K28" s="47"/>
      <c r="L28" s="47"/>
      <c r="M28" s="47"/>
      <c r="N28" s="47"/>
      <c r="O28" s="71"/>
    </row>
    <row r="29" spans="1:15" s="18" customFormat="1" collapsed="1">
      <c r="A29" s="4"/>
      <c r="B29" s="536" t="s">
        <v>514</v>
      </c>
      <c r="C29" s="789"/>
      <c r="D29" s="67">
        <f>SUM(D25:D28)</f>
        <v>1.12E-2</v>
      </c>
      <c r="E29" s="67">
        <f t="shared" ref="E29:N29" si="4">SUM(E25:E28)</f>
        <v>1.11E-2</v>
      </c>
      <c r="F29" s="67">
        <f t="shared" si="4"/>
        <v>1.12E-2</v>
      </c>
      <c r="G29" s="67">
        <f t="shared" si="4"/>
        <v>1.3590000000000001E-2</v>
      </c>
      <c r="H29" s="67">
        <f t="shared" si="4"/>
        <v>1.3299999999999999E-2</v>
      </c>
      <c r="I29" s="67">
        <f t="shared" si="4"/>
        <v>1.35E-2</v>
      </c>
      <c r="J29" s="67">
        <f t="shared" si="4"/>
        <v>1.38E-2</v>
      </c>
      <c r="K29" s="67">
        <f t="shared" si="4"/>
        <v>1.3999999999999999E-2</v>
      </c>
      <c r="L29" s="67">
        <f t="shared" si="4"/>
        <v>0</v>
      </c>
      <c r="M29" s="67">
        <f t="shared" si="4"/>
        <v>0</v>
      </c>
      <c r="N29" s="67">
        <f t="shared" si="4"/>
        <v>0</v>
      </c>
      <c r="O29" s="78"/>
    </row>
    <row r="30" spans="1:15" s="18" customFormat="1">
      <c r="A30" s="4"/>
      <c r="B30" s="492" t="s">
        <v>515</v>
      </c>
      <c r="C30" s="488"/>
      <c r="D30" s="73"/>
      <c r="E30" s="484">
        <f>ROUND(SUM(D29*E16+E29*E17)/12,4)</f>
        <v>1.11E-2</v>
      </c>
      <c r="F30" s="484">
        <f t="shared" ref="F30:N30" si="5">ROUND(SUM(E29*F16+F29*F17)/12,4)</f>
        <v>1.12E-2</v>
      </c>
      <c r="G30" s="484">
        <f t="shared" si="5"/>
        <v>1.18E-2</v>
      </c>
      <c r="H30" s="484">
        <f t="shared" si="5"/>
        <v>1.34E-2</v>
      </c>
      <c r="I30" s="484">
        <f t="shared" si="5"/>
        <v>1.34E-2</v>
      </c>
      <c r="J30" s="484">
        <f>ROUND(SUM(I29*J16+J29*J17)/12,4)</f>
        <v>1.37E-2</v>
      </c>
      <c r="K30" s="484">
        <f t="shared" si="5"/>
        <v>1.3899999999999999E-2</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6" customFormat="1">
      <c r="B32" s="604" t="str">
        <f>'1.  LRAMVA Summary'!B29</f>
        <v>GS&gt;50 kW</v>
      </c>
      <c r="C32" s="787" t="s">
        <v>28</v>
      </c>
      <c r="D32" s="47">
        <v>2.2848999999999999</v>
      </c>
      <c r="E32" s="47">
        <v>2.6221999999999999</v>
      </c>
      <c r="F32" s="47">
        <v>2.64</v>
      </c>
      <c r="G32" s="47">
        <v>3.085</v>
      </c>
      <c r="H32" s="47">
        <v>3.1282000000000001</v>
      </c>
      <c r="I32" s="47">
        <v>3.1688999999999998</v>
      </c>
      <c r="J32" s="47">
        <v>3.2259000000000002</v>
      </c>
      <c r="K32" s="47">
        <v>3.2824</v>
      </c>
      <c r="L32" s="47"/>
      <c r="M32" s="47"/>
      <c r="N32" s="47"/>
      <c r="O32" s="71"/>
    </row>
    <row r="33" spans="1:15" s="18" customFormat="1" hidden="1" outlineLevel="1">
      <c r="A33" s="4"/>
      <c r="B33" s="536" t="s">
        <v>512</v>
      </c>
      <c r="C33" s="788"/>
      <c r="D33" s="47"/>
      <c r="E33" s="47">
        <v>-8.6E-3</v>
      </c>
      <c r="F33" s="47">
        <v>-2.4E-2</v>
      </c>
      <c r="G33" s="47"/>
      <c r="H33" s="47"/>
      <c r="I33" s="47"/>
      <c r="J33" s="47">
        <v>2.06E-2</v>
      </c>
      <c r="K33" s="47">
        <v>2.01E-2</v>
      </c>
      <c r="L33" s="47"/>
      <c r="M33" s="47"/>
      <c r="N33" s="47"/>
      <c r="O33" s="71"/>
    </row>
    <row r="34" spans="1:15" s="18" customFormat="1" hidden="1" outlineLevel="1">
      <c r="A34" s="4"/>
      <c r="B34" s="536" t="s">
        <v>513</v>
      </c>
      <c r="C34" s="788"/>
      <c r="D34" s="47"/>
      <c r="E34" s="47"/>
      <c r="F34" s="47"/>
      <c r="G34" s="47">
        <f>2.21/250</f>
        <v>8.8400000000000006E-3</v>
      </c>
      <c r="H34" s="47"/>
      <c r="I34" s="47"/>
      <c r="J34" s="47"/>
      <c r="K34" s="47"/>
      <c r="L34" s="47"/>
      <c r="M34" s="47"/>
      <c r="N34" s="47"/>
      <c r="O34" s="71"/>
    </row>
    <row r="35" spans="1:15" s="18" customFormat="1" hidden="1" outlineLevel="1">
      <c r="A35" s="4"/>
      <c r="B35" s="536" t="s">
        <v>491</v>
      </c>
      <c r="C35" s="788"/>
      <c r="D35" s="47"/>
      <c r="E35" s="47"/>
      <c r="F35" s="47"/>
      <c r="G35" s="47"/>
      <c r="H35" s="47"/>
      <c r="I35" s="47"/>
      <c r="J35" s="47"/>
      <c r="K35" s="47"/>
      <c r="L35" s="47"/>
      <c r="M35" s="47"/>
      <c r="N35" s="47"/>
      <c r="O35" s="71"/>
    </row>
    <row r="36" spans="1:15" s="18" customFormat="1" collapsed="1">
      <c r="A36" s="4"/>
      <c r="B36" s="536" t="s">
        <v>514</v>
      </c>
      <c r="C36" s="789"/>
      <c r="D36" s="67">
        <f>SUM(D32:D35)</f>
        <v>2.2848999999999999</v>
      </c>
      <c r="E36" s="67">
        <f>SUM(E32:E35)</f>
        <v>2.6135999999999999</v>
      </c>
      <c r="F36" s="67">
        <f t="shared" ref="F36:M36" si="6">SUM(F32:F35)</f>
        <v>2.6160000000000001</v>
      </c>
      <c r="G36" s="67">
        <f t="shared" si="6"/>
        <v>3.0938400000000001</v>
      </c>
      <c r="H36" s="67">
        <f t="shared" si="6"/>
        <v>3.1282000000000001</v>
      </c>
      <c r="I36" s="67">
        <f t="shared" si="6"/>
        <v>3.1688999999999998</v>
      </c>
      <c r="J36" s="67">
        <f t="shared" si="6"/>
        <v>3.2465000000000002</v>
      </c>
      <c r="K36" s="67">
        <f t="shared" si="6"/>
        <v>3.3024999999999998</v>
      </c>
      <c r="L36" s="67">
        <f t="shared" si="6"/>
        <v>0</v>
      </c>
      <c r="M36" s="67">
        <f t="shared" si="6"/>
        <v>0</v>
      </c>
      <c r="N36" s="67">
        <f>SUM(N32:N35)</f>
        <v>0</v>
      </c>
      <c r="O36" s="78"/>
    </row>
    <row r="37" spans="1:15" s="18" customFormat="1">
      <c r="A37" s="4"/>
      <c r="B37" s="492" t="s">
        <v>515</v>
      </c>
      <c r="C37" s="488"/>
      <c r="D37" s="73"/>
      <c r="E37" s="484">
        <f t="shared" ref="E37:N37" si="7">ROUND(SUM(D36*E16+E36*E17)/12,4)</f>
        <v>2.504</v>
      </c>
      <c r="F37" s="484">
        <f t="shared" si="7"/>
        <v>2.6152000000000002</v>
      </c>
      <c r="G37" s="484">
        <f t="shared" si="7"/>
        <v>2.7355</v>
      </c>
      <c r="H37" s="484">
        <f t="shared" si="7"/>
        <v>3.1166999999999998</v>
      </c>
      <c r="I37" s="484">
        <f t="shared" si="7"/>
        <v>3.1553</v>
      </c>
      <c r="J37" s="484">
        <f t="shared" si="7"/>
        <v>3.2206000000000001</v>
      </c>
      <c r="K37" s="484">
        <f t="shared" si="7"/>
        <v>3.2837999999999998</v>
      </c>
      <c r="L37" s="484">
        <f t="shared" si="7"/>
        <v>0</v>
      </c>
      <c r="M37" s="484">
        <f t="shared" si="7"/>
        <v>0</v>
      </c>
      <c r="N37" s="484">
        <f t="shared" si="7"/>
        <v>0</v>
      </c>
      <c r="O37" s="489"/>
    </row>
    <row r="38" spans="1:15" s="72" customFormat="1" ht="15.75" customHeight="1">
      <c r="B38" s="492"/>
      <c r="C38" s="488"/>
      <c r="D38" s="73"/>
      <c r="E38" s="73"/>
      <c r="F38" s="73"/>
      <c r="G38" s="73"/>
      <c r="H38" s="73"/>
      <c r="I38" s="73"/>
      <c r="J38" s="73"/>
      <c r="K38" s="73"/>
      <c r="L38" s="487"/>
      <c r="M38" s="487"/>
      <c r="N38" s="487"/>
      <c r="O38" s="493"/>
    </row>
    <row r="39" spans="1:15" s="66" customFormat="1">
      <c r="A39" s="64"/>
      <c r="B39" s="604" t="str">
        <f>'1.  LRAMVA Summary'!B30</f>
        <v>Streetlights</v>
      </c>
      <c r="C39" s="787" t="s">
        <v>28</v>
      </c>
      <c r="D39" s="47">
        <v>11.224</v>
      </c>
      <c r="E39" s="47">
        <v>13.9108</v>
      </c>
      <c r="F39" s="47">
        <v>14.0054</v>
      </c>
      <c r="G39" s="47">
        <v>14.3874</v>
      </c>
      <c r="H39" s="47">
        <v>14.588800000000001</v>
      </c>
      <c r="I39" s="47">
        <v>14.778499999999999</v>
      </c>
      <c r="J39" s="47">
        <v>15.044499999999999</v>
      </c>
      <c r="K39" s="47">
        <v>15.3078</v>
      </c>
      <c r="L39" s="47"/>
      <c r="M39" s="47"/>
      <c r="N39" s="47"/>
      <c r="O39" s="71"/>
    </row>
    <row r="40" spans="1:15" s="18" customFormat="1" hidden="1" outlineLevel="1">
      <c r="A40" s="4"/>
      <c r="B40" s="536" t="s">
        <v>512</v>
      </c>
      <c r="C40" s="788"/>
      <c r="D40" s="47"/>
      <c r="E40" s="47">
        <v>-8.9899999999999994E-2</v>
      </c>
      <c r="F40" s="47">
        <v>-0.2505</v>
      </c>
      <c r="G40" s="47"/>
      <c r="H40" s="47"/>
      <c r="I40" s="47"/>
      <c r="J40" s="47">
        <v>0.1812</v>
      </c>
      <c r="K40" s="47">
        <v>0.18079999999999999</v>
      </c>
      <c r="L40" s="47"/>
      <c r="M40" s="47"/>
      <c r="N40" s="47"/>
      <c r="O40" s="71"/>
    </row>
    <row r="41" spans="1:15" s="18" customFormat="1" hidden="1" outlineLevel="1">
      <c r="A41" s="4"/>
      <c r="B41" s="536" t="s">
        <v>513</v>
      </c>
      <c r="C41" s="788"/>
      <c r="D41" s="47"/>
      <c r="E41" s="47"/>
      <c r="F41" s="47"/>
      <c r="G41" s="47">
        <f>0.06/250</f>
        <v>2.3999999999999998E-4</v>
      </c>
      <c r="H41" s="47"/>
      <c r="I41" s="47"/>
      <c r="J41" s="47"/>
      <c r="K41" s="47"/>
      <c r="L41" s="47"/>
      <c r="M41" s="47"/>
      <c r="N41" s="47"/>
      <c r="O41" s="71"/>
    </row>
    <row r="42" spans="1:15" s="18" customFormat="1" hidden="1" outlineLevel="1">
      <c r="A42" s="4"/>
      <c r="B42" s="536" t="s">
        <v>491</v>
      </c>
      <c r="C42" s="788"/>
      <c r="D42" s="47"/>
      <c r="E42" s="47"/>
      <c r="F42" s="47"/>
      <c r="G42" s="47"/>
      <c r="H42" s="47"/>
      <c r="I42" s="47"/>
      <c r="J42" s="47"/>
      <c r="K42" s="47"/>
      <c r="L42" s="47"/>
      <c r="M42" s="47"/>
      <c r="N42" s="47"/>
      <c r="O42" s="71"/>
    </row>
    <row r="43" spans="1:15" s="18" customFormat="1" collapsed="1">
      <c r="A43" s="4"/>
      <c r="B43" s="536" t="s">
        <v>514</v>
      </c>
      <c r="C43" s="789"/>
      <c r="D43" s="67">
        <f>SUM(D39:D42)</f>
        <v>11.224</v>
      </c>
      <c r="E43" s="67">
        <f t="shared" ref="E43:N43" si="8">SUM(E39:E42)</f>
        <v>13.8209</v>
      </c>
      <c r="F43" s="67">
        <f t="shared" si="8"/>
        <v>13.754899999999999</v>
      </c>
      <c r="G43" s="67">
        <f t="shared" si="8"/>
        <v>14.387639999999999</v>
      </c>
      <c r="H43" s="67">
        <f t="shared" si="8"/>
        <v>14.588800000000001</v>
      </c>
      <c r="I43" s="67">
        <f t="shared" si="8"/>
        <v>14.778499999999999</v>
      </c>
      <c r="J43" s="67">
        <f t="shared" si="8"/>
        <v>15.2257</v>
      </c>
      <c r="K43" s="67">
        <f t="shared" si="8"/>
        <v>15.4886</v>
      </c>
      <c r="L43" s="67">
        <f t="shared" si="8"/>
        <v>0</v>
      </c>
      <c r="M43" s="67">
        <f t="shared" si="8"/>
        <v>0</v>
      </c>
      <c r="N43" s="67">
        <f t="shared" si="8"/>
        <v>0</v>
      </c>
      <c r="O43" s="78"/>
    </row>
    <row r="44" spans="1:15" s="14" customFormat="1">
      <c r="A44" s="74"/>
      <c r="B44" s="492" t="s">
        <v>515</v>
      </c>
      <c r="C44" s="488"/>
      <c r="D44" s="73"/>
      <c r="E44" s="484">
        <f t="shared" ref="E44:N44" si="9">ROUND(SUM(D43*E16+E43*E17)/12,4)</f>
        <v>12.955299999999999</v>
      </c>
      <c r="F44" s="484">
        <f t="shared" si="9"/>
        <v>13.776899999999999</v>
      </c>
      <c r="G44" s="484">
        <f t="shared" si="9"/>
        <v>13.9131</v>
      </c>
      <c r="H44" s="484">
        <f t="shared" si="9"/>
        <v>14.521699999999999</v>
      </c>
      <c r="I44" s="484">
        <f t="shared" si="9"/>
        <v>14.715299999999999</v>
      </c>
      <c r="J44" s="484">
        <f t="shared" si="9"/>
        <v>15.076599999999999</v>
      </c>
      <c r="K44" s="484">
        <f t="shared" si="9"/>
        <v>15.401</v>
      </c>
      <c r="L44" s="484">
        <f t="shared" si="9"/>
        <v>0</v>
      </c>
      <c r="M44" s="484">
        <f t="shared" si="9"/>
        <v>0</v>
      </c>
      <c r="N44" s="484">
        <f t="shared" si="9"/>
        <v>0</v>
      </c>
      <c r="O44" s="489"/>
    </row>
    <row r="45" spans="1:15" s="72" customFormat="1" ht="14.25">
      <c r="A45" s="74"/>
      <c r="B45" s="492"/>
      <c r="C45" s="488"/>
      <c r="D45" s="73"/>
      <c r="E45" s="73"/>
      <c r="F45" s="73"/>
      <c r="G45" s="73"/>
      <c r="H45" s="73"/>
      <c r="I45" s="73"/>
      <c r="J45" s="73"/>
      <c r="K45" s="73"/>
      <c r="L45" s="487"/>
      <c r="M45" s="487"/>
      <c r="N45" s="487"/>
      <c r="O45" s="493"/>
    </row>
    <row r="46" spans="1:15" s="66" customFormat="1">
      <c r="A46" s="64"/>
      <c r="B46" s="604" t="str">
        <f>'1.  LRAMVA Summary'!B31</f>
        <v>Unmetered Scattered Load</v>
      </c>
      <c r="C46" s="787" t="str">
        <f>'2. LRAMVA Threshold'!H43</f>
        <v>KWh</v>
      </c>
      <c r="D46" s="47">
        <v>1.7600000000000001E-2</v>
      </c>
      <c r="E46" s="47">
        <v>1.7600000000000001E-2</v>
      </c>
      <c r="F46" s="47">
        <v>1.77E-2</v>
      </c>
      <c r="G46" s="47">
        <v>1.1299999999999999E-2</v>
      </c>
      <c r="H46" s="47">
        <v>1.15E-2</v>
      </c>
      <c r="I46" s="47">
        <v>1.1599999999999999E-2</v>
      </c>
      <c r="J46" s="47">
        <v>1.18E-2</v>
      </c>
      <c r="K46" s="47">
        <v>1.2E-2</v>
      </c>
      <c r="L46" s="47"/>
      <c r="M46" s="47"/>
      <c r="N46" s="47"/>
      <c r="O46" s="71"/>
    </row>
    <row r="47" spans="1:15" s="18" customFormat="1" hidden="1" outlineLevel="1">
      <c r="A47" s="4"/>
      <c r="B47" s="536" t="s">
        <v>512</v>
      </c>
      <c r="C47" s="788"/>
      <c r="D47" s="47">
        <v>-2.3999999999999998E-3</v>
      </c>
      <c r="E47" s="47">
        <v>-1.6999999999999999E-3</v>
      </c>
      <c r="F47" s="47">
        <v>-1E-4</v>
      </c>
      <c r="G47" s="47"/>
      <c r="H47" s="47"/>
      <c r="I47" s="47"/>
      <c r="J47" s="47">
        <v>1E-4</v>
      </c>
      <c r="K47" s="47">
        <v>1E-4</v>
      </c>
      <c r="L47" s="47"/>
      <c r="M47" s="47"/>
      <c r="N47" s="47"/>
      <c r="O47" s="71"/>
    </row>
    <row r="48" spans="1:15" s="18" customFormat="1" hidden="1" outlineLevel="1">
      <c r="A48" s="4"/>
      <c r="B48" s="536" t="s">
        <v>513</v>
      </c>
      <c r="C48" s="788"/>
      <c r="D48" s="47"/>
      <c r="E48" s="47"/>
      <c r="F48" s="47"/>
      <c r="G48" s="47">
        <f>-1.12/150</f>
        <v>-7.4666666666666675E-3</v>
      </c>
      <c r="H48" s="47"/>
      <c r="I48" s="47"/>
      <c r="J48" s="47"/>
      <c r="K48" s="47"/>
      <c r="L48" s="47"/>
      <c r="M48" s="47"/>
      <c r="N48" s="47"/>
      <c r="O48" s="71"/>
    </row>
    <row r="49" spans="1:15" s="18" customFormat="1" hidden="1" outlineLevel="1">
      <c r="A49" s="4"/>
      <c r="B49" s="536" t="s">
        <v>491</v>
      </c>
      <c r="C49" s="788"/>
      <c r="D49" s="47"/>
      <c r="E49" s="47"/>
      <c r="F49" s="47"/>
      <c r="G49" s="47"/>
      <c r="H49" s="47"/>
      <c r="I49" s="47"/>
      <c r="J49" s="47"/>
      <c r="K49" s="47"/>
      <c r="L49" s="47"/>
      <c r="M49" s="47"/>
      <c r="N49" s="47"/>
      <c r="O49" s="71"/>
    </row>
    <row r="50" spans="1:15" s="18" customFormat="1" collapsed="1">
      <c r="A50" s="4"/>
      <c r="B50" s="536" t="s">
        <v>514</v>
      </c>
      <c r="C50" s="789"/>
      <c r="D50" s="67">
        <f>SUM(D46:D49)</f>
        <v>1.5200000000000002E-2</v>
      </c>
      <c r="E50" s="67">
        <f t="shared" ref="E50:N50" si="10">SUM(E46:E49)</f>
        <v>1.5900000000000001E-2</v>
      </c>
      <c r="F50" s="67">
        <f t="shared" si="10"/>
        <v>1.7600000000000001E-2</v>
      </c>
      <c r="G50" s="67">
        <f t="shared" si="10"/>
        <v>3.8333333333333318E-3</v>
      </c>
      <c r="H50" s="67">
        <f t="shared" si="10"/>
        <v>1.15E-2</v>
      </c>
      <c r="I50" s="67">
        <f t="shared" si="10"/>
        <v>1.1599999999999999E-2</v>
      </c>
      <c r="J50" s="67">
        <f t="shared" si="10"/>
        <v>1.1899999999999999E-2</v>
      </c>
      <c r="K50" s="67">
        <f t="shared" si="10"/>
        <v>1.21E-2</v>
      </c>
      <c r="L50" s="67">
        <f t="shared" si="10"/>
        <v>0</v>
      </c>
      <c r="M50" s="67">
        <f t="shared" si="10"/>
        <v>0</v>
      </c>
      <c r="N50" s="67">
        <f t="shared" si="10"/>
        <v>0</v>
      </c>
      <c r="O50" s="78"/>
    </row>
    <row r="51" spans="1:15" s="14" customFormat="1">
      <c r="A51" s="74"/>
      <c r="B51" s="492" t="s">
        <v>515</v>
      </c>
      <c r="C51" s="488"/>
      <c r="D51" s="73"/>
      <c r="E51" s="484">
        <f t="shared" ref="E51:N51" si="11">ROUND(SUM(D50*E16+E50*E17)/12,4)</f>
        <v>1.5699999999999999E-2</v>
      </c>
      <c r="F51" s="484">
        <f t="shared" si="11"/>
        <v>1.7000000000000001E-2</v>
      </c>
      <c r="G51" s="484">
        <f t="shared" si="11"/>
        <v>1.4200000000000001E-2</v>
      </c>
      <c r="H51" s="484">
        <f t="shared" si="11"/>
        <v>8.8999999999999999E-3</v>
      </c>
      <c r="I51" s="484">
        <f t="shared" si="11"/>
        <v>1.1599999999999999E-2</v>
      </c>
      <c r="J51" s="484">
        <f t="shared" si="11"/>
        <v>1.18E-2</v>
      </c>
      <c r="K51" s="484">
        <f t="shared" si="11"/>
        <v>1.2E-2</v>
      </c>
      <c r="L51" s="484">
        <f t="shared" si="11"/>
        <v>0</v>
      </c>
      <c r="M51" s="484">
        <f t="shared" si="11"/>
        <v>0</v>
      </c>
      <c r="N51" s="484">
        <f t="shared" si="11"/>
        <v>0</v>
      </c>
      <c r="O51" s="489"/>
    </row>
    <row r="52" spans="1:15" s="72" customFormat="1" ht="14.25">
      <c r="A52" s="74"/>
      <c r="B52" s="492"/>
      <c r="C52" s="488"/>
      <c r="D52" s="73"/>
      <c r="E52" s="73"/>
      <c r="F52" s="73"/>
      <c r="G52" s="73"/>
      <c r="H52" s="73"/>
      <c r="I52" s="73"/>
      <c r="J52" s="73"/>
      <c r="K52" s="73"/>
      <c r="L52" s="494"/>
      <c r="M52" s="494"/>
      <c r="N52" s="494"/>
      <c r="O52" s="493"/>
    </row>
    <row r="53" spans="1:15" s="66" customFormat="1" hidden="1">
      <c r="A53" s="64"/>
      <c r="B53" s="604">
        <f>'1.  LRAMVA Summary'!B32</f>
        <v>0</v>
      </c>
      <c r="C53" s="787">
        <f>'2. LRAMVA Threshold'!I43</f>
        <v>0</v>
      </c>
      <c r="D53" s="47"/>
      <c r="E53" s="47"/>
      <c r="F53" s="47"/>
      <c r="G53" s="47"/>
      <c r="H53" s="47"/>
      <c r="I53" s="47"/>
      <c r="J53" s="47"/>
      <c r="K53" s="47"/>
      <c r="L53" s="47"/>
      <c r="M53" s="47"/>
      <c r="N53" s="47"/>
      <c r="O53" s="71"/>
    </row>
    <row r="54" spans="1:15" s="18" customFormat="1" hidden="1" outlineLevel="1">
      <c r="A54" s="4"/>
      <c r="B54" s="536" t="s">
        <v>512</v>
      </c>
      <c r="C54" s="788"/>
      <c r="D54" s="47"/>
      <c r="E54" s="47"/>
      <c r="F54" s="47"/>
      <c r="G54" s="47"/>
      <c r="H54" s="47"/>
      <c r="I54" s="47"/>
      <c r="J54" s="47"/>
      <c r="K54" s="47"/>
      <c r="L54" s="47"/>
      <c r="M54" s="47"/>
      <c r="N54" s="47"/>
      <c r="O54" s="71"/>
    </row>
    <row r="55" spans="1:15" s="18" customFormat="1" hidden="1" outlineLevel="1">
      <c r="A55" s="4"/>
      <c r="B55" s="536" t="s">
        <v>513</v>
      </c>
      <c r="C55" s="788"/>
      <c r="D55" s="47"/>
      <c r="E55" s="47"/>
      <c r="F55" s="47"/>
      <c r="G55" s="47"/>
      <c r="H55" s="47"/>
      <c r="I55" s="47"/>
      <c r="J55" s="47"/>
      <c r="K55" s="47"/>
      <c r="L55" s="47"/>
      <c r="M55" s="47"/>
      <c r="N55" s="47"/>
      <c r="O55" s="71"/>
    </row>
    <row r="56" spans="1:15" s="18" customFormat="1" hidden="1" outlineLevel="1">
      <c r="A56" s="4"/>
      <c r="B56" s="536" t="s">
        <v>491</v>
      </c>
      <c r="C56" s="788"/>
      <c r="D56" s="47"/>
      <c r="E56" s="47"/>
      <c r="F56" s="47"/>
      <c r="G56" s="47"/>
      <c r="H56" s="47"/>
      <c r="I56" s="47"/>
      <c r="J56" s="47"/>
      <c r="K56" s="47"/>
      <c r="L56" s="47"/>
      <c r="M56" s="47"/>
      <c r="N56" s="47"/>
      <c r="O56" s="71"/>
    </row>
    <row r="57" spans="1:15" s="18" customFormat="1" hidden="1" collapsed="1">
      <c r="A57" s="4"/>
      <c r="B57" s="536" t="s">
        <v>514</v>
      </c>
      <c r="C57" s="789"/>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hidden="1">
      <c r="A58" s="74"/>
      <c r="B58" s="492" t="s">
        <v>515</v>
      </c>
      <c r="C58" s="488"/>
      <c r="D58" s="73"/>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2" customFormat="1" ht="14.25" hidden="1">
      <c r="A59" s="74"/>
      <c r="B59" s="492"/>
      <c r="C59" s="488"/>
      <c r="D59" s="73"/>
      <c r="E59" s="73"/>
      <c r="F59" s="73"/>
      <c r="G59" s="73"/>
      <c r="H59" s="73"/>
      <c r="I59" s="73"/>
      <c r="J59" s="73"/>
      <c r="K59" s="73"/>
      <c r="L59" s="494"/>
      <c r="M59" s="494"/>
      <c r="N59" s="494"/>
      <c r="O59" s="493"/>
    </row>
    <row r="60" spans="1:15" s="66" customFormat="1" hidden="1">
      <c r="A60" s="64"/>
      <c r="B60" s="604">
        <f>'1.  LRAMVA Summary'!B33</f>
        <v>0</v>
      </c>
      <c r="C60" s="787">
        <f>'2. LRAMVA Threshold'!J43</f>
        <v>0</v>
      </c>
      <c r="D60" s="47"/>
      <c r="E60" s="47"/>
      <c r="F60" s="47"/>
      <c r="G60" s="47"/>
      <c r="H60" s="47"/>
      <c r="I60" s="47"/>
      <c r="J60" s="47"/>
      <c r="K60" s="47"/>
      <c r="L60" s="47"/>
      <c r="M60" s="47"/>
      <c r="N60" s="47"/>
      <c r="O60" s="71"/>
    </row>
    <row r="61" spans="1:15" s="18" customFormat="1" hidden="1" outlineLevel="1">
      <c r="A61" s="4"/>
      <c r="B61" s="536" t="s">
        <v>512</v>
      </c>
      <c r="C61" s="788"/>
      <c r="D61" s="47"/>
      <c r="E61" s="47"/>
      <c r="F61" s="47"/>
      <c r="G61" s="47"/>
      <c r="H61" s="47"/>
      <c r="I61" s="47"/>
      <c r="J61" s="47"/>
      <c r="K61" s="47"/>
      <c r="L61" s="47"/>
      <c r="M61" s="47"/>
      <c r="N61" s="47"/>
      <c r="O61" s="71"/>
    </row>
    <row r="62" spans="1:15" s="18" customFormat="1" hidden="1" outlineLevel="1">
      <c r="A62" s="4"/>
      <c r="B62" s="536" t="s">
        <v>513</v>
      </c>
      <c r="C62" s="788"/>
      <c r="D62" s="47"/>
      <c r="E62" s="47"/>
      <c r="F62" s="47"/>
      <c r="G62" s="47"/>
      <c r="H62" s="47"/>
      <c r="I62" s="47"/>
      <c r="J62" s="47"/>
      <c r="K62" s="47"/>
      <c r="L62" s="47"/>
      <c r="M62" s="47"/>
      <c r="N62" s="47"/>
      <c r="O62" s="71"/>
    </row>
    <row r="63" spans="1:15" s="18" customFormat="1" hidden="1" outlineLevel="1">
      <c r="A63" s="4"/>
      <c r="B63" s="536" t="s">
        <v>491</v>
      </c>
      <c r="C63" s="788"/>
      <c r="D63" s="47"/>
      <c r="E63" s="47"/>
      <c r="F63" s="47"/>
      <c r="G63" s="47"/>
      <c r="H63" s="47"/>
      <c r="I63" s="47"/>
      <c r="J63" s="47"/>
      <c r="K63" s="47"/>
      <c r="L63" s="47"/>
      <c r="M63" s="47"/>
      <c r="N63" s="47"/>
      <c r="O63" s="71"/>
    </row>
    <row r="64" spans="1:15" s="18" customFormat="1" hidden="1" collapsed="1">
      <c r="A64" s="4"/>
      <c r="B64" s="536" t="s">
        <v>514</v>
      </c>
      <c r="C64" s="789"/>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hidden="1">
      <c r="A65" s="74"/>
      <c r="B65" s="492" t="s">
        <v>515</v>
      </c>
      <c r="C65" s="488"/>
      <c r="D65" s="73"/>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hidden="1">
      <c r="A66" s="74"/>
      <c r="B66" s="75"/>
      <c r="C66" s="82"/>
      <c r="D66" s="73"/>
      <c r="E66" s="73"/>
      <c r="F66" s="73"/>
      <c r="G66" s="73"/>
      <c r="H66" s="73"/>
      <c r="I66" s="73"/>
      <c r="J66" s="73"/>
      <c r="K66" s="73"/>
      <c r="L66" s="487"/>
      <c r="M66" s="487"/>
      <c r="N66" s="487"/>
      <c r="O66" s="489"/>
    </row>
    <row r="67" spans="1:15" s="66" customFormat="1" hidden="1">
      <c r="A67" s="64"/>
      <c r="B67" s="604">
        <f>'1.  LRAMVA Summary'!B34</f>
        <v>0</v>
      </c>
      <c r="C67" s="787">
        <f>'2. LRAMVA Threshold'!K43</f>
        <v>0</v>
      </c>
      <c r="D67" s="47"/>
      <c r="E67" s="47"/>
      <c r="F67" s="47"/>
      <c r="G67" s="47"/>
      <c r="H67" s="47"/>
      <c r="I67" s="47"/>
      <c r="J67" s="47"/>
      <c r="K67" s="47"/>
      <c r="L67" s="47"/>
      <c r="M67" s="47"/>
      <c r="N67" s="47"/>
      <c r="O67" s="71"/>
    </row>
    <row r="68" spans="1:15" s="18" customFormat="1" hidden="1" outlineLevel="1">
      <c r="A68" s="4"/>
      <c r="B68" s="536" t="s">
        <v>512</v>
      </c>
      <c r="C68" s="788"/>
      <c r="D68" s="47"/>
      <c r="E68" s="47"/>
      <c r="F68" s="47"/>
      <c r="G68" s="47"/>
      <c r="H68" s="47"/>
      <c r="I68" s="47"/>
      <c r="J68" s="47"/>
      <c r="K68" s="47"/>
      <c r="L68" s="47"/>
      <c r="M68" s="47"/>
      <c r="N68" s="47"/>
      <c r="O68" s="71"/>
    </row>
    <row r="69" spans="1:15" s="18" customFormat="1" hidden="1" outlineLevel="1">
      <c r="A69" s="4"/>
      <c r="B69" s="536" t="s">
        <v>513</v>
      </c>
      <c r="C69" s="788"/>
      <c r="D69" s="47"/>
      <c r="E69" s="47"/>
      <c r="F69" s="47"/>
      <c r="G69" s="47"/>
      <c r="H69" s="47"/>
      <c r="I69" s="47"/>
      <c r="J69" s="47"/>
      <c r="K69" s="47"/>
      <c r="L69" s="47"/>
      <c r="M69" s="47"/>
      <c r="N69" s="47"/>
      <c r="O69" s="71"/>
    </row>
    <row r="70" spans="1:15" s="18" customFormat="1" hidden="1" outlineLevel="1">
      <c r="A70" s="4"/>
      <c r="B70" s="536" t="s">
        <v>491</v>
      </c>
      <c r="C70" s="788"/>
      <c r="D70" s="47"/>
      <c r="E70" s="47"/>
      <c r="F70" s="47"/>
      <c r="G70" s="47"/>
      <c r="H70" s="47"/>
      <c r="I70" s="47"/>
      <c r="J70" s="47"/>
      <c r="K70" s="47"/>
      <c r="L70" s="47"/>
      <c r="M70" s="47"/>
      <c r="N70" s="47"/>
      <c r="O70" s="71"/>
    </row>
    <row r="71" spans="1:15" s="18" customFormat="1" hidden="1" collapsed="1">
      <c r="A71" s="4"/>
      <c r="B71" s="536" t="s">
        <v>514</v>
      </c>
      <c r="C71" s="789"/>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hidden="1">
      <c r="A72" s="74"/>
      <c r="B72" s="492" t="s">
        <v>515</v>
      </c>
      <c r="C72" s="488"/>
      <c r="D72" s="73"/>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hidden="1">
      <c r="A73" s="74"/>
      <c r="B73" s="481"/>
      <c r="C73" s="488"/>
      <c r="D73" s="73"/>
      <c r="E73" s="484"/>
      <c r="F73" s="484"/>
      <c r="G73" s="484"/>
      <c r="H73" s="484"/>
      <c r="I73" s="484"/>
      <c r="J73" s="484"/>
      <c r="K73" s="484"/>
      <c r="L73" s="484"/>
      <c r="M73" s="484"/>
      <c r="N73" s="484"/>
      <c r="O73" s="489"/>
    </row>
    <row r="74" spans="1:15" s="66" customFormat="1" hidden="1">
      <c r="A74" s="64"/>
      <c r="B74" s="604">
        <f>'1.  LRAMVA Summary'!B35</f>
        <v>0</v>
      </c>
      <c r="C74" s="787">
        <f>'2. LRAMVA Threshold'!L43</f>
        <v>0</v>
      </c>
      <c r="D74" s="47"/>
      <c r="E74" s="47"/>
      <c r="F74" s="47"/>
      <c r="G74" s="47"/>
      <c r="H74" s="47"/>
      <c r="I74" s="47"/>
      <c r="J74" s="47"/>
      <c r="K74" s="47"/>
      <c r="L74" s="47"/>
      <c r="M74" s="47"/>
      <c r="N74" s="47"/>
      <c r="O74" s="71"/>
    </row>
    <row r="75" spans="1:15" s="18" customFormat="1" hidden="1" outlineLevel="1">
      <c r="A75" s="4"/>
      <c r="B75" s="536" t="s">
        <v>512</v>
      </c>
      <c r="C75" s="788"/>
      <c r="D75" s="47"/>
      <c r="E75" s="47"/>
      <c r="F75" s="47"/>
      <c r="G75" s="47"/>
      <c r="H75" s="47"/>
      <c r="I75" s="47"/>
      <c r="J75" s="47"/>
      <c r="K75" s="47"/>
      <c r="L75" s="47"/>
      <c r="M75" s="47"/>
      <c r="N75" s="47"/>
      <c r="O75" s="71"/>
    </row>
    <row r="76" spans="1:15" s="18" customFormat="1" hidden="1" outlineLevel="1">
      <c r="A76" s="4"/>
      <c r="B76" s="536" t="s">
        <v>513</v>
      </c>
      <c r="C76" s="788"/>
      <c r="D76" s="47"/>
      <c r="E76" s="47"/>
      <c r="F76" s="47"/>
      <c r="G76" s="47"/>
      <c r="H76" s="47"/>
      <c r="I76" s="47"/>
      <c r="J76" s="47"/>
      <c r="K76" s="47"/>
      <c r="L76" s="47"/>
      <c r="M76" s="47"/>
      <c r="N76" s="47"/>
      <c r="O76" s="71"/>
    </row>
    <row r="77" spans="1:15" s="18" customFormat="1" hidden="1" outlineLevel="1">
      <c r="A77" s="4"/>
      <c r="B77" s="536" t="s">
        <v>491</v>
      </c>
      <c r="C77" s="788"/>
      <c r="D77" s="47"/>
      <c r="E77" s="47"/>
      <c r="F77" s="47"/>
      <c r="G77" s="47"/>
      <c r="H77" s="47"/>
      <c r="I77" s="47"/>
      <c r="J77" s="47"/>
      <c r="K77" s="47"/>
      <c r="L77" s="47"/>
      <c r="M77" s="47"/>
      <c r="N77" s="47"/>
      <c r="O77" s="71"/>
    </row>
    <row r="78" spans="1:15" s="18" customFormat="1" hidden="1" collapsed="1">
      <c r="A78" s="4"/>
      <c r="B78" s="536" t="s">
        <v>514</v>
      </c>
      <c r="C78" s="789"/>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hidden="1">
      <c r="A79" s="74"/>
      <c r="B79" s="492" t="s">
        <v>515</v>
      </c>
      <c r="C79" s="488"/>
      <c r="D79" s="73"/>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hidden="1">
      <c r="A80" s="74"/>
      <c r="B80" s="481"/>
      <c r="C80" s="488"/>
      <c r="D80" s="73"/>
      <c r="E80" s="484"/>
      <c r="F80" s="484"/>
      <c r="G80" s="484"/>
      <c r="H80" s="484"/>
      <c r="I80" s="484"/>
      <c r="J80" s="484"/>
      <c r="K80" s="484"/>
      <c r="L80" s="484"/>
      <c r="M80" s="484"/>
      <c r="N80" s="484"/>
      <c r="O80" s="489"/>
    </row>
    <row r="81" spans="1:15" s="66" customFormat="1" hidden="1">
      <c r="A81" s="64"/>
      <c r="B81" s="604">
        <f>'1.  LRAMVA Summary'!B36</f>
        <v>0</v>
      </c>
      <c r="C81" s="787">
        <f>'2. LRAMVA Threshold'!M43</f>
        <v>0</v>
      </c>
      <c r="D81" s="47"/>
      <c r="E81" s="47"/>
      <c r="F81" s="47"/>
      <c r="G81" s="47"/>
      <c r="H81" s="47"/>
      <c r="I81" s="47"/>
      <c r="J81" s="47"/>
      <c r="K81" s="47"/>
      <c r="L81" s="47"/>
      <c r="M81" s="47"/>
      <c r="N81" s="47"/>
      <c r="O81" s="71"/>
    </row>
    <row r="82" spans="1:15" s="18" customFormat="1" hidden="1" outlineLevel="1">
      <c r="A82" s="4"/>
      <c r="B82" s="536" t="s">
        <v>512</v>
      </c>
      <c r="C82" s="788"/>
      <c r="D82" s="47"/>
      <c r="E82" s="47"/>
      <c r="F82" s="47"/>
      <c r="G82" s="47"/>
      <c r="H82" s="47"/>
      <c r="I82" s="47"/>
      <c r="J82" s="47"/>
      <c r="K82" s="47"/>
      <c r="L82" s="47"/>
      <c r="M82" s="47"/>
      <c r="N82" s="47"/>
      <c r="O82" s="71"/>
    </row>
    <row r="83" spans="1:15" s="18" customFormat="1" hidden="1" outlineLevel="1">
      <c r="A83" s="4"/>
      <c r="B83" s="536" t="s">
        <v>513</v>
      </c>
      <c r="C83" s="788"/>
      <c r="D83" s="47"/>
      <c r="E83" s="47"/>
      <c r="F83" s="47"/>
      <c r="G83" s="47"/>
      <c r="H83" s="47"/>
      <c r="I83" s="47"/>
      <c r="J83" s="47"/>
      <c r="K83" s="47"/>
      <c r="L83" s="47"/>
      <c r="M83" s="47"/>
      <c r="N83" s="47"/>
      <c r="O83" s="71"/>
    </row>
    <row r="84" spans="1:15" s="18" customFormat="1" hidden="1" outlineLevel="1">
      <c r="A84" s="4"/>
      <c r="B84" s="536" t="s">
        <v>491</v>
      </c>
      <c r="C84" s="788"/>
      <c r="D84" s="47"/>
      <c r="E84" s="47"/>
      <c r="F84" s="47"/>
      <c r="G84" s="47"/>
      <c r="H84" s="47"/>
      <c r="I84" s="47"/>
      <c r="J84" s="47"/>
      <c r="K84" s="47"/>
      <c r="L84" s="47"/>
      <c r="M84" s="47"/>
      <c r="N84" s="47"/>
      <c r="O84" s="71"/>
    </row>
    <row r="85" spans="1:15" s="18" customFormat="1" hidden="1" collapsed="1">
      <c r="A85" s="4"/>
      <c r="B85" s="536" t="s">
        <v>514</v>
      </c>
      <c r="C85" s="789"/>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hidden="1">
      <c r="A86" s="74"/>
      <c r="B86" s="492" t="s">
        <v>515</v>
      </c>
      <c r="C86" s="488"/>
      <c r="D86" s="73"/>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hidden="1">
      <c r="A87" s="74"/>
      <c r="B87" s="481"/>
      <c r="C87" s="488"/>
      <c r="D87" s="73"/>
      <c r="E87" s="484"/>
      <c r="F87" s="484"/>
      <c r="G87" s="484"/>
      <c r="H87" s="484"/>
      <c r="I87" s="484"/>
      <c r="J87" s="484"/>
      <c r="K87" s="484"/>
      <c r="L87" s="484"/>
      <c r="M87" s="484"/>
      <c r="N87" s="484"/>
      <c r="O87" s="489"/>
    </row>
    <row r="88" spans="1:15" s="66" customFormat="1" hidden="1">
      <c r="A88" s="64"/>
      <c r="B88" s="604">
        <f>'1.  LRAMVA Summary'!B37</f>
        <v>0</v>
      </c>
      <c r="C88" s="787">
        <f>'2. LRAMVA Threshold'!N43</f>
        <v>0</v>
      </c>
      <c r="D88" s="47"/>
      <c r="E88" s="47"/>
      <c r="F88" s="47"/>
      <c r="G88" s="47"/>
      <c r="H88" s="47"/>
      <c r="I88" s="47"/>
      <c r="J88" s="47"/>
      <c r="K88" s="47"/>
      <c r="L88" s="47"/>
      <c r="M88" s="47"/>
      <c r="N88" s="47"/>
      <c r="O88" s="71"/>
    </row>
    <row r="89" spans="1:15" s="18" customFormat="1" hidden="1" outlineLevel="1">
      <c r="A89" s="4"/>
      <c r="B89" s="536" t="s">
        <v>512</v>
      </c>
      <c r="C89" s="788"/>
      <c r="D89" s="47"/>
      <c r="E89" s="47"/>
      <c r="F89" s="47"/>
      <c r="G89" s="47"/>
      <c r="H89" s="47"/>
      <c r="I89" s="47"/>
      <c r="J89" s="47"/>
      <c r="K89" s="47"/>
      <c r="L89" s="47"/>
      <c r="M89" s="47"/>
      <c r="N89" s="47"/>
      <c r="O89" s="71"/>
    </row>
    <row r="90" spans="1:15" s="18" customFormat="1" hidden="1" outlineLevel="1">
      <c r="A90" s="4"/>
      <c r="B90" s="536" t="s">
        <v>513</v>
      </c>
      <c r="C90" s="788"/>
      <c r="D90" s="47"/>
      <c r="E90" s="47"/>
      <c r="F90" s="47"/>
      <c r="G90" s="47"/>
      <c r="H90" s="47"/>
      <c r="I90" s="47"/>
      <c r="J90" s="47"/>
      <c r="K90" s="47"/>
      <c r="L90" s="47"/>
      <c r="M90" s="47"/>
      <c r="N90" s="47"/>
      <c r="O90" s="71"/>
    </row>
    <row r="91" spans="1:15" s="18" customFormat="1" hidden="1" outlineLevel="1">
      <c r="A91" s="4"/>
      <c r="B91" s="536" t="s">
        <v>491</v>
      </c>
      <c r="C91" s="788"/>
      <c r="D91" s="47"/>
      <c r="E91" s="47"/>
      <c r="F91" s="47"/>
      <c r="G91" s="47"/>
      <c r="H91" s="47"/>
      <c r="I91" s="47"/>
      <c r="J91" s="47"/>
      <c r="K91" s="47"/>
      <c r="L91" s="47"/>
      <c r="M91" s="47"/>
      <c r="N91" s="47"/>
      <c r="O91" s="71"/>
    </row>
    <row r="92" spans="1:15" s="18" customFormat="1" hidden="1" collapsed="1">
      <c r="A92" s="4"/>
      <c r="B92" s="536" t="s">
        <v>514</v>
      </c>
      <c r="C92" s="789"/>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hidden="1">
      <c r="A93" s="74"/>
      <c r="B93" s="492" t="s">
        <v>515</v>
      </c>
      <c r="C93" s="488"/>
      <c r="D93" s="73"/>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hidden="1">
      <c r="A94" s="74"/>
      <c r="B94" s="481"/>
      <c r="C94" s="488"/>
      <c r="D94" s="73"/>
      <c r="E94" s="484"/>
      <c r="F94" s="484"/>
      <c r="G94" s="484"/>
      <c r="H94" s="484"/>
      <c r="I94" s="484"/>
      <c r="J94" s="484"/>
      <c r="K94" s="484"/>
      <c r="L94" s="484"/>
      <c r="M94" s="484"/>
      <c r="N94" s="484"/>
      <c r="O94" s="489"/>
    </row>
    <row r="95" spans="1:15" s="66" customFormat="1" hidden="1">
      <c r="A95" s="64"/>
      <c r="B95" s="604">
        <f>'1.  LRAMVA Summary'!B38</f>
        <v>0</v>
      </c>
      <c r="C95" s="787">
        <f>'2. LRAMVA Threshold'!O43</f>
        <v>0</v>
      </c>
      <c r="D95" s="47"/>
      <c r="E95" s="47"/>
      <c r="F95" s="47"/>
      <c r="G95" s="47"/>
      <c r="H95" s="47"/>
      <c r="I95" s="47"/>
      <c r="J95" s="47"/>
      <c r="K95" s="47"/>
      <c r="L95" s="47"/>
      <c r="M95" s="47"/>
      <c r="N95" s="47"/>
      <c r="O95" s="71"/>
    </row>
    <row r="96" spans="1:15" s="18" customFormat="1" hidden="1" outlineLevel="1">
      <c r="A96" s="4"/>
      <c r="B96" s="536" t="s">
        <v>512</v>
      </c>
      <c r="C96" s="788"/>
      <c r="D96" s="47"/>
      <c r="E96" s="47"/>
      <c r="F96" s="47"/>
      <c r="G96" s="47"/>
      <c r="H96" s="47"/>
      <c r="I96" s="47"/>
      <c r="J96" s="47"/>
      <c r="K96" s="47"/>
      <c r="L96" s="47"/>
      <c r="M96" s="47"/>
      <c r="N96" s="47"/>
      <c r="O96" s="71"/>
    </row>
    <row r="97" spans="1:15" s="18" customFormat="1" hidden="1" outlineLevel="1">
      <c r="A97" s="4"/>
      <c r="B97" s="536" t="s">
        <v>513</v>
      </c>
      <c r="C97" s="788"/>
      <c r="D97" s="47"/>
      <c r="E97" s="47"/>
      <c r="F97" s="47"/>
      <c r="G97" s="47"/>
      <c r="H97" s="47"/>
      <c r="I97" s="47"/>
      <c r="J97" s="47"/>
      <c r="K97" s="47"/>
      <c r="L97" s="47"/>
      <c r="M97" s="47"/>
      <c r="N97" s="47"/>
      <c r="O97" s="71"/>
    </row>
    <row r="98" spans="1:15" s="18" customFormat="1" hidden="1" outlineLevel="1">
      <c r="A98" s="4"/>
      <c r="B98" s="536" t="s">
        <v>491</v>
      </c>
      <c r="C98" s="788"/>
      <c r="D98" s="47"/>
      <c r="E98" s="47"/>
      <c r="F98" s="47"/>
      <c r="G98" s="47"/>
      <c r="H98" s="47"/>
      <c r="I98" s="47"/>
      <c r="J98" s="47"/>
      <c r="K98" s="47"/>
      <c r="L98" s="47"/>
      <c r="M98" s="47"/>
      <c r="N98" s="47"/>
      <c r="O98" s="71"/>
    </row>
    <row r="99" spans="1:15" s="18" customFormat="1" hidden="1" collapsed="1">
      <c r="A99" s="4"/>
      <c r="B99" s="536" t="s">
        <v>514</v>
      </c>
      <c r="C99" s="789"/>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hidden="1">
      <c r="A100" s="74"/>
      <c r="B100" s="492" t="s">
        <v>515</v>
      </c>
      <c r="C100" s="488"/>
      <c r="D100" s="73"/>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hidden="1">
      <c r="A101" s="74"/>
      <c r="B101" s="481"/>
      <c r="C101" s="488"/>
      <c r="D101" s="73"/>
      <c r="E101" s="484"/>
      <c r="F101" s="484"/>
      <c r="G101" s="484"/>
      <c r="H101" s="484"/>
      <c r="I101" s="484"/>
      <c r="J101" s="484"/>
      <c r="K101" s="484"/>
      <c r="L101" s="484"/>
      <c r="M101" s="484"/>
      <c r="N101" s="484"/>
      <c r="O101" s="489"/>
    </row>
    <row r="102" spans="1:15" s="66" customFormat="1" hidden="1">
      <c r="A102" s="64"/>
      <c r="B102" s="604">
        <f>'1.  LRAMVA Summary'!B39</f>
        <v>0</v>
      </c>
      <c r="C102" s="787">
        <f>'2. LRAMVA Threshold'!P43</f>
        <v>0</v>
      </c>
      <c r="D102" s="47"/>
      <c r="E102" s="47"/>
      <c r="F102" s="47"/>
      <c r="G102" s="47"/>
      <c r="H102" s="47"/>
      <c r="I102" s="47"/>
      <c r="J102" s="47"/>
      <c r="K102" s="47"/>
      <c r="L102" s="47"/>
      <c r="M102" s="47"/>
      <c r="N102" s="47"/>
      <c r="O102" s="71"/>
    </row>
    <row r="103" spans="1:15" s="18" customFormat="1" hidden="1" outlineLevel="1">
      <c r="A103" s="4"/>
      <c r="B103" s="536" t="s">
        <v>512</v>
      </c>
      <c r="C103" s="788"/>
      <c r="D103" s="47"/>
      <c r="E103" s="47"/>
      <c r="F103" s="47"/>
      <c r="G103" s="47"/>
      <c r="H103" s="47"/>
      <c r="I103" s="47"/>
      <c r="J103" s="47"/>
      <c r="K103" s="47"/>
      <c r="L103" s="47"/>
      <c r="M103" s="47"/>
      <c r="N103" s="47"/>
      <c r="O103" s="71"/>
    </row>
    <row r="104" spans="1:15" s="18" customFormat="1" hidden="1" outlineLevel="1">
      <c r="A104" s="4"/>
      <c r="B104" s="536" t="s">
        <v>513</v>
      </c>
      <c r="C104" s="788"/>
      <c r="D104" s="47"/>
      <c r="E104" s="47"/>
      <c r="F104" s="47"/>
      <c r="G104" s="47"/>
      <c r="H104" s="47"/>
      <c r="I104" s="47"/>
      <c r="J104" s="47"/>
      <c r="K104" s="47"/>
      <c r="L104" s="47"/>
      <c r="M104" s="47"/>
      <c r="N104" s="47"/>
      <c r="O104" s="71"/>
    </row>
    <row r="105" spans="1:15" s="18" customFormat="1" hidden="1" outlineLevel="1">
      <c r="A105" s="4"/>
      <c r="B105" s="536" t="s">
        <v>491</v>
      </c>
      <c r="C105" s="788"/>
      <c r="D105" s="47"/>
      <c r="E105" s="47"/>
      <c r="F105" s="47"/>
      <c r="G105" s="47"/>
      <c r="H105" s="47"/>
      <c r="I105" s="47"/>
      <c r="J105" s="47"/>
      <c r="K105" s="47"/>
      <c r="L105" s="47"/>
      <c r="M105" s="47"/>
      <c r="N105" s="47"/>
      <c r="O105" s="71"/>
    </row>
    <row r="106" spans="1:15" s="18" customFormat="1" hidden="1" collapsed="1">
      <c r="A106" s="4"/>
      <c r="B106" s="536" t="s">
        <v>514</v>
      </c>
      <c r="C106" s="789"/>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hidden="1">
      <c r="A107" s="74"/>
      <c r="B107" s="492" t="s">
        <v>515</v>
      </c>
      <c r="C107" s="488"/>
      <c r="D107" s="73"/>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hidden="1">
      <c r="A108" s="74"/>
      <c r="B108" s="481"/>
      <c r="C108" s="488"/>
      <c r="D108" s="73"/>
      <c r="E108" s="484"/>
      <c r="F108" s="484"/>
      <c r="G108" s="484"/>
      <c r="H108" s="484"/>
      <c r="I108" s="484"/>
      <c r="J108" s="484"/>
      <c r="K108" s="484"/>
      <c r="L108" s="484"/>
      <c r="M108" s="484"/>
      <c r="N108" s="484"/>
      <c r="O108" s="489"/>
    </row>
    <row r="109" spans="1:15" s="66" customFormat="1" hidden="1">
      <c r="A109" s="64"/>
      <c r="B109" s="604">
        <f>'1.  LRAMVA Summary'!B40</f>
        <v>0</v>
      </c>
      <c r="C109" s="787">
        <f>'2. LRAMVA Threshold'!Q43</f>
        <v>0</v>
      </c>
      <c r="D109" s="47"/>
      <c r="E109" s="47"/>
      <c r="F109" s="47"/>
      <c r="G109" s="47"/>
      <c r="H109" s="47"/>
      <c r="I109" s="47"/>
      <c r="J109" s="47"/>
      <c r="K109" s="47"/>
      <c r="L109" s="47"/>
      <c r="M109" s="47"/>
      <c r="N109" s="47"/>
      <c r="O109" s="71"/>
    </row>
    <row r="110" spans="1:15" s="18" customFormat="1" hidden="1" outlineLevel="1">
      <c r="A110" s="4"/>
      <c r="B110" s="536" t="s">
        <v>512</v>
      </c>
      <c r="C110" s="788"/>
      <c r="D110" s="47"/>
      <c r="E110" s="47"/>
      <c r="F110" s="47"/>
      <c r="G110" s="47"/>
      <c r="H110" s="47"/>
      <c r="I110" s="47"/>
      <c r="J110" s="47"/>
      <c r="K110" s="47"/>
      <c r="L110" s="47"/>
      <c r="M110" s="47"/>
      <c r="N110" s="47"/>
      <c r="O110" s="71"/>
    </row>
    <row r="111" spans="1:15" s="18" customFormat="1" hidden="1" outlineLevel="1">
      <c r="A111" s="4"/>
      <c r="B111" s="536" t="s">
        <v>513</v>
      </c>
      <c r="C111" s="788"/>
      <c r="D111" s="47"/>
      <c r="E111" s="47"/>
      <c r="F111" s="47"/>
      <c r="G111" s="47"/>
      <c r="H111" s="47"/>
      <c r="I111" s="47"/>
      <c r="J111" s="47"/>
      <c r="K111" s="47"/>
      <c r="L111" s="47"/>
      <c r="M111" s="47"/>
      <c r="N111" s="47"/>
      <c r="O111" s="71"/>
    </row>
    <row r="112" spans="1:15" s="18" customFormat="1" hidden="1" outlineLevel="1">
      <c r="A112" s="4"/>
      <c r="B112" s="536" t="s">
        <v>491</v>
      </c>
      <c r="C112" s="788"/>
      <c r="D112" s="47"/>
      <c r="E112" s="47"/>
      <c r="F112" s="47"/>
      <c r="G112" s="47"/>
      <c r="H112" s="47"/>
      <c r="I112" s="47"/>
      <c r="J112" s="47"/>
      <c r="K112" s="47"/>
      <c r="L112" s="47"/>
      <c r="M112" s="47"/>
      <c r="N112" s="47"/>
      <c r="O112" s="71"/>
    </row>
    <row r="113" spans="1:17" s="18" customFormat="1" hidden="1" collapsed="1">
      <c r="A113" s="4"/>
      <c r="B113" s="536" t="s">
        <v>514</v>
      </c>
      <c r="C113" s="789"/>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hidden="1">
      <c r="A114" s="74"/>
      <c r="B114" s="492" t="s">
        <v>515</v>
      </c>
      <c r="C114" s="488"/>
      <c r="D114" s="73"/>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2" customFormat="1" ht="14.25" hidden="1">
      <c r="A115" s="74"/>
      <c r="B115" s="76"/>
      <c r="C115" s="83"/>
      <c r="D115" s="77"/>
      <c r="E115" s="77"/>
      <c r="F115" s="77"/>
      <c r="G115" s="77"/>
      <c r="H115" s="77"/>
      <c r="I115" s="77"/>
      <c r="J115" s="77"/>
      <c r="K115" s="495"/>
      <c r="L115" s="496"/>
      <c r="M115" s="496"/>
      <c r="N115" s="496"/>
      <c r="O115" s="497"/>
    </row>
    <row r="116" spans="1:17" s="3" customFormat="1" ht="21" customHeight="1">
      <c r="A116" s="4"/>
      <c r="B116" s="498" t="s">
        <v>617</v>
      </c>
      <c r="C116" s="100"/>
      <c r="D116" s="499"/>
      <c r="E116" s="499"/>
      <c r="F116" s="499"/>
      <c r="G116" s="499"/>
      <c r="H116" s="499"/>
      <c r="I116" s="499"/>
      <c r="J116" s="499"/>
      <c r="K116" s="499"/>
      <c r="L116" s="499"/>
      <c r="M116" s="499"/>
      <c r="N116" s="499"/>
      <c r="O116" s="499"/>
    </row>
    <row r="119" spans="1:17" ht="15.75">
      <c r="B119" s="120" t="s">
        <v>485</v>
      </c>
      <c r="J119" s="18"/>
    </row>
    <row r="120" spans="1:17" s="14" customFormat="1" ht="55.5" customHeight="1">
      <c r="A120" s="74"/>
      <c r="B120" s="791" t="s">
        <v>619</v>
      </c>
      <c r="C120" s="791"/>
      <c r="D120" s="791"/>
      <c r="E120" s="791"/>
      <c r="F120" s="791"/>
      <c r="G120" s="791"/>
      <c r="H120" s="791"/>
      <c r="I120" s="791"/>
      <c r="J120" s="791"/>
      <c r="K120" s="791"/>
      <c r="L120" s="791"/>
      <c r="M120" s="791"/>
      <c r="N120" s="791"/>
      <c r="O120" s="791"/>
      <c r="P120" s="791"/>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GS&gt;50 kW</v>
      </c>
      <c r="F122" s="246" t="str">
        <f>'1.  LRAMVA Summary'!G50</f>
        <v>Streetlights</v>
      </c>
      <c r="G122" s="246" t="str">
        <f>'1.  LRAMVA Summary'!H50</f>
        <v>Unmetered Scattered Load</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5"/>
      <c r="C123" s="586" t="str">
        <f>'1.  LRAMVA Summary'!D51</f>
        <v>kWh</v>
      </c>
      <c r="D123" s="586" t="str">
        <f>'1.  LRAMVA Summary'!E51</f>
        <v>kWh</v>
      </c>
      <c r="E123" s="586" t="str">
        <f>'1.  LRAMVA Summary'!F51</f>
        <v>kW</v>
      </c>
      <c r="F123" s="586" t="str">
        <f>'1.  LRAMVA Summary'!G51</f>
        <v>kW</v>
      </c>
      <c r="G123" s="586" t="str">
        <f>'1.  LRAMVA Summary'!H51</f>
        <v>KWh</v>
      </c>
      <c r="H123" s="586">
        <f>'1.  LRAMVA Summary'!I51</f>
        <v>0</v>
      </c>
      <c r="I123" s="586">
        <f>'1.  LRAMVA Summary'!J51</f>
        <v>0</v>
      </c>
      <c r="J123" s="586">
        <f>'1.  LRAMVA Summary'!K51</f>
        <v>0</v>
      </c>
      <c r="K123" s="586">
        <f>'1.  LRAMVA Summary'!L51</f>
        <v>0</v>
      </c>
      <c r="L123" s="586">
        <f>'1.  LRAMVA Summary'!M51</f>
        <v>0</v>
      </c>
      <c r="M123" s="586">
        <f>'1.  LRAMVA Summary'!N51</f>
        <v>0</v>
      </c>
      <c r="N123" s="586">
        <f>'1.  LRAMVA Summary'!O51</f>
        <v>0</v>
      </c>
      <c r="O123" s="586">
        <f>'1.  LRAMVA Summary'!P51</f>
        <v>0</v>
      </c>
      <c r="P123" s="587">
        <f>'1.  LRAMVA Summary'!Q51</f>
        <v>0</v>
      </c>
    </row>
    <row r="124" spans="1:17">
      <c r="B124" s="500">
        <v>2011</v>
      </c>
      <c r="C124" s="680">
        <f t="shared" ref="C124:C129" si="30">HLOOKUP(B124,$E$15:$O$114,9,FALSE)</f>
        <v>1.7100000000000001E-2</v>
      </c>
      <c r="D124" s="681">
        <f>HLOOKUP(B124,$E$15:$O$114,16,FALSE)</f>
        <v>1.11E-2</v>
      </c>
      <c r="E124" s="682">
        <f>HLOOKUP(B124,$E$15:$O$114,23,FALSE)</f>
        <v>2.504</v>
      </c>
      <c r="F124" s="681">
        <f>HLOOKUP(B124,$E$15:$O$114,30,FALSE)</f>
        <v>12.955299999999999</v>
      </c>
      <c r="G124" s="682">
        <f>HLOOKUP(B124,$E$15:$O$114,37,FALSE)</f>
        <v>1.5699999999999999E-2</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1.6799999999999999E-2</v>
      </c>
      <c r="D125" s="684">
        <f>HLOOKUP(B125,$E$15:$O$114,16,FALSE)</f>
        <v>1.12E-2</v>
      </c>
      <c r="E125" s="685">
        <f>HLOOKUP(B125,$E$15:$O$114,23,FALSE)</f>
        <v>2.6152000000000002</v>
      </c>
      <c r="F125" s="684">
        <f>HLOOKUP(B125,$E$15:$O$114,30,FALSE)</f>
        <v>13.776899999999999</v>
      </c>
      <c r="G125" s="685">
        <f>HLOOKUP(B125,$E$15:$O$114,37,FALSE)</f>
        <v>1.7000000000000001E-2</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1.7500000000000002E-2</v>
      </c>
      <c r="D126" s="684">
        <f t="shared" ref="D126:D133" si="32">HLOOKUP(B126,$E$15:$O$114,16,FALSE)</f>
        <v>1.18E-2</v>
      </c>
      <c r="E126" s="685">
        <f t="shared" ref="E126:E133" si="33">HLOOKUP(B126,$E$15:$O$114,23,FALSE)</f>
        <v>2.7355</v>
      </c>
      <c r="F126" s="684">
        <f t="shared" ref="F126:F133" si="34">HLOOKUP(B126,$E$15:$O$114,30,FALSE)</f>
        <v>13.9131</v>
      </c>
      <c r="G126" s="685">
        <f t="shared" ref="G126:G132" si="35">HLOOKUP(B126,$E$15:$O$114,37,FALSE)</f>
        <v>1.4200000000000001E-2</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1.9699999999999999E-2</v>
      </c>
      <c r="D127" s="684">
        <f>HLOOKUP(B127,$E$15:$O$114,16,FALSE)</f>
        <v>1.34E-2</v>
      </c>
      <c r="E127" s="685">
        <f>HLOOKUP(B127,$E$15:$O$114,23,FALSE)</f>
        <v>3.1166999999999998</v>
      </c>
      <c r="F127" s="684">
        <f>HLOOKUP(B127,$E$15:$O$114,30,FALSE)</f>
        <v>14.521699999999999</v>
      </c>
      <c r="G127" s="685">
        <f>HLOOKUP(B127,$E$15:$O$114,37,FALSE)</f>
        <v>8.8999999999999999E-3</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1.9800000000000002E-2</v>
      </c>
      <c r="D128" s="684">
        <f t="shared" si="32"/>
        <v>1.34E-2</v>
      </c>
      <c r="E128" s="685">
        <f t="shared" si="33"/>
        <v>3.1553</v>
      </c>
      <c r="F128" s="684">
        <f t="shared" si="34"/>
        <v>14.715299999999999</v>
      </c>
      <c r="G128" s="685">
        <f t="shared" si="35"/>
        <v>1.1599999999999999E-2</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1.6899999999999998E-2</v>
      </c>
      <c r="D129" s="684">
        <f t="shared" si="32"/>
        <v>1.37E-2</v>
      </c>
      <c r="E129" s="685">
        <f t="shared" si="33"/>
        <v>3.2206000000000001</v>
      </c>
      <c r="F129" s="684">
        <f t="shared" si="34"/>
        <v>15.076599999999999</v>
      </c>
      <c r="G129" s="685">
        <f t="shared" si="35"/>
        <v>1.18E-2</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hidden="1">
      <c r="B130" s="501">
        <v>2017</v>
      </c>
      <c r="C130" s="683">
        <f>HLOOKUP(B130,$E$15:$O$114,9,FALSE)</f>
        <v>1.21E-2</v>
      </c>
      <c r="D130" s="684">
        <f t="shared" si="32"/>
        <v>1.3899999999999999E-2</v>
      </c>
      <c r="E130" s="685">
        <f t="shared" si="33"/>
        <v>3.2837999999999998</v>
      </c>
      <c r="F130" s="684">
        <f t="shared" si="34"/>
        <v>15.401</v>
      </c>
      <c r="G130" s="685">
        <f t="shared" si="35"/>
        <v>1.2E-2</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1">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1">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636</v>
      </c>
      <c r="C134" s="598"/>
      <c r="D134" s="599"/>
      <c r="E134" s="600"/>
      <c r="F134" s="599"/>
      <c r="G134" s="599"/>
      <c r="H134" s="599"/>
      <c r="I134" s="599"/>
      <c r="J134" s="599"/>
      <c r="K134" s="599"/>
      <c r="L134" s="599"/>
      <c r="M134" s="599"/>
      <c r="N134" s="599"/>
      <c r="O134" s="599"/>
      <c r="P134" s="599"/>
    </row>
    <row r="136" spans="2:16">
      <c r="B136" s="592" t="s">
        <v>527</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505" right="0.70866141732283505" top="0.74803149606299202" bottom="0.74803149606299202" header="0.31496062992126" footer="0.31496062992126"/>
  <pageSetup scale="53" orientation="landscape" r:id="rId1"/>
  <headerFooter>
    <oddFooter>&amp;R&amp;P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16"/>
  <sheetViews>
    <sheetView zoomScaleNormal="100" workbookViewId="0">
      <selection activeCell="F51" sqref="F51"/>
    </sheetView>
  </sheetViews>
  <sheetFormatPr defaultRowHeight="15"/>
  <cols>
    <col min="1" max="16384" width="9.140625" style="12"/>
  </cols>
  <sheetData>
    <row r="14" spans="2:24" ht="15.75">
      <c r="B14" s="588" t="s">
        <v>506</v>
      </c>
    </row>
    <row r="15" spans="2:24" ht="15.75">
      <c r="B15" s="588"/>
    </row>
    <row r="16" spans="2:24" s="668" customFormat="1" ht="28.5" customHeight="1">
      <c r="B16" s="797" t="s">
        <v>641</v>
      </c>
      <c r="C16" s="797"/>
      <c r="D16" s="797"/>
      <c r="E16" s="797"/>
      <c r="F16" s="797"/>
      <c r="G16" s="797"/>
      <c r="H16" s="797"/>
      <c r="I16" s="797"/>
      <c r="J16" s="797"/>
      <c r="K16" s="797"/>
      <c r="L16" s="797"/>
      <c r="M16" s="797"/>
      <c r="N16" s="797"/>
      <c r="O16" s="797"/>
      <c r="P16" s="797"/>
      <c r="Q16" s="797"/>
      <c r="R16" s="797"/>
      <c r="S16" s="797"/>
      <c r="T16" s="797"/>
      <c r="U16" s="797"/>
      <c r="V16" s="797"/>
      <c r="W16" s="797"/>
      <c r="X16" s="797"/>
    </row>
  </sheetData>
  <mergeCells count="1">
    <mergeCell ref="B16:X16"/>
  </mergeCells>
  <pageMargins left="0.70866141732283472" right="0.70866141732283472" top="0.74803149606299213" bottom="0.74803149606299213" header="0.31496062992125984" footer="0.31496062992125984"/>
  <pageSetup scale="56" fitToHeight="0" orientation="landscape" r:id="rId1"/>
  <headerFoot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Tim Hesselink</cp:lastModifiedBy>
  <cp:lastPrinted>2017-11-06T17:15:15Z</cp:lastPrinted>
  <dcterms:created xsi:type="dcterms:W3CDTF">2012-03-05T18:56:04Z</dcterms:created>
  <dcterms:modified xsi:type="dcterms:W3CDTF">2017-11-06T17:15:21Z</dcterms:modified>
</cp:coreProperties>
</file>