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5" windowWidth="20370" windowHeight="9345" activeTab="2"/>
  </bookViews>
  <sheets>
    <sheet name="2017 Comparisons" sheetId="4" r:id="rId1"/>
    <sheet name="Rate and Bill Data" sheetId="1" r:id="rId2"/>
    <sheet name="Impact in 2027" sheetId="5" r:id="rId3"/>
  </sheets>
  <calcPr calcId="145621"/>
</workbook>
</file>

<file path=xl/calcChain.xml><?xml version="1.0" encoding="utf-8"?>
<calcChain xmlns="http://schemas.openxmlformats.org/spreadsheetml/2006/main">
  <c r="J12" i="5" l="1"/>
  <c r="J11" i="5"/>
  <c r="J10" i="5"/>
  <c r="J9" i="5"/>
  <c r="J8" i="5"/>
  <c r="J7" i="5"/>
  <c r="J6" i="5"/>
  <c r="J5" i="5"/>
  <c r="J4" i="5"/>
  <c r="J3" i="5"/>
  <c r="I12" i="5"/>
  <c r="I11" i="5"/>
  <c r="I10" i="5"/>
  <c r="I9" i="5"/>
  <c r="I8" i="5"/>
  <c r="I7" i="5"/>
  <c r="I6" i="5"/>
  <c r="I5" i="5"/>
  <c r="I4" i="5"/>
  <c r="I3" i="5"/>
  <c r="G12" i="5"/>
  <c r="G11" i="5"/>
  <c r="G10" i="5"/>
  <c r="G9" i="5"/>
  <c r="G8" i="5"/>
  <c r="G7" i="5"/>
  <c r="G6" i="5"/>
  <c r="G5" i="5"/>
  <c r="G4" i="5"/>
  <c r="G3" i="5"/>
  <c r="F12" i="5"/>
  <c r="H12" i="5" s="1"/>
  <c r="F11" i="5"/>
  <c r="F10" i="5"/>
  <c r="F9" i="5"/>
  <c r="F8" i="5"/>
  <c r="H8" i="5" s="1"/>
  <c r="F7" i="5"/>
  <c r="F6" i="5"/>
  <c r="F5" i="5"/>
  <c r="F4" i="5"/>
  <c r="H4" i="5" s="1"/>
  <c r="F3" i="5"/>
  <c r="D12" i="5"/>
  <c r="D11" i="5"/>
  <c r="D10" i="5"/>
  <c r="E10" i="5" s="1"/>
  <c r="D9" i="5"/>
  <c r="D8" i="5"/>
  <c r="D7" i="5"/>
  <c r="D6" i="5"/>
  <c r="E6" i="5" s="1"/>
  <c r="D5" i="5"/>
  <c r="D4" i="5"/>
  <c r="D3" i="5"/>
  <c r="C12" i="5"/>
  <c r="C11" i="5"/>
  <c r="C10" i="5"/>
  <c r="C9" i="5"/>
  <c r="C8" i="5"/>
  <c r="C7" i="5"/>
  <c r="C6" i="5"/>
  <c r="C5" i="5"/>
  <c r="C4" i="5"/>
  <c r="C3" i="5"/>
  <c r="E46" i="1"/>
  <c r="C46" i="1"/>
  <c r="K17" i="5"/>
  <c r="K16" i="5"/>
  <c r="K15" i="5"/>
  <c r="K14" i="5"/>
  <c r="K13" i="5"/>
  <c r="K12" i="5"/>
  <c r="K10" i="5"/>
  <c r="K9" i="5"/>
  <c r="K8" i="5"/>
  <c r="K6" i="5"/>
  <c r="K5" i="5"/>
  <c r="K4" i="5"/>
  <c r="H16" i="5"/>
  <c r="H15" i="5"/>
  <c r="H14" i="5"/>
  <c r="H13" i="5"/>
  <c r="H10" i="5"/>
  <c r="H9" i="5"/>
  <c r="H6" i="5"/>
  <c r="H5" i="5"/>
  <c r="E16" i="5"/>
  <c r="E15" i="5"/>
  <c r="E14" i="5"/>
  <c r="E13" i="5"/>
  <c r="E12" i="5"/>
  <c r="E9" i="5"/>
  <c r="E5" i="5"/>
  <c r="J46" i="1"/>
  <c r="J45" i="1"/>
  <c r="G46" i="1"/>
  <c r="G45" i="1"/>
  <c r="I46" i="1"/>
  <c r="I45" i="1"/>
  <c r="F46" i="1"/>
  <c r="F45" i="1"/>
  <c r="J42" i="1"/>
  <c r="J41" i="1"/>
  <c r="G42" i="1"/>
  <c r="G41" i="1"/>
  <c r="H41" i="1" s="1"/>
  <c r="I42" i="1"/>
  <c r="K42" i="1" s="1"/>
  <c r="I41" i="1"/>
  <c r="F42" i="1"/>
  <c r="F41" i="1"/>
  <c r="K40" i="1"/>
  <c r="H40" i="1"/>
  <c r="E40" i="1"/>
  <c r="K39" i="1"/>
  <c r="H39" i="1"/>
  <c r="E39" i="1"/>
  <c r="H44" i="1"/>
  <c r="H43" i="1"/>
  <c r="E44" i="1"/>
  <c r="E43" i="1"/>
  <c r="K43" i="1"/>
  <c r="K44" i="1"/>
  <c r="H3" i="5" l="1"/>
  <c r="H17" i="5"/>
  <c r="K3" i="5"/>
  <c r="E17" i="5"/>
  <c r="E4" i="5"/>
  <c r="E8" i="5" s="1"/>
  <c r="K11" i="5"/>
  <c r="K7" i="5"/>
  <c r="K21" i="5" s="1"/>
  <c r="H11" i="5"/>
  <c r="H7" i="5"/>
  <c r="H21" i="5" s="1"/>
  <c r="E3" i="5"/>
  <c r="E7" i="5"/>
  <c r="K46" i="1"/>
  <c r="H46" i="1"/>
  <c r="H45" i="1"/>
  <c r="K41" i="1"/>
  <c r="H42" i="1"/>
  <c r="K45" i="1"/>
  <c r="K38" i="1"/>
  <c r="K37" i="1"/>
  <c r="H38" i="1"/>
  <c r="H37" i="1"/>
  <c r="E38" i="1"/>
  <c r="E42" i="1" s="1"/>
  <c r="C42" i="1" s="1"/>
  <c r="E37" i="1"/>
  <c r="E41" i="1" s="1"/>
  <c r="C41" i="1" s="1"/>
  <c r="C45" i="1" s="1"/>
  <c r="E45" i="1" s="1"/>
  <c r="H22" i="5" l="1"/>
  <c r="H23" i="5"/>
  <c r="K22" i="5"/>
  <c r="K23" i="5"/>
  <c r="K20" i="5"/>
  <c r="H20" i="5"/>
  <c r="E21" i="5"/>
  <c r="E20" i="5"/>
  <c r="B68" i="4"/>
  <c r="E22" i="5" l="1"/>
  <c r="E23" i="5"/>
  <c r="A68" i="4"/>
  <c r="A65" i="4"/>
  <c r="A48" i="4"/>
  <c r="A38" i="4"/>
  <c r="B41" i="4" l="1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9" i="4" s="1"/>
  <c r="A40" i="4" s="1"/>
  <c r="A41" i="4" s="1"/>
  <c r="A42" i="4" s="1"/>
  <c r="A43" i="4" s="1"/>
  <c r="A44" i="4" s="1"/>
  <c r="A45" i="4" s="1"/>
  <c r="A46" i="4" s="1"/>
  <c r="A47" i="4" s="1"/>
  <c r="A49" i="4" l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E66" i="1"/>
  <c r="H66" i="1"/>
  <c r="K66" i="1"/>
  <c r="E54" i="1"/>
  <c r="A66" i="4" l="1"/>
  <c r="A67" i="4" s="1"/>
  <c r="P86" i="1"/>
  <c r="A69" i="4" l="1"/>
  <c r="A70" i="4" s="1"/>
  <c r="J60" i="4"/>
  <c r="J14" i="4"/>
  <c r="J37" i="4"/>
  <c r="J65" i="4"/>
  <c r="J41" i="4"/>
  <c r="J66" i="4"/>
  <c r="J39" i="4"/>
  <c r="J26" i="4"/>
  <c r="J70" i="4"/>
  <c r="J29" i="4"/>
  <c r="J47" i="4"/>
  <c r="J51" i="4"/>
  <c r="J36" i="4"/>
  <c r="J31" i="4"/>
  <c r="J34" i="4"/>
  <c r="J58" i="4"/>
  <c r="J56" i="4"/>
  <c r="J13" i="4"/>
  <c r="J18" i="4"/>
  <c r="J32" i="4"/>
  <c r="J61" i="4"/>
  <c r="J17" i="4"/>
  <c r="J63" i="4"/>
  <c r="J50" i="4"/>
  <c r="J44" i="4"/>
  <c r="J38" i="4"/>
  <c r="J54" i="4"/>
  <c r="J62" i="4"/>
  <c r="J25" i="4"/>
  <c r="J42" i="4"/>
  <c r="J22" i="4"/>
  <c r="J55" i="4"/>
  <c r="J12" i="4"/>
  <c r="J48" i="4"/>
  <c r="J15" i="4"/>
  <c r="J40" i="4"/>
  <c r="J67" i="4"/>
  <c r="J59" i="4"/>
  <c r="J24" i="4"/>
  <c r="J8" i="4"/>
  <c r="J11" i="4"/>
  <c r="J49" i="4"/>
  <c r="J9" i="4"/>
  <c r="J28" i="4"/>
  <c r="J23" i="4"/>
  <c r="J45" i="4"/>
  <c r="J52" i="4"/>
  <c r="J43" i="4"/>
  <c r="J27" i="4"/>
  <c r="J33" i="4"/>
  <c r="J57" i="4"/>
  <c r="J20" i="4"/>
  <c r="J53" i="4"/>
  <c r="J35" i="4"/>
  <c r="J10" i="4"/>
  <c r="J21" i="4"/>
  <c r="J46" i="4"/>
  <c r="J30" i="4"/>
  <c r="J19" i="4"/>
  <c r="J16" i="4"/>
  <c r="J64" i="4"/>
  <c r="J69" i="4"/>
  <c r="J68" i="4"/>
  <c r="B60" i="4" l="1"/>
  <c r="B14" i="4"/>
  <c r="B37" i="4"/>
  <c r="B65" i="4"/>
  <c r="B66" i="4"/>
  <c r="B39" i="4"/>
  <c r="B26" i="4"/>
  <c r="B70" i="4"/>
  <c r="B29" i="4"/>
  <c r="B47" i="4"/>
  <c r="B51" i="4"/>
  <c r="B36" i="4"/>
  <c r="B31" i="4"/>
  <c r="B34" i="4"/>
  <c r="B58" i="4"/>
  <c r="B56" i="4"/>
  <c r="B13" i="4"/>
  <c r="B18" i="4"/>
  <c r="B32" i="4"/>
  <c r="B61" i="4"/>
  <c r="B17" i="4"/>
  <c r="B63" i="4"/>
  <c r="B50" i="4"/>
  <c r="B44" i="4"/>
  <c r="B38" i="4"/>
  <c r="B54" i="4"/>
  <c r="B62" i="4"/>
  <c r="B25" i="4"/>
  <c r="B42" i="4"/>
  <c r="B22" i="4"/>
  <c r="B55" i="4"/>
  <c r="B12" i="4"/>
  <c r="B48" i="4"/>
  <c r="B15" i="4"/>
  <c r="B40" i="4"/>
  <c r="B67" i="4"/>
  <c r="B59" i="4"/>
  <c r="B24" i="4"/>
  <c r="B8" i="4"/>
  <c r="B11" i="4"/>
  <c r="B49" i="4"/>
  <c r="B9" i="4"/>
  <c r="B28" i="4"/>
  <c r="B23" i="4"/>
  <c r="B45" i="4"/>
  <c r="B52" i="4"/>
  <c r="B43" i="4"/>
  <c r="B27" i="4"/>
  <c r="B33" i="4"/>
  <c r="B57" i="4"/>
  <c r="B20" i="4"/>
  <c r="B53" i="4"/>
  <c r="B35" i="4"/>
  <c r="B10" i="4"/>
  <c r="B21" i="4"/>
  <c r="B46" i="4"/>
  <c r="B30" i="4"/>
  <c r="B19" i="4"/>
  <c r="B16" i="4"/>
  <c r="B64" i="4"/>
  <c r="B69" i="4"/>
  <c r="M86" i="1" l="1"/>
  <c r="J86" i="1"/>
  <c r="G86" i="1"/>
  <c r="D86" i="1"/>
  <c r="K84" i="1" l="1"/>
  <c r="G60" i="4" s="1"/>
  <c r="H84" i="1"/>
  <c r="E60" i="4" s="1"/>
  <c r="E84" i="1"/>
  <c r="C60" i="4" s="1"/>
  <c r="K83" i="1"/>
  <c r="G14" i="4" s="1"/>
  <c r="H83" i="1"/>
  <c r="E14" i="4" s="1"/>
  <c r="E83" i="1"/>
  <c r="C14" i="4" s="1"/>
  <c r="N82" i="1"/>
  <c r="K82" i="1"/>
  <c r="G37" i="4" s="1"/>
  <c r="H82" i="1"/>
  <c r="E37" i="4" s="1"/>
  <c r="E82" i="1"/>
  <c r="C37" i="4" s="1"/>
  <c r="K81" i="1"/>
  <c r="G65" i="4" s="1"/>
  <c r="H81" i="1"/>
  <c r="E65" i="4" s="1"/>
  <c r="E81" i="1"/>
  <c r="C65" i="4" s="1"/>
  <c r="K80" i="1"/>
  <c r="G41" i="4" s="1"/>
  <c r="H80" i="1"/>
  <c r="E41" i="4" s="1"/>
  <c r="E80" i="1"/>
  <c r="C41" i="4" s="1"/>
  <c r="N79" i="1"/>
  <c r="K79" i="1"/>
  <c r="G66" i="4" s="1"/>
  <c r="H79" i="1"/>
  <c r="E66" i="4" s="1"/>
  <c r="E79" i="1"/>
  <c r="C66" i="4" s="1"/>
  <c r="K78" i="1"/>
  <c r="G39" i="4" s="1"/>
  <c r="H78" i="1"/>
  <c r="E39" i="4" s="1"/>
  <c r="E78" i="1"/>
  <c r="C39" i="4" s="1"/>
  <c r="N77" i="1"/>
  <c r="K77" i="1"/>
  <c r="G26" i="4" s="1"/>
  <c r="H77" i="1"/>
  <c r="E26" i="4" s="1"/>
  <c r="E77" i="1"/>
  <c r="C26" i="4" s="1"/>
  <c r="K75" i="1"/>
  <c r="G29" i="4" s="1"/>
  <c r="H75" i="1"/>
  <c r="E29" i="4" s="1"/>
  <c r="E75" i="1"/>
  <c r="C29" i="4" s="1"/>
  <c r="K74" i="1"/>
  <c r="G47" i="4" s="1"/>
  <c r="H74" i="1"/>
  <c r="E47" i="4" s="1"/>
  <c r="E74" i="1"/>
  <c r="C47" i="4" s="1"/>
  <c r="K73" i="1"/>
  <c r="G51" i="4" s="1"/>
  <c r="H73" i="1"/>
  <c r="E51" i="4" s="1"/>
  <c r="E73" i="1"/>
  <c r="C51" i="4" s="1"/>
  <c r="K72" i="1"/>
  <c r="G36" i="4" s="1"/>
  <c r="H72" i="1"/>
  <c r="E36" i="4" s="1"/>
  <c r="E72" i="1"/>
  <c r="C36" i="4" s="1"/>
  <c r="K71" i="1"/>
  <c r="G31" i="4" s="1"/>
  <c r="H71" i="1"/>
  <c r="E31" i="4" s="1"/>
  <c r="E71" i="1"/>
  <c r="C31" i="4" s="1"/>
  <c r="K70" i="1"/>
  <c r="G34" i="4" s="1"/>
  <c r="H70" i="1"/>
  <c r="E34" i="4" s="1"/>
  <c r="E70" i="1"/>
  <c r="C34" i="4" s="1"/>
  <c r="K69" i="1"/>
  <c r="G58" i="4" s="1"/>
  <c r="H69" i="1"/>
  <c r="E58" i="4" s="1"/>
  <c r="E69" i="1"/>
  <c r="C58" i="4" s="1"/>
  <c r="H26" i="1"/>
  <c r="E27" i="4" s="1"/>
  <c r="K19" i="1"/>
  <c r="G10" i="4" s="1"/>
  <c r="H19" i="1"/>
  <c r="E10" i="4" s="1"/>
  <c r="E19" i="1"/>
  <c r="C10" i="4" s="1"/>
  <c r="N68" i="1"/>
  <c r="K68" i="1"/>
  <c r="G56" i="4" s="1"/>
  <c r="H68" i="1"/>
  <c r="E56" i="4" s="1"/>
  <c r="E68" i="1"/>
  <c r="C56" i="4" s="1"/>
  <c r="N67" i="1"/>
  <c r="K67" i="1"/>
  <c r="G13" i="4" s="1"/>
  <c r="H67" i="1"/>
  <c r="E13" i="4" s="1"/>
  <c r="E67" i="1"/>
  <c r="C13" i="4" s="1"/>
  <c r="G18" i="4"/>
  <c r="E18" i="4"/>
  <c r="C18" i="4"/>
  <c r="N65" i="1"/>
  <c r="K65" i="1"/>
  <c r="G32" i="4" s="1"/>
  <c r="H65" i="1"/>
  <c r="E32" i="4" s="1"/>
  <c r="E65" i="1"/>
  <c r="C32" i="4" s="1"/>
  <c r="K64" i="1"/>
  <c r="G61" i="4" s="1"/>
  <c r="H64" i="1"/>
  <c r="E61" i="4" s="1"/>
  <c r="E64" i="1"/>
  <c r="C61" i="4" s="1"/>
  <c r="K63" i="1"/>
  <c r="G17" i="4" s="1"/>
  <c r="H63" i="1"/>
  <c r="E17" i="4" s="1"/>
  <c r="E63" i="1"/>
  <c r="C17" i="4" s="1"/>
  <c r="K62" i="1"/>
  <c r="G63" i="4" s="1"/>
  <c r="H62" i="1"/>
  <c r="E63" i="4" s="1"/>
  <c r="E62" i="1"/>
  <c r="C63" i="4" s="1"/>
  <c r="K61" i="1"/>
  <c r="G50" i="4" s="1"/>
  <c r="H61" i="1"/>
  <c r="E50" i="4" s="1"/>
  <c r="E61" i="1"/>
  <c r="C50" i="4" s="1"/>
  <c r="K60" i="1"/>
  <c r="G44" i="4" s="1"/>
  <c r="H60" i="1"/>
  <c r="E44" i="4" s="1"/>
  <c r="E60" i="1"/>
  <c r="C44" i="4" s="1"/>
  <c r="K59" i="1"/>
  <c r="G38" i="4" s="1"/>
  <c r="H59" i="1"/>
  <c r="E38" i="4" s="1"/>
  <c r="E59" i="1"/>
  <c r="C38" i="4" s="1"/>
  <c r="K58" i="1"/>
  <c r="G54" i="4" s="1"/>
  <c r="H58" i="1"/>
  <c r="E54" i="4" s="1"/>
  <c r="E58" i="1"/>
  <c r="C54" i="4" s="1"/>
  <c r="K57" i="1"/>
  <c r="G62" i="4" s="1"/>
  <c r="H57" i="1"/>
  <c r="E62" i="4" s="1"/>
  <c r="E57" i="1"/>
  <c r="C62" i="4" s="1"/>
  <c r="N56" i="1"/>
  <c r="K56" i="1"/>
  <c r="G25" i="4" s="1"/>
  <c r="H56" i="1"/>
  <c r="E25" i="4" s="1"/>
  <c r="E56" i="1"/>
  <c r="C25" i="4" s="1"/>
  <c r="K55" i="1"/>
  <c r="G42" i="4" s="1"/>
  <c r="H55" i="1"/>
  <c r="E42" i="4" s="1"/>
  <c r="E55" i="1"/>
  <c r="C42" i="4" s="1"/>
  <c r="N54" i="1"/>
  <c r="K54" i="1"/>
  <c r="G22" i="4" s="1"/>
  <c r="H54" i="1"/>
  <c r="E22" i="4" s="1"/>
  <c r="C22" i="4"/>
  <c r="K53" i="1"/>
  <c r="G55" i="4" s="1"/>
  <c r="H53" i="1"/>
  <c r="E55" i="4" s="1"/>
  <c r="E53" i="1"/>
  <c r="C55" i="4" s="1"/>
  <c r="K52" i="1"/>
  <c r="G12" i="4" s="1"/>
  <c r="H52" i="1"/>
  <c r="E12" i="4" s="1"/>
  <c r="E52" i="1"/>
  <c r="C12" i="4" s="1"/>
  <c r="N51" i="1"/>
  <c r="K51" i="1"/>
  <c r="G48" i="4" s="1"/>
  <c r="H51" i="1"/>
  <c r="E48" i="4" s="1"/>
  <c r="E51" i="1"/>
  <c r="C48" i="4" s="1"/>
  <c r="N50" i="1"/>
  <c r="K50" i="1"/>
  <c r="G15" i="4" s="1"/>
  <c r="H50" i="1"/>
  <c r="E15" i="4" s="1"/>
  <c r="E50" i="1"/>
  <c r="C15" i="4" s="1"/>
  <c r="K49" i="1"/>
  <c r="G40" i="4" s="1"/>
  <c r="H49" i="1"/>
  <c r="E40" i="4" s="1"/>
  <c r="E49" i="1"/>
  <c r="C40" i="4" s="1"/>
  <c r="K48" i="1"/>
  <c r="G67" i="4" s="1"/>
  <c r="H48" i="1"/>
  <c r="E67" i="4" s="1"/>
  <c r="E48" i="1"/>
  <c r="C67" i="4" s="1"/>
  <c r="N47" i="1"/>
  <c r="K47" i="1"/>
  <c r="G59" i="4" s="1"/>
  <c r="H47" i="1"/>
  <c r="E59" i="4" s="1"/>
  <c r="E47" i="1"/>
  <c r="C59" i="4" s="1"/>
  <c r="N36" i="1"/>
  <c r="K36" i="1"/>
  <c r="G24" i="4" s="1"/>
  <c r="H36" i="1"/>
  <c r="E24" i="4" s="1"/>
  <c r="E36" i="1"/>
  <c r="C24" i="4" s="1"/>
  <c r="K35" i="1"/>
  <c r="G8" i="4" s="1"/>
  <c r="H35" i="1"/>
  <c r="E8" i="4" s="1"/>
  <c r="E35" i="1"/>
  <c r="C8" i="4" s="1"/>
  <c r="K34" i="1"/>
  <c r="G11" i="4" s="1"/>
  <c r="H34" i="1"/>
  <c r="E11" i="4" s="1"/>
  <c r="E34" i="1"/>
  <c r="C11" i="4" s="1"/>
  <c r="N33" i="1"/>
  <c r="K33" i="1"/>
  <c r="G49" i="4" s="1"/>
  <c r="H33" i="1"/>
  <c r="E49" i="4" s="1"/>
  <c r="E33" i="1"/>
  <c r="C49" i="4" s="1"/>
  <c r="K32" i="1"/>
  <c r="G9" i="4" s="1"/>
  <c r="H32" i="1"/>
  <c r="E9" i="4" s="1"/>
  <c r="E32" i="1"/>
  <c r="C9" i="4" s="1"/>
  <c r="K31" i="1"/>
  <c r="G28" i="4" s="1"/>
  <c r="H31" i="1"/>
  <c r="E28" i="4" s="1"/>
  <c r="E31" i="1"/>
  <c r="C28" i="4" s="1"/>
  <c r="N30" i="1"/>
  <c r="K30" i="1"/>
  <c r="G23" i="4" s="1"/>
  <c r="H30" i="1"/>
  <c r="E23" i="4" s="1"/>
  <c r="E30" i="1"/>
  <c r="C23" i="4" s="1"/>
  <c r="K29" i="1"/>
  <c r="G45" i="4" s="1"/>
  <c r="H29" i="1"/>
  <c r="E45" i="4" s="1"/>
  <c r="E29" i="1"/>
  <c r="C45" i="4" s="1"/>
  <c r="K28" i="1"/>
  <c r="G52" i="4" s="1"/>
  <c r="H28" i="1"/>
  <c r="E52" i="4" s="1"/>
  <c r="E28" i="1"/>
  <c r="C52" i="4" s="1"/>
  <c r="N27" i="1"/>
  <c r="K27" i="1"/>
  <c r="G43" i="4" s="1"/>
  <c r="H27" i="1"/>
  <c r="E43" i="4" s="1"/>
  <c r="E27" i="1"/>
  <c r="C43" i="4" s="1"/>
  <c r="K26" i="1"/>
  <c r="G27" i="4" s="1"/>
  <c r="E26" i="1"/>
  <c r="C27" i="4" s="1"/>
  <c r="N25" i="1"/>
  <c r="K25" i="1"/>
  <c r="G33" i="4" s="1"/>
  <c r="H25" i="1"/>
  <c r="E33" i="4" s="1"/>
  <c r="E25" i="1"/>
  <c r="C33" i="4" s="1"/>
  <c r="N24" i="1"/>
  <c r="K24" i="1"/>
  <c r="G57" i="4" s="1"/>
  <c r="H24" i="1"/>
  <c r="E57" i="4" s="1"/>
  <c r="E24" i="1"/>
  <c r="C57" i="4" s="1"/>
  <c r="N22" i="1"/>
  <c r="K22" i="1"/>
  <c r="G53" i="4" s="1"/>
  <c r="H22" i="1"/>
  <c r="E53" i="4" s="1"/>
  <c r="E22" i="1"/>
  <c r="C53" i="4" s="1"/>
  <c r="K20" i="1"/>
  <c r="G35" i="4" s="1"/>
  <c r="H20" i="1"/>
  <c r="E35" i="4" s="1"/>
  <c r="E20" i="1"/>
  <c r="C35" i="4" s="1"/>
  <c r="K18" i="1"/>
  <c r="G21" i="4" s="1"/>
  <c r="H18" i="1"/>
  <c r="E21" i="4" s="1"/>
  <c r="E18" i="1"/>
  <c r="C21" i="4" s="1"/>
  <c r="K23" i="1"/>
  <c r="G20" i="4" s="1"/>
  <c r="H23" i="1"/>
  <c r="E20" i="4" s="1"/>
  <c r="E23" i="1"/>
  <c r="C20" i="4" s="1"/>
  <c r="K17" i="1"/>
  <c r="G46" i="4" s="1"/>
  <c r="H17" i="1"/>
  <c r="E46" i="4" s="1"/>
  <c r="E17" i="1"/>
  <c r="C46" i="4" s="1"/>
  <c r="K16" i="1"/>
  <c r="G68" i="4" s="1"/>
  <c r="H16" i="1"/>
  <c r="E68" i="4" s="1"/>
  <c r="E16" i="1"/>
  <c r="C68" i="4" s="1"/>
  <c r="N21" i="1"/>
  <c r="K21" i="1"/>
  <c r="G30" i="4" s="1"/>
  <c r="H21" i="1"/>
  <c r="E30" i="4" s="1"/>
  <c r="E21" i="1"/>
  <c r="C30" i="4" s="1"/>
  <c r="K15" i="1"/>
  <c r="G19" i="4" s="1"/>
  <c r="H15" i="1"/>
  <c r="E19" i="4" s="1"/>
  <c r="E15" i="1"/>
  <c r="C19" i="4" s="1"/>
  <c r="B10" i="1" l="1"/>
  <c r="I86" i="1" l="1"/>
  <c r="F86" i="1"/>
  <c r="L86" i="1"/>
  <c r="N76" i="1"/>
  <c r="K76" i="1" l="1"/>
  <c r="G70" i="4" s="1"/>
  <c r="K13" i="1"/>
  <c r="G64" i="4" s="1"/>
  <c r="N13" i="1"/>
  <c r="K14" i="1"/>
  <c r="G16" i="4" s="1"/>
  <c r="K12" i="1"/>
  <c r="G69" i="4" s="1"/>
  <c r="H14" i="1"/>
  <c r="E16" i="4" s="1"/>
  <c r="H13" i="1"/>
  <c r="E64" i="4" s="1"/>
  <c r="E12" i="1"/>
  <c r="C69" i="4" s="1"/>
  <c r="H76" i="1"/>
  <c r="E70" i="4" s="1"/>
  <c r="E14" i="1"/>
  <c r="C16" i="4" s="1"/>
  <c r="E13" i="1"/>
  <c r="C64" i="4" s="1"/>
  <c r="E76" i="1"/>
  <c r="C70" i="4" s="1"/>
  <c r="K86" i="1" l="1"/>
  <c r="C72" i="4"/>
  <c r="E72" i="4"/>
  <c r="N86" i="1"/>
  <c r="G72" i="4"/>
  <c r="H70" i="4" s="1"/>
  <c r="H86" i="1"/>
  <c r="D69" i="4" l="1"/>
  <c r="D70" i="4"/>
  <c r="F64" i="4"/>
  <c r="F70" i="4"/>
  <c r="F16" i="4"/>
  <c r="D16" i="4"/>
  <c r="H69" i="4"/>
  <c r="H64" i="4"/>
  <c r="D64" i="4"/>
  <c r="D53" i="4"/>
  <c r="D38" i="4"/>
  <c r="D23" i="4"/>
  <c r="D35" i="4"/>
  <c r="D37" i="4"/>
  <c r="D41" i="4"/>
  <c r="D68" i="4"/>
  <c r="D59" i="4"/>
  <c r="D39" i="4"/>
  <c r="D12" i="4"/>
  <c r="D60" i="4"/>
  <c r="D24" i="4"/>
  <c r="D20" i="4"/>
  <c r="D19" i="4"/>
  <c r="D18" i="4"/>
  <c r="D13" i="4"/>
  <c r="D66" i="4"/>
  <c r="D47" i="4"/>
  <c r="D22" i="4"/>
  <c r="D57" i="4"/>
  <c r="D27" i="4"/>
  <c r="D8" i="4"/>
  <c r="D63" i="4"/>
  <c r="D33" i="4"/>
  <c r="D55" i="4"/>
  <c r="D50" i="4"/>
  <c r="D14" i="4"/>
  <c r="D42" i="4"/>
  <c r="D34" i="4"/>
  <c r="D10" i="4"/>
  <c r="D30" i="4"/>
  <c r="D45" i="4"/>
  <c r="D15" i="4"/>
  <c r="D9" i="4"/>
  <c r="D46" i="4"/>
  <c r="D31" i="4"/>
  <c r="D62" i="4"/>
  <c r="D26" i="4"/>
  <c r="D44" i="4"/>
  <c r="D67" i="4"/>
  <c r="D29" i="4"/>
  <c r="D65" i="4"/>
  <c r="D40" i="4"/>
  <c r="D61" i="4"/>
  <c r="D21" i="4"/>
  <c r="D25" i="4"/>
  <c r="D43" i="4"/>
  <c r="D49" i="4"/>
  <c r="D11" i="4"/>
  <c r="D52" i="4"/>
  <c r="D36" i="4"/>
  <c r="D56" i="4"/>
  <c r="D54" i="4"/>
  <c r="D17" i="4"/>
  <c r="D58" i="4"/>
  <c r="D51" i="4"/>
  <c r="D32" i="4"/>
  <c r="D48" i="4"/>
  <c r="D28" i="4"/>
  <c r="H16" i="4"/>
  <c r="H52" i="4"/>
  <c r="H38" i="4"/>
  <c r="H44" i="4"/>
  <c r="H66" i="4"/>
  <c r="H10" i="4"/>
  <c r="H18" i="4"/>
  <c r="H34" i="4"/>
  <c r="H24" i="4"/>
  <c r="H68" i="4"/>
  <c r="H37" i="4"/>
  <c r="H67" i="4"/>
  <c r="H33" i="4"/>
  <c r="H50" i="4"/>
  <c r="H26" i="4"/>
  <c r="H40" i="4"/>
  <c r="H65" i="4"/>
  <c r="H45" i="4"/>
  <c r="H32" i="4"/>
  <c r="H57" i="4"/>
  <c r="H20" i="4"/>
  <c r="H25" i="4"/>
  <c r="H43" i="4"/>
  <c r="H35" i="4"/>
  <c r="H19" i="4"/>
  <c r="H17" i="4"/>
  <c r="H53" i="4"/>
  <c r="H21" i="4"/>
  <c r="H9" i="4"/>
  <c r="H58" i="4"/>
  <c r="H14" i="4"/>
  <c r="H48" i="4"/>
  <c r="H54" i="4"/>
  <c r="H39" i="4"/>
  <c r="H62" i="4"/>
  <c r="H61" i="4"/>
  <c r="H8" i="4"/>
  <c r="H27" i="4"/>
  <c r="H46" i="4"/>
  <c r="H63" i="4"/>
  <c r="H55" i="4"/>
  <c r="H15" i="4"/>
  <c r="H29" i="4"/>
  <c r="H42" i="4"/>
  <c r="H30" i="4"/>
  <c r="H22" i="4"/>
  <c r="H49" i="4"/>
  <c r="H28" i="4"/>
  <c r="H23" i="4"/>
  <c r="H11" i="4"/>
  <c r="H60" i="4"/>
  <c r="H41" i="4"/>
  <c r="H51" i="4"/>
  <c r="H12" i="4"/>
  <c r="H31" i="4"/>
  <c r="H56" i="4"/>
  <c r="H36" i="4"/>
  <c r="H47" i="4"/>
  <c r="H59" i="4"/>
  <c r="H13" i="4"/>
  <c r="F33" i="4"/>
  <c r="F28" i="4"/>
  <c r="F11" i="4"/>
  <c r="F60" i="4"/>
  <c r="F19" i="4"/>
  <c r="F20" i="4"/>
  <c r="F59" i="4"/>
  <c r="F56" i="4"/>
  <c r="F67" i="4"/>
  <c r="F47" i="4"/>
  <c r="F66" i="4"/>
  <c r="F18" i="4"/>
  <c r="F53" i="4"/>
  <c r="F9" i="4"/>
  <c r="F48" i="4"/>
  <c r="F51" i="4"/>
  <c r="F26" i="4"/>
  <c r="F22" i="4"/>
  <c r="F58" i="4"/>
  <c r="F57" i="4"/>
  <c r="F36" i="4"/>
  <c r="F24" i="4"/>
  <c r="F14" i="4"/>
  <c r="F12" i="4"/>
  <c r="F17" i="4"/>
  <c r="F62" i="4"/>
  <c r="F38" i="4"/>
  <c r="F45" i="4"/>
  <c r="F21" i="4"/>
  <c r="F61" i="4"/>
  <c r="F49" i="4"/>
  <c r="F10" i="4"/>
  <c r="F25" i="4"/>
  <c r="F55" i="4"/>
  <c r="F8" i="4"/>
  <c r="F50" i="4"/>
  <c r="F31" i="4"/>
  <c r="F32" i="4"/>
  <c r="F39" i="4"/>
  <c r="F30" i="4"/>
  <c r="F44" i="4"/>
  <c r="F46" i="4"/>
  <c r="F63" i="4"/>
  <c r="F41" i="4"/>
  <c r="F13" i="4"/>
  <c r="F42" i="4"/>
  <c r="F29" i="4"/>
  <c r="F35" i="4"/>
  <c r="F68" i="4"/>
  <c r="F54" i="4"/>
  <c r="F52" i="4"/>
  <c r="F15" i="4"/>
  <c r="F23" i="4"/>
  <c r="F27" i="4"/>
  <c r="F43" i="4"/>
  <c r="F34" i="4"/>
  <c r="F40" i="4"/>
  <c r="F65" i="4"/>
  <c r="F37" i="4"/>
  <c r="I11" i="4" l="1"/>
  <c r="I48" i="4"/>
  <c r="I52" i="4"/>
  <c r="I40" i="4"/>
  <c r="I32" i="4"/>
  <c r="I46" i="4"/>
  <c r="I14" i="4"/>
  <c r="I22" i="4"/>
  <c r="I60" i="4"/>
  <c r="I64" i="4"/>
  <c r="I54" i="4"/>
  <c r="I44" i="4"/>
  <c r="I51" i="4"/>
  <c r="I56" i="4"/>
  <c r="I49" i="4"/>
  <c r="I21" i="4"/>
  <c r="I65" i="4"/>
  <c r="I26" i="4"/>
  <c r="I9" i="4"/>
  <c r="I10" i="4"/>
  <c r="I50" i="4"/>
  <c r="I8" i="4"/>
  <c r="I47" i="4"/>
  <c r="I19" i="4"/>
  <c r="I12" i="4"/>
  <c r="I68" i="4"/>
  <c r="I23" i="4"/>
  <c r="I63" i="4"/>
  <c r="I59" i="4"/>
  <c r="I28" i="4"/>
  <c r="I58" i="4"/>
  <c r="I36" i="4"/>
  <c r="I61" i="4"/>
  <c r="I29" i="4"/>
  <c r="I62" i="4"/>
  <c r="I15" i="4"/>
  <c r="I34" i="4"/>
  <c r="I55" i="4"/>
  <c r="I27" i="4"/>
  <c r="I66" i="4"/>
  <c r="I20" i="4"/>
  <c r="I39" i="4"/>
  <c r="I41" i="4"/>
  <c r="I38" i="4"/>
  <c r="I16" i="4"/>
  <c r="I70" i="4"/>
  <c r="I17" i="4"/>
  <c r="I43" i="4"/>
  <c r="I67" i="4"/>
  <c r="I31" i="4"/>
  <c r="I45" i="4"/>
  <c r="I42" i="4"/>
  <c r="I33" i="4"/>
  <c r="I57" i="4"/>
  <c r="I13" i="4"/>
  <c r="I24" i="4"/>
  <c r="I37" i="4"/>
  <c r="I53" i="4"/>
  <c r="I25" i="4"/>
  <c r="I30" i="4"/>
  <c r="I18" i="4"/>
  <c r="I35" i="4"/>
  <c r="I69" i="4"/>
  <c r="E11" i="5"/>
  <c r="E86" i="1" l="1"/>
  <c r="C86" i="1"/>
</calcChain>
</file>

<file path=xl/sharedStrings.xml><?xml version="1.0" encoding="utf-8"?>
<sst xmlns="http://schemas.openxmlformats.org/spreadsheetml/2006/main" count="141" uniqueCount="109">
  <si>
    <t>Residential</t>
  </si>
  <si>
    <t>Fixed</t>
  </si>
  <si>
    <t>kwh.</t>
  </si>
  <si>
    <t>GS&lt;50</t>
  </si>
  <si>
    <t>GS&gt;50</t>
  </si>
  <si>
    <t>kwh</t>
  </si>
  <si>
    <t>Large</t>
  </si>
  <si>
    <t>Typical</t>
  </si>
  <si>
    <t>KW</t>
  </si>
  <si>
    <t>Hydro Ottawa</t>
  </si>
  <si>
    <t>Enersource</t>
  </si>
  <si>
    <t>Horizon</t>
  </si>
  <si>
    <t>Hydro One Brampton</t>
  </si>
  <si>
    <t>Kitchener-Wilmot</t>
  </si>
  <si>
    <t xml:space="preserve">KW </t>
  </si>
  <si>
    <t>(monthly charge and volumetric rate)</t>
  </si>
  <si>
    <t>Utility</t>
  </si>
  <si>
    <t>800 kwh</t>
  </si>
  <si>
    <t>2000 kwh</t>
  </si>
  <si>
    <t>250 KW</t>
  </si>
  <si>
    <t>% of Avg</t>
  </si>
  <si>
    <t>AVERAGE</t>
  </si>
  <si>
    <t>Ranking</t>
  </si>
  <si>
    <t>Overall</t>
  </si>
  <si>
    <t>Algoma</t>
  </si>
  <si>
    <t>Brantford</t>
  </si>
  <si>
    <t>Embrun</t>
  </si>
  <si>
    <t>Guelph</t>
  </si>
  <si>
    <t>Hydro Hawkesbury</t>
  </si>
  <si>
    <t>Kingston</t>
  </si>
  <si>
    <t>Lakefront</t>
  </si>
  <si>
    <t>Lakeland</t>
  </si>
  <si>
    <t>Orangeville</t>
  </si>
  <si>
    <t>Oshawa</t>
  </si>
  <si>
    <t>St.Thomas</t>
  </si>
  <si>
    <t>Sioux Lookout</t>
  </si>
  <si>
    <t>Thunder Bay</t>
  </si>
  <si>
    <t>Waterloo North</t>
  </si>
  <si>
    <t>WestCoast Huron</t>
  </si>
  <si>
    <t>Whitby</t>
  </si>
  <si>
    <t>Averages</t>
  </si>
  <si>
    <t>30 Day Factor</t>
  </si>
  <si>
    <t>Customers</t>
  </si>
  <si>
    <t>Number of</t>
  </si>
  <si>
    <t>Wellington North</t>
  </si>
  <si>
    <t xml:space="preserve">Toronto Hydro </t>
  </si>
  <si>
    <t>Festival</t>
  </si>
  <si>
    <t>Oakville (interim)</t>
  </si>
  <si>
    <t>Annual Distribution Bill Comparison - 2017 Rates</t>
  </si>
  <si>
    <t>Rate and Distribution Cost Comparison - 2017</t>
  </si>
  <si>
    <t>Bluewater (DRO)</t>
  </si>
  <si>
    <t>Canadian Niagara (Applied)</t>
  </si>
  <si>
    <t>Burlington (Applied)</t>
  </si>
  <si>
    <t>Centre Wellington (Applied)</t>
  </si>
  <si>
    <t>COLLUS (Applied)</t>
  </si>
  <si>
    <t>E.L.K. (Applied)</t>
  </si>
  <si>
    <t>Energy Plus (Applied)</t>
  </si>
  <si>
    <t>Entegrus (DRO)</t>
  </si>
  <si>
    <t>EnWin (Applied)</t>
  </si>
  <si>
    <t>Erie Thames (DRO)</t>
  </si>
  <si>
    <t>Essex (Applied)</t>
  </si>
  <si>
    <t>Greater Sudbury (DRO)</t>
  </si>
  <si>
    <t>Grimsby</t>
  </si>
  <si>
    <t>Halton Hills (DRO)</t>
  </si>
  <si>
    <t>Hearst (DRO)</t>
  </si>
  <si>
    <t xml:space="preserve">Hydro 2000 (Applied) </t>
  </si>
  <si>
    <t>Innpower (Applied)</t>
  </si>
  <si>
    <t>Kenora (DRO)</t>
  </si>
  <si>
    <t>London (DRO)</t>
  </si>
  <si>
    <t>Midland (DRO)</t>
  </si>
  <si>
    <t>Milton (Applied)</t>
  </si>
  <si>
    <t>Newmarket-Tay (Applied)</t>
  </si>
  <si>
    <t>Niagara Peninsula (Applied)</t>
  </si>
  <si>
    <t>Niagara-on-the-Lake (DRO)</t>
  </si>
  <si>
    <t>North Bay (DRO)</t>
  </si>
  <si>
    <t>Northern Ontario Wires (Applied)</t>
  </si>
  <si>
    <t>Orillia (Applied)</t>
  </si>
  <si>
    <t>Ottawa River (DRO)</t>
  </si>
  <si>
    <t>Peterborough (2016)</t>
  </si>
  <si>
    <t xml:space="preserve">Powerstream </t>
  </si>
  <si>
    <t>Renfrew</t>
  </si>
  <si>
    <t>PUC Distribution (Applied)</t>
  </si>
  <si>
    <t>Rideau St. Lawr. (Applied)</t>
  </si>
  <si>
    <t>Tillsonburg (DRO)</t>
  </si>
  <si>
    <t>Veridian (Applied)</t>
  </si>
  <si>
    <t>Wasaga (Applied)</t>
  </si>
  <si>
    <t>Welland (Applied)</t>
  </si>
  <si>
    <t>Westario (2016)</t>
  </si>
  <si>
    <t>Hydro One Networks (UR)</t>
  </si>
  <si>
    <t>Hydro One Networks (R1)</t>
  </si>
  <si>
    <t>Hydro One Networks (AU 2022)</t>
  </si>
  <si>
    <t>Hydro One Networks (AG 2022)</t>
  </si>
  <si>
    <t>Hydro One Networks (UR 2022)</t>
  </si>
  <si>
    <t>Hydro One Networks (R1 2022)</t>
  </si>
  <si>
    <t>Hydro One Networks (UR 2027)</t>
  </si>
  <si>
    <t>Hydro One Networks (R1 2027)</t>
  </si>
  <si>
    <t>Hydro One Networks (AU 2027)</t>
  </si>
  <si>
    <t>Hydro One Networks (AG 2027)</t>
  </si>
  <si>
    <t xml:space="preserve">Small Business </t>
  </si>
  <si>
    <t>Commercial/Industrial</t>
  </si>
  <si>
    <t>Orillia (2026 forecast)</t>
  </si>
  <si>
    <t>Acquisition (2026 forecast)</t>
  </si>
  <si>
    <t>Orillia (current as per affidavit)</t>
  </si>
  <si>
    <t>2027 Increase from Acquisition Rates</t>
  </si>
  <si>
    <t>2027 Increment over Orillia forecast</t>
  </si>
  <si>
    <t>Harmonization to H1 Rates</t>
  </si>
  <si>
    <t>2026 Monthly saving per affidavit</t>
  </si>
  <si>
    <t>Payback of savings (years)</t>
  </si>
  <si>
    <t>Payback (no ESM)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</si>
</sst>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.00"/>
    <numFmt numFmtId="165" formatCode="&quot;$&quot;#,##0.0000"/>
    <numFmt numFmtId="166" formatCode="0.000000"/>
    <numFmt numFmtId="167" formatCode="0.0%"/>
    <numFmt numFmtId="168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Continuous"/>
    </xf>
    <xf numFmtId="0" fontId="0" fillId="0" borderId="1" xfId="0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164" fontId="0" fillId="0" borderId="0" xfId="0" applyNumberFormat="1"/>
    <xf numFmtId="165" fontId="0" fillId="0" borderId="0" xfId="0" applyNumberFormat="1"/>
    <xf numFmtId="165" fontId="0" fillId="0" borderId="1" xfId="0" applyNumberFormat="1" applyBorder="1" applyAlignment="1">
      <alignment horizontal="centerContinuous"/>
    </xf>
    <xf numFmtId="165" fontId="0" fillId="0" borderId="1" xfId="0" applyNumberFormat="1" applyBorder="1"/>
    <xf numFmtId="165" fontId="0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Continuous"/>
    </xf>
    <xf numFmtId="0" fontId="6" fillId="0" borderId="1" xfId="0" applyFont="1" applyBorder="1"/>
    <xf numFmtId="0" fontId="5" fillId="0" borderId="1" xfId="0" applyFont="1" applyBorder="1"/>
    <xf numFmtId="166" fontId="0" fillId="0" borderId="0" xfId="0" applyNumberFormat="1"/>
    <xf numFmtId="0" fontId="1" fillId="0" borderId="0" xfId="0" applyFont="1" applyAlignment="1">
      <alignment horizontal="left"/>
    </xf>
    <xf numFmtId="164" fontId="1" fillId="0" borderId="0" xfId="0" applyNumberFormat="1" applyFont="1"/>
    <xf numFmtId="165" fontId="1" fillId="0" borderId="0" xfId="0" applyNumberFormat="1" applyFont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6" fillId="0" borderId="1" xfId="0" applyNumberFormat="1" applyFont="1" applyBorder="1"/>
    <xf numFmtId="0" fontId="6" fillId="0" borderId="0" xfId="0" applyFont="1"/>
    <xf numFmtId="0" fontId="0" fillId="2" borderId="0" xfId="0" applyFill="1" applyBorder="1"/>
    <xf numFmtId="0" fontId="0" fillId="2" borderId="0" xfId="0" applyFont="1" applyFill="1" applyBorder="1"/>
    <xf numFmtId="3" fontId="0" fillId="2" borderId="0" xfId="0" applyNumberFormat="1" applyFill="1" applyBorder="1"/>
    <xf numFmtId="0" fontId="1" fillId="2" borderId="0" xfId="0" applyFont="1" applyFill="1" applyBorder="1"/>
    <xf numFmtId="3" fontId="1" fillId="2" borderId="0" xfId="0" applyNumberFormat="1" applyFont="1" applyFill="1" applyBorder="1"/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167" fontId="6" fillId="3" borderId="1" xfId="0" applyNumberFormat="1" applyFont="1" applyFill="1" applyBorder="1" applyAlignment="1">
      <alignment horizontal="center"/>
    </xf>
    <xf numFmtId="3" fontId="6" fillId="3" borderId="1" xfId="0" applyNumberFormat="1" applyFont="1" applyFill="1" applyBorder="1"/>
    <xf numFmtId="0" fontId="5" fillId="0" borderId="0" xfId="0" applyFont="1"/>
    <xf numFmtId="10" fontId="6" fillId="3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center"/>
    </xf>
    <xf numFmtId="167" fontId="6" fillId="0" borderId="1" xfId="0" applyNumberFormat="1" applyFont="1" applyFill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/>
    <xf numFmtId="0" fontId="5" fillId="0" borderId="1" xfId="0" applyFont="1" applyFill="1" applyBorder="1"/>
    <xf numFmtId="0" fontId="0" fillId="3" borderId="0" xfId="0" applyFill="1" applyAlignment="1">
      <alignment horizontal="left"/>
    </xf>
    <xf numFmtId="0" fontId="0" fillId="3" borderId="0" xfId="0" applyFill="1"/>
    <xf numFmtId="164" fontId="0" fillId="3" borderId="0" xfId="0" applyNumberFormat="1" applyFill="1"/>
    <xf numFmtId="165" fontId="0" fillId="3" borderId="0" xfId="0" applyNumberFormat="1" applyFill="1"/>
    <xf numFmtId="0" fontId="0" fillId="0" borderId="0" xfId="0" applyFill="1" applyAlignment="1">
      <alignment horizontal="left"/>
    </xf>
    <xf numFmtId="0" fontId="0" fillId="0" borderId="0" xfId="0" applyFill="1"/>
    <xf numFmtId="164" fontId="0" fillId="0" borderId="0" xfId="0" applyNumberFormat="1" applyFill="1"/>
    <xf numFmtId="165" fontId="0" fillId="0" borderId="0" xfId="0" applyNumberFormat="1" applyFill="1"/>
    <xf numFmtId="0" fontId="7" fillId="0" borderId="0" xfId="0" applyFont="1" applyFill="1" applyAlignment="1">
      <alignment horizontal="left"/>
    </xf>
    <xf numFmtId="168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78"/>
  <sheetViews>
    <sheetView topLeftCell="A62" workbookViewId="0">
      <selection activeCell="X59" sqref="X59"/>
    </sheetView>
  </sheetViews>
  <sheetFormatPr defaultRowHeight="15" x14ac:dyDescent="0.25"/>
  <cols>
    <col min="1" max="1" width="3.28515625" style="40" customWidth="1"/>
    <col min="2" max="2" width="23.85546875" customWidth="1"/>
    <col min="3" max="3" width="8.42578125" customWidth="1"/>
    <col min="4" max="4" width="6.7109375" customWidth="1"/>
    <col min="5" max="5" width="9.28515625" customWidth="1"/>
    <col min="6" max="6" width="6.7109375" customWidth="1"/>
    <col min="7" max="7" width="10.5703125" customWidth="1"/>
    <col min="8" max="8" width="6.28515625" customWidth="1"/>
    <col min="9" max="9" width="6.85546875" customWidth="1"/>
    <col min="10" max="10" width="8.85546875" style="30"/>
  </cols>
  <sheetData>
    <row r="2" spans="1:10" ht="18" x14ac:dyDescent="0.35">
      <c r="B2" s="5" t="s">
        <v>48</v>
      </c>
    </row>
    <row r="3" spans="1:10" ht="14.45" x14ac:dyDescent="0.3">
      <c r="B3" s="4" t="s">
        <v>15</v>
      </c>
    </row>
    <row r="5" spans="1:10" ht="14.45" x14ac:dyDescent="0.3">
      <c r="A5" s="14"/>
      <c r="B5" s="14" t="s">
        <v>16</v>
      </c>
      <c r="C5" s="15" t="s">
        <v>0</v>
      </c>
      <c r="D5" s="15"/>
      <c r="E5" s="15" t="s">
        <v>3</v>
      </c>
      <c r="F5" s="15"/>
      <c r="G5" s="15" t="s">
        <v>4</v>
      </c>
      <c r="H5" s="15"/>
      <c r="I5" s="14" t="s">
        <v>23</v>
      </c>
      <c r="J5" s="17" t="s">
        <v>43</v>
      </c>
    </row>
    <row r="6" spans="1:10" ht="14.45" x14ac:dyDescent="0.3">
      <c r="A6" s="17"/>
      <c r="B6" s="16"/>
      <c r="C6" s="14" t="s">
        <v>17</v>
      </c>
      <c r="D6" s="14" t="s">
        <v>20</v>
      </c>
      <c r="E6" s="14" t="s">
        <v>18</v>
      </c>
      <c r="F6" s="14" t="s">
        <v>20</v>
      </c>
      <c r="G6" s="14" t="s">
        <v>19</v>
      </c>
      <c r="H6" s="14" t="s">
        <v>20</v>
      </c>
      <c r="I6" s="14" t="s">
        <v>22</v>
      </c>
      <c r="J6" s="17" t="s">
        <v>42</v>
      </c>
    </row>
    <row r="7" spans="1:10" x14ac:dyDescent="0.25">
      <c r="A7" s="17"/>
      <c r="B7" s="16"/>
      <c r="C7" s="14"/>
      <c r="D7" s="14"/>
      <c r="E7" s="14"/>
      <c r="F7" s="14"/>
      <c r="G7" s="14"/>
      <c r="H7" s="14"/>
      <c r="I7" s="14"/>
      <c r="J7" s="16"/>
    </row>
    <row r="8" spans="1:10" x14ac:dyDescent="0.25">
      <c r="A8" s="17">
        <v>1</v>
      </c>
      <c r="B8" s="16" t="str">
        <f>+'Rate and Bill Data'!A35</f>
        <v>Hydro Hawkesbury</v>
      </c>
      <c r="C8" s="23">
        <f>+'Rate and Bill Data'!E35*12</f>
        <v>188.70000000000002</v>
      </c>
      <c r="D8" s="24">
        <f t="shared" ref="D8:D39" si="0">+C8/$C$72</f>
        <v>0.55509988299365198</v>
      </c>
      <c r="E8" s="23">
        <f>+'Rate and Bill Data'!H35*12</f>
        <v>332.04</v>
      </c>
      <c r="F8" s="24">
        <f t="shared" ref="F8:F39" si="1">+E8/$E$72</f>
        <v>0.48656115898784497</v>
      </c>
      <c r="G8" s="23">
        <f>+'Rate and Bill Data'!K35*12</f>
        <v>3668.2799999999997</v>
      </c>
      <c r="H8" s="24">
        <f t="shared" ref="H8:H39" si="2">+G8/$G$72</f>
        <v>0.59004611058269429</v>
      </c>
      <c r="I8" s="25">
        <f t="shared" ref="I8:I39" si="3">+(D8+F8+H8)/3</f>
        <v>0.54390238418806369</v>
      </c>
      <c r="J8" s="29">
        <f>+'Rate and Bill Data'!P35</f>
        <v>5499</v>
      </c>
    </row>
    <row r="9" spans="1:10" x14ac:dyDescent="0.25">
      <c r="A9" s="17">
        <f>+A8+1</f>
        <v>2</v>
      </c>
      <c r="B9" s="16" t="str">
        <f>+'Rate and Bill Data'!A32</f>
        <v>Hearst (DRO)</v>
      </c>
      <c r="C9" s="23">
        <f>+'Rate and Bill Data'!E32*12</f>
        <v>268.62</v>
      </c>
      <c r="D9" s="24">
        <f t="shared" si="0"/>
        <v>0.79020100990861042</v>
      </c>
      <c r="E9" s="23">
        <f>+'Rate and Bill Data'!H32*12</f>
        <v>374.64</v>
      </c>
      <c r="F9" s="24">
        <f t="shared" si="1"/>
        <v>0.54898588303579754</v>
      </c>
      <c r="G9" s="23">
        <f>+'Rate and Bill Data'!K32*12</f>
        <v>2775.84</v>
      </c>
      <c r="H9" s="24">
        <f t="shared" si="2"/>
        <v>0.4464963404101831</v>
      </c>
      <c r="I9" s="25">
        <f t="shared" si="3"/>
        <v>0.59522774445153037</v>
      </c>
      <c r="J9" s="29">
        <f>+'Rate and Bill Data'!P32</f>
        <v>2718</v>
      </c>
    </row>
    <row r="10" spans="1:10" x14ac:dyDescent="0.25">
      <c r="A10" s="17">
        <f t="shared" ref="A10:A69" si="4">+A9+1</f>
        <v>3</v>
      </c>
      <c r="B10" s="16" t="str">
        <f>+'Rate and Bill Data'!A19</f>
        <v>E.L.K. (Applied)</v>
      </c>
      <c r="C10" s="23">
        <f>+'Rate and Bill Data'!E19*12</f>
        <v>255.89999999999998</v>
      </c>
      <c r="D10" s="24">
        <f t="shared" si="0"/>
        <v>0.75278251223145476</v>
      </c>
      <c r="E10" s="23">
        <f>+'Rate and Bill Data'!H19*12</f>
        <v>456.59999999999997</v>
      </c>
      <c r="F10" s="24">
        <f t="shared" si="1"/>
        <v>0.66908753521819653</v>
      </c>
      <c r="G10" s="23">
        <f>+'Rate and Bill Data'!K19*12</f>
        <v>4906.7999999999993</v>
      </c>
      <c r="H10" s="24">
        <f t="shared" si="2"/>
        <v>0.78926315750356146</v>
      </c>
      <c r="I10" s="25">
        <f t="shared" si="3"/>
        <v>0.73704440165107099</v>
      </c>
      <c r="J10" s="29">
        <f>+'Rate and Bill Data'!P19</f>
        <v>12398</v>
      </c>
    </row>
    <row r="11" spans="1:10" x14ac:dyDescent="0.25">
      <c r="A11" s="17">
        <f t="shared" si="4"/>
        <v>4</v>
      </c>
      <c r="B11" s="16" t="str">
        <f>+'Rate and Bill Data'!A34</f>
        <v xml:space="preserve">Hydro 2000 (Applied) </v>
      </c>
      <c r="C11" s="23">
        <f>+'Rate and Bill Data'!E34*12</f>
        <v>348.48</v>
      </c>
      <c r="D11" s="24">
        <f t="shared" si="0"/>
        <v>1.0251256344760351</v>
      </c>
      <c r="E11" s="23">
        <f>+'Rate and Bill Data'!H34*12</f>
        <v>505.43999999999994</v>
      </c>
      <c r="F11" s="24">
        <f t="shared" si="1"/>
        <v>0.74065616250697597</v>
      </c>
      <c r="G11" s="23">
        <f>+'Rate and Bill Data'!K34*12</f>
        <v>2738.7599999999993</v>
      </c>
      <c r="H11" s="24">
        <f t="shared" si="2"/>
        <v>0.44053198933000198</v>
      </c>
      <c r="I11" s="25">
        <f t="shared" si="3"/>
        <v>0.73543792877100433</v>
      </c>
      <c r="J11" s="29">
        <f>+'Rate and Bill Data'!P34</f>
        <v>1221</v>
      </c>
    </row>
    <row r="12" spans="1:10" x14ac:dyDescent="0.25">
      <c r="A12" s="17">
        <f t="shared" si="4"/>
        <v>5</v>
      </c>
      <c r="B12" s="16" t="str">
        <f>+'Rate and Bill Data'!A52</f>
        <v>Lakefront</v>
      </c>
      <c r="C12" s="23">
        <f>+'Rate and Bill Data'!E52*12</f>
        <v>260.39999999999998</v>
      </c>
      <c r="D12" s="24">
        <f t="shared" si="0"/>
        <v>0.76602018829648622</v>
      </c>
      <c r="E12" s="23">
        <f>+'Rate and Bill Data'!H52*12</f>
        <v>484.32</v>
      </c>
      <c r="F12" s="24">
        <f t="shared" si="1"/>
        <v>0.70970756692263903</v>
      </c>
      <c r="G12" s="23">
        <f>+'Rate and Bill Data'!K52*12</f>
        <v>5058.4800000000005</v>
      </c>
      <c r="H12" s="24">
        <f t="shared" si="2"/>
        <v>0.81366102082184244</v>
      </c>
      <c r="I12" s="25">
        <f t="shared" si="3"/>
        <v>0.76312959201365593</v>
      </c>
      <c r="J12" s="29">
        <f>+'Rate and Bill Data'!P52</f>
        <v>9996</v>
      </c>
    </row>
    <row r="13" spans="1:10" x14ac:dyDescent="0.25">
      <c r="A13" s="17">
        <f t="shared" si="4"/>
        <v>6</v>
      </c>
      <c r="B13" s="16" t="str">
        <f>+'Rate and Bill Data'!A67</f>
        <v>Peterborough (2016)</v>
      </c>
      <c r="C13" s="23">
        <f>+'Rate and Bill Data'!E67*12</f>
        <v>267</v>
      </c>
      <c r="D13" s="24">
        <f t="shared" si="0"/>
        <v>0.78543544652519903</v>
      </c>
      <c r="E13" s="23">
        <f>+'Rate and Bill Data'!H67*12</f>
        <v>584.76</v>
      </c>
      <c r="F13" s="24">
        <f t="shared" si="1"/>
        <v>0.85688924024133295</v>
      </c>
      <c r="G13" s="23">
        <f>+'Rate and Bill Data'!K67*12</f>
        <v>5163.84</v>
      </c>
      <c r="H13" s="24">
        <f t="shared" si="2"/>
        <v>0.83060827081666078</v>
      </c>
      <c r="I13" s="25">
        <f t="shared" si="3"/>
        <v>0.82431098586106433</v>
      </c>
      <c r="J13" s="29">
        <f>+'Rate and Bill Data'!P67</f>
        <v>36058</v>
      </c>
    </row>
    <row r="14" spans="1:10" x14ac:dyDescent="0.25">
      <c r="A14" s="17">
        <f t="shared" si="4"/>
        <v>7</v>
      </c>
      <c r="B14" s="16" t="str">
        <f>+'Rate and Bill Data'!A83</f>
        <v>Westario (2016)</v>
      </c>
      <c r="C14" s="23">
        <f>+'Rate and Bill Data'!E83*12</f>
        <v>304.62</v>
      </c>
      <c r="D14" s="24">
        <f t="shared" si="0"/>
        <v>0.89610241842886196</v>
      </c>
      <c r="E14" s="23">
        <f>+'Rate and Bill Data'!H83*12</f>
        <v>563.28</v>
      </c>
      <c r="F14" s="24">
        <f t="shared" si="1"/>
        <v>0.82541311177771737</v>
      </c>
      <c r="G14" s="23">
        <f>+'Rate and Bill Data'!K83*12</f>
        <v>5315.4</v>
      </c>
      <c r="H14" s="24">
        <f t="shared" si="2"/>
        <v>0.85498683202788595</v>
      </c>
      <c r="I14" s="25">
        <f t="shared" si="3"/>
        <v>0.85883412074482168</v>
      </c>
      <c r="J14" s="29">
        <f>+'Rate and Bill Data'!P83</f>
        <v>22822</v>
      </c>
    </row>
    <row r="15" spans="1:10" x14ac:dyDescent="0.25">
      <c r="A15" s="17">
        <f t="shared" si="4"/>
        <v>8</v>
      </c>
      <c r="B15" s="16" t="str">
        <f>+'Rate and Bill Data'!A50</f>
        <v>Kingston</v>
      </c>
      <c r="C15" s="23">
        <f>+'Rate and Bill Data'!E50*12</f>
        <v>296.27999999999997</v>
      </c>
      <c r="D15" s="24">
        <f t="shared" si="0"/>
        <v>0.87156859212167026</v>
      </c>
      <c r="E15" s="23">
        <f>+'Rate and Bill Data'!H50*12</f>
        <v>537.48</v>
      </c>
      <c r="F15" s="24">
        <f t="shared" si="1"/>
        <v>0.78760658876276024</v>
      </c>
      <c r="G15" s="23">
        <f>+'Rate and Bill Data'!K50*12</f>
        <v>5011.08</v>
      </c>
      <c r="H15" s="24">
        <f t="shared" si="2"/>
        <v>0.80603668853487953</v>
      </c>
      <c r="I15" s="25">
        <f t="shared" si="3"/>
        <v>0.82173728980643668</v>
      </c>
      <c r="J15" s="29">
        <f>+'Rate and Bill Data'!P50</f>
        <v>27356</v>
      </c>
    </row>
    <row r="16" spans="1:10" x14ac:dyDescent="0.25">
      <c r="A16" s="17">
        <f t="shared" si="4"/>
        <v>9</v>
      </c>
      <c r="B16" s="16" t="str">
        <f>+'Rate and Bill Data'!A14</f>
        <v>Brantford</v>
      </c>
      <c r="C16" s="23">
        <f>+'Rate and Bill Data'!E14*12</f>
        <v>282</v>
      </c>
      <c r="D16" s="24">
        <f t="shared" si="0"/>
        <v>0.82956103340863718</v>
      </c>
      <c r="E16" s="23">
        <f>+'Rate and Bill Data'!H14*12</f>
        <v>551.28</v>
      </c>
      <c r="F16" s="24">
        <f t="shared" si="1"/>
        <v>0.80782868246843498</v>
      </c>
      <c r="G16" s="23">
        <f>+'Rate and Bill Data'!K14*12</f>
        <v>6150.48</v>
      </c>
      <c r="H16" s="24">
        <f t="shared" si="2"/>
        <v>0.98931019502781947</v>
      </c>
      <c r="I16" s="25">
        <f t="shared" si="3"/>
        <v>0.87556663696829717</v>
      </c>
      <c r="J16" s="29">
        <f>+'Rate and Bill Data'!P14</f>
        <v>38789</v>
      </c>
    </row>
    <row r="17" spans="1:10" x14ac:dyDescent="0.25">
      <c r="A17" s="17">
        <f t="shared" si="4"/>
        <v>10</v>
      </c>
      <c r="B17" s="16" t="str">
        <f>+'Rate and Bill Data'!A63</f>
        <v>Orangeville</v>
      </c>
      <c r="C17" s="23">
        <f>+'Rate and Bill Data'!E63*12</f>
        <v>314.10000000000002</v>
      </c>
      <c r="D17" s="24">
        <f t="shared" si="0"/>
        <v>0.92398978933919496</v>
      </c>
      <c r="E17" s="23">
        <f>+'Rate and Bill Data'!H63*12</f>
        <v>632.52</v>
      </c>
      <c r="F17" s="24">
        <f t="shared" si="1"/>
        <v>0.926875268892277</v>
      </c>
      <c r="G17" s="23">
        <f>+'Rate and Bill Data'!K63*12</f>
        <v>4712.5200000000004</v>
      </c>
      <c r="H17" s="24">
        <f t="shared" si="2"/>
        <v>0.7580130461805421</v>
      </c>
      <c r="I17" s="25">
        <f t="shared" si="3"/>
        <v>0.86962603480400469</v>
      </c>
      <c r="J17" s="29">
        <f>+'Rate and Bill Data'!P63</f>
        <v>11685</v>
      </c>
    </row>
    <row r="18" spans="1:10" x14ac:dyDescent="0.25">
      <c r="A18" s="17">
        <f t="shared" si="4"/>
        <v>11</v>
      </c>
      <c r="B18" s="16" t="str">
        <f>+'Rate and Bill Data'!A66</f>
        <v>Ottawa River (DRO)</v>
      </c>
      <c r="C18" s="23">
        <f>+'Rate and Bill Data'!E66*12</f>
        <v>286.74</v>
      </c>
      <c r="D18" s="24">
        <f t="shared" si="0"/>
        <v>0.84350471886380374</v>
      </c>
      <c r="E18" s="23">
        <f>+'Rate and Bill Data'!H66*12</f>
        <v>573.24</v>
      </c>
      <c r="F18" s="24">
        <f t="shared" si="1"/>
        <v>0.84000818810442179</v>
      </c>
      <c r="G18" s="23">
        <f>+'Rate and Bill Data'!K66*12</f>
        <v>5193.96</v>
      </c>
      <c r="H18" s="24">
        <f t="shared" si="2"/>
        <v>0.83545309968761694</v>
      </c>
      <c r="I18" s="25">
        <f t="shared" si="3"/>
        <v>0.83965533555194749</v>
      </c>
      <c r="J18" s="29">
        <f>+'Rate and Bill Data'!P66</f>
        <v>10820</v>
      </c>
    </row>
    <row r="19" spans="1:10" x14ac:dyDescent="0.25">
      <c r="A19" s="17">
        <f t="shared" si="4"/>
        <v>12</v>
      </c>
      <c r="B19" s="16" t="str">
        <f>+'Rate and Bill Data'!A15</f>
        <v>Burlington (Applied)</v>
      </c>
      <c r="C19" s="23">
        <f>+'Rate and Bill Data'!E15*12</f>
        <v>303.72000000000003</v>
      </c>
      <c r="D19" s="24">
        <f t="shared" si="0"/>
        <v>0.89345488321585576</v>
      </c>
      <c r="E19" s="23">
        <f>+'Rate and Bill Data'!H15*12</f>
        <v>645.59999999999991</v>
      </c>
      <c r="F19" s="24">
        <f t="shared" si="1"/>
        <v>0.94604229683939478</v>
      </c>
      <c r="G19" s="23">
        <f>+'Rate and Bill Data'!K15*12</f>
        <v>4331.28</v>
      </c>
      <c r="H19" s="24">
        <f t="shared" si="2"/>
        <v>0.69669025206489477</v>
      </c>
      <c r="I19" s="25">
        <f t="shared" si="3"/>
        <v>0.84539581070671499</v>
      </c>
      <c r="J19" s="29">
        <f>+'Rate and Bill Data'!P15</f>
        <v>66366</v>
      </c>
    </row>
    <row r="20" spans="1:10" ht="14.45" x14ac:dyDescent="0.3">
      <c r="A20" s="17">
        <f t="shared" si="4"/>
        <v>13</v>
      </c>
      <c r="B20" s="16" t="str">
        <f>+'Rate and Bill Data'!A23</f>
        <v>Entegrus (DRO)</v>
      </c>
      <c r="C20" s="23">
        <f>+'Rate and Bill Data'!E23*12</f>
        <v>298.67999999999995</v>
      </c>
      <c r="D20" s="24">
        <f t="shared" si="0"/>
        <v>0.87862868602302024</v>
      </c>
      <c r="E20" s="23">
        <f>+'Rate and Bill Data'!H23*12</f>
        <v>608.76</v>
      </c>
      <c r="F20" s="24">
        <f t="shared" si="1"/>
        <v>0.89205809885989784</v>
      </c>
      <c r="G20" s="23">
        <f>+'Rate and Bill Data'!K23*12</f>
        <v>5121.4799999999996</v>
      </c>
      <c r="H20" s="24">
        <f t="shared" si="2"/>
        <v>0.82379462702603323</v>
      </c>
      <c r="I20" s="25">
        <f t="shared" si="3"/>
        <v>0.86482713730298377</v>
      </c>
      <c r="J20" s="29">
        <f>+'Rate and Bill Data'!P23</f>
        <v>40503</v>
      </c>
    </row>
    <row r="21" spans="1:10" x14ac:dyDescent="0.25">
      <c r="A21" s="17">
        <f t="shared" si="4"/>
        <v>14</v>
      </c>
      <c r="B21" s="16" t="str">
        <f>+'Rate and Bill Data'!A18</f>
        <v>COLLUS (Applied)</v>
      </c>
      <c r="C21" s="23">
        <f>+'Rate and Bill Data'!E18*12</f>
        <v>304.74</v>
      </c>
      <c r="D21" s="24">
        <f t="shared" si="0"/>
        <v>0.89645542312392945</v>
      </c>
      <c r="E21" s="23">
        <f>+'Rate and Bill Data'!H18*12</f>
        <v>588.59999999999991</v>
      </c>
      <c r="F21" s="24">
        <f t="shared" si="1"/>
        <v>0.86251625762030315</v>
      </c>
      <c r="G21" s="23">
        <f>+'Rate and Bill Data'!K18*12</f>
        <v>5153.28</v>
      </c>
      <c r="H21" s="24">
        <f t="shared" si="2"/>
        <v>0.82890968539576781</v>
      </c>
      <c r="I21" s="25">
        <f t="shared" si="3"/>
        <v>0.86262712204666681</v>
      </c>
      <c r="J21" s="29">
        <f>+'Rate and Bill Data'!P18</f>
        <v>16426</v>
      </c>
    </row>
    <row r="22" spans="1:10" x14ac:dyDescent="0.25">
      <c r="A22" s="17">
        <f t="shared" si="4"/>
        <v>15</v>
      </c>
      <c r="B22" s="16" t="str">
        <f>+'Rate and Bill Data'!A54</f>
        <v>London (DRO)</v>
      </c>
      <c r="C22" s="23">
        <f>+'Rate and Bill Data'!E54*12</f>
        <v>305.88</v>
      </c>
      <c r="D22" s="24">
        <f t="shared" si="0"/>
        <v>0.89980896772707075</v>
      </c>
      <c r="E22" s="23">
        <f>+'Rate and Bill Data'!H54*12</f>
        <v>646.20000000000005</v>
      </c>
      <c r="F22" s="24">
        <f t="shared" si="1"/>
        <v>0.94692151830485904</v>
      </c>
      <c r="G22" s="23">
        <f>+'Rate and Bill Data'!K54*12</f>
        <v>5154.84</v>
      </c>
      <c r="H22" s="24">
        <f t="shared" si="2"/>
        <v>0.82916061278749065</v>
      </c>
      <c r="I22" s="25">
        <f t="shared" si="3"/>
        <v>0.89196369960647337</v>
      </c>
      <c r="J22" s="29">
        <f>+'Rate and Bill Data'!P54</f>
        <v>152544</v>
      </c>
    </row>
    <row r="23" spans="1:10" x14ac:dyDescent="0.25">
      <c r="A23" s="17">
        <f t="shared" si="4"/>
        <v>16</v>
      </c>
      <c r="B23" s="16" t="str">
        <f>+'Rate and Bill Data'!A30</f>
        <v>Guelph</v>
      </c>
      <c r="C23" s="23">
        <f>+'Rate and Bill Data'!E30*12</f>
        <v>356.52</v>
      </c>
      <c r="D23" s="24">
        <f t="shared" si="0"/>
        <v>1.0487769490455578</v>
      </c>
      <c r="E23" s="23">
        <f>+'Rate and Bill Data'!H30*12</f>
        <v>532.68000000000006</v>
      </c>
      <c r="F23" s="24">
        <f t="shared" si="1"/>
        <v>0.78057281703904724</v>
      </c>
      <c r="G23" s="23">
        <f>+'Rate and Bill Data'!K30*12</f>
        <v>5446.68</v>
      </c>
      <c r="H23" s="24">
        <f t="shared" si="2"/>
        <v>0.87610333714671451</v>
      </c>
      <c r="I23" s="25">
        <f t="shared" si="3"/>
        <v>0.90181770107710657</v>
      </c>
      <c r="J23" s="29">
        <f>+'Rate and Bill Data'!P30</f>
        <v>52963</v>
      </c>
    </row>
    <row r="24" spans="1:10" x14ac:dyDescent="0.25">
      <c r="A24" s="17">
        <f t="shared" si="4"/>
        <v>17</v>
      </c>
      <c r="B24" s="16" t="str">
        <f>+'Rate and Bill Data'!A36</f>
        <v>Hydro One Brampton</v>
      </c>
      <c r="C24" s="23">
        <f>+'Rate and Bill Data'!E36*12</f>
        <v>283.68</v>
      </c>
      <c r="D24" s="24">
        <f t="shared" si="0"/>
        <v>0.83450309913958232</v>
      </c>
      <c r="E24" s="23">
        <f>+'Rate and Bill Data'!H36*12</f>
        <v>702.24</v>
      </c>
      <c r="F24" s="24">
        <f t="shared" si="1"/>
        <v>1.029040803179208</v>
      </c>
      <c r="G24" s="23">
        <f>+'Rate and Bill Data'!K36*12</f>
        <v>4910.3999999999996</v>
      </c>
      <c r="H24" s="24">
        <f t="shared" si="2"/>
        <v>0.78984222071522958</v>
      </c>
      <c r="I24" s="25">
        <f t="shared" si="3"/>
        <v>0.88446204101133985</v>
      </c>
      <c r="J24" s="29">
        <f>+'Rate and Bill Data'!P36</f>
        <v>149618</v>
      </c>
    </row>
    <row r="25" spans="1:10" x14ac:dyDescent="0.25">
      <c r="A25" s="47">
        <f t="shared" si="4"/>
        <v>18</v>
      </c>
      <c r="B25" s="16" t="str">
        <f>+'Rate and Bill Data'!A56</f>
        <v>Milton (Applied)</v>
      </c>
      <c r="C25" s="23">
        <f>+'Rate and Bill Data'!E56*12</f>
        <v>327.48</v>
      </c>
      <c r="D25" s="24">
        <f t="shared" si="0"/>
        <v>0.96334981283922172</v>
      </c>
      <c r="E25" s="23">
        <f>+'Rate and Bill Data'!H56*12</f>
        <v>626.52</v>
      </c>
      <c r="F25" s="24">
        <f t="shared" si="1"/>
        <v>0.91808305423763581</v>
      </c>
      <c r="G25" s="23">
        <f>+'Rate and Bill Data'!K56*12</f>
        <v>4628.16</v>
      </c>
      <c r="H25" s="24">
        <f t="shared" si="2"/>
        <v>0.74444366492045388</v>
      </c>
      <c r="I25" s="25">
        <f t="shared" si="3"/>
        <v>0.87529217733243714</v>
      </c>
      <c r="J25" s="29">
        <f>+'Rate and Bill Data'!P56</f>
        <v>35111</v>
      </c>
    </row>
    <row r="26" spans="1:10" x14ac:dyDescent="0.25">
      <c r="A26" s="17">
        <f t="shared" si="4"/>
        <v>19</v>
      </c>
      <c r="B26" s="16" t="str">
        <f>+'Rate and Bill Data'!A77</f>
        <v>Veridian (Applied)</v>
      </c>
      <c r="C26" s="23">
        <f>+'Rate and Bill Data'!E77*12</f>
        <v>311.93999999999994</v>
      </c>
      <c r="D26" s="24">
        <f t="shared" si="0"/>
        <v>0.91763570482797963</v>
      </c>
      <c r="E26" s="23">
        <f>+'Rate and Bill Data'!H77*12</f>
        <v>611.16</v>
      </c>
      <c r="F26" s="24">
        <f t="shared" si="1"/>
        <v>0.89557498472175423</v>
      </c>
      <c r="G26" s="23">
        <f>+'Rate and Bill Data'!K77*12</f>
        <v>5303.7599999999993</v>
      </c>
      <c r="H26" s="24">
        <f t="shared" si="2"/>
        <v>0.85311452764349249</v>
      </c>
      <c r="I26" s="25">
        <f t="shared" si="3"/>
        <v>0.88877507239774223</v>
      </c>
      <c r="J26" s="29">
        <f>+'Rate and Bill Data'!P77</f>
        <v>117494</v>
      </c>
    </row>
    <row r="27" spans="1:10" x14ac:dyDescent="0.25">
      <c r="A27" s="17">
        <f t="shared" si="4"/>
        <v>20</v>
      </c>
      <c r="B27" s="16" t="str">
        <f>+'Rate and Bill Data'!A26</f>
        <v>Essex (Applied)</v>
      </c>
      <c r="C27" s="23">
        <f>+'Rate and Bill Data'!E26*12</f>
        <v>315.3</v>
      </c>
      <c r="D27" s="24">
        <f t="shared" si="0"/>
        <v>0.92751983628986989</v>
      </c>
      <c r="E27" s="23">
        <f>+'Rate and Bill Data'!H26*12</f>
        <v>710.40000000000009</v>
      </c>
      <c r="F27" s="24">
        <f t="shared" si="1"/>
        <v>1.0409982151095201</v>
      </c>
      <c r="G27" s="23">
        <f>+'Rate and Bill Data'!K26*12</f>
        <v>5455.2000000000007</v>
      </c>
      <c r="H27" s="24">
        <f t="shared" si="2"/>
        <v>0.8774737867476623</v>
      </c>
      <c r="I27" s="25">
        <f t="shared" si="3"/>
        <v>0.94866394604901749</v>
      </c>
      <c r="J27" s="29">
        <f>+'Rate and Bill Data'!P26</f>
        <v>28640</v>
      </c>
    </row>
    <row r="28" spans="1:10" x14ac:dyDescent="0.25">
      <c r="A28" s="17">
        <f t="shared" si="4"/>
        <v>21</v>
      </c>
      <c r="B28" s="16" t="str">
        <f>+'Rate and Bill Data'!A31</f>
        <v>Halton Hills (DRO)</v>
      </c>
      <c r="C28" s="23">
        <f>+'Rate and Bill Data'!E31*12</f>
        <v>304.56000000000006</v>
      </c>
      <c r="D28" s="24">
        <f t="shared" si="0"/>
        <v>0.89592591608132832</v>
      </c>
      <c r="E28" s="23">
        <f>+'Rate and Bill Data'!H31*12</f>
        <v>578.76</v>
      </c>
      <c r="F28" s="24">
        <f t="shared" si="1"/>
        <v>0.84809702558669176</v>
      </c>
      <c r="G28" s="23">
        <f>+'Rate and Bill Data'!K31*12</f>
        <v>5604.3600000000006</v>
      </c>
      <c r="H28" s="24">
        <f t="shared" si="2"/>
        <v>0.90146630581777543</v>
      </c>
      <c r="I28" s="25">
        <f t="shared" si="3"/>
        <v>0.88182974916193191</v>
      </c>
      <c r="J28" s="29">
        <f>+'Rate and Bill Data'!P31</f>
        <v>21534</v>
      </c>
    </row>
    <row r="29" spans="1:10" x14ac:dyDescent="0.25">
      <c r="A29" s="17">
        <f t="shared" si="4"/>
        <v>22</v>
      </c>
      <c r="B29" s="16" t="str">
        <f>+'Rate and Bill Data'!A75</f>
        <v>Tillsonburg (DRO)</v>
      </c>
      <c r="C29" s="23">
        <f>+'Rate and Bill Data'!E75*12</f>
        <v>343.92</v>
      </c>
      <c r="D29" s="24">
        <f t="shared" si="0"/>
        <v>1.0117114560634699</v>
      </c>
      <c r="E29" s="23">
        <f>+'Rate and Bill Data'!H75*12</f>
        <v>757.92</v>
      </c>
      <c r="F29" s="24">
        <f t="shared" si="1"/>
        <v>1.1106325551742784</v>
      </c>
      <c r="G29" s="23">
        <f>+'Rate and Bill Data'!K75*12</f>
        <v>4133.16</v>
      </c>
      <c r="H29" s="24">
        <f t="shared" si="2"/>
        <v>0.66482247331609612</v>
      </c>
      <c r="I29" s="25">
        <f t="shared" si="3"/>
        <v>0.92905549485128158</v>
      </c>
      <c r="J29" s="29">
        <f>+'Rate and Bill Data'!P75</f>
        <v>6935</v>
      </c>
    </row>
    <row r="30" spans="1:10" x14ac:dyDescent="0.25">
      <c r="A30" s="17">
        <f t="shared" si="4"/>
        <v>23</v>
      </c>
      <c r="B30" s="16" t="str">
        <f>+'Rate and Bill Data'!A21</f>
        <v>Energy Plus (Applied)</v>
      </c>
      <c r="C30" s="23">
        <f>+'Rate and Bill Data'!E21*12</f>
        <v>299.82</v>
      </c>
      <c r="D30" s="24">
        <f t="shared" si="0"/>
        <v>0.88198223062616177</v>
      </c>
      <c r="E30" s="23">
        <f>+'Rate and Bill Data'!H21*12</f>
        <v>516.59999999999991</v>
      </c>
      <c r="F30" s="24">
        <f t="shared" si="1"/>
        <v>0.75700968176460859</v>
      </c>
      <c r="G30" s="23">
        <f>+'Rate and Bill Data'!K21*12</f>
        <v>6391.4400000000005</v>
      </c>
      <c r="H30" s="24">
        <f t="shared" si="2"/>
        <v>1.0280688259954682</v>
      </c>
      <c r="I30" s="25">
        <f t="shared" si="3"/>
        <v>0.88902024612874619</v>
      </c>
      <c r="J30" s="29">
        <f>+'Rate and Bill Data'!P21</f>
        <v>52684</v>
      </c>
    </row>
    <row r="31" spans="1:10" x14ac:dyDescent="0.25">
      <c r="A31" s="17">
        <f t="shared" si="4"/>
        <v>24</v>
      </c>
      <c r="B31" s="16" t="str">
        <f>+'Rate and Bill Data'!A71</f>
        <v>Rideau St. Lawr. (Applied)</v>
      </c>
      <c r="C31" s="23">
        <f>+'Rate and Bill Data'!E71*12</f>
        <v>330.12</v>
      </c>
      <c r="D31" s="24">
        <f t="shared" si="0"/>
        <v>0.9711159161307068</v>
      </c>
      <c r="E31" s="23">
        <f>+'Rate and Bill Data'!H71*12</f>
        <v>656.64</v>
      </c>
      <c r="F31" s="24">
        <f t="shared" si="1"/>
        <v>0.9622199718039347</v>
      </c>
      <c r="G31" s="23">
        <f>+'Rate and Bill Data'!K71*12</f>
        <v>6404.4000000000005</v>
      </c>
      <c r="H31" s="24">
        <f t="shared" si="2"/>
        <v>1.0301534535574732</v>
      </c>
      <c r="I31" s="25">
        <f t="shared" si="3"/>
        <v>0.98782978049737158</v>
      </c>
      <c r="J31" s="29">
        <f>+'Rate and Bill Data'!P71</f>
        <v>5858</v>
      </c>
    </row>
    <row r="32" spans="1:10" ht="14.45" x14ac:dyDescent="0.3">
      <c r="A32" s="17">
        <f t="shared" si="4"/>
        <v>25</v>
      </c>
      <c r="B32" s="16" t="str">
        <f>+'Rate and Bill Data'!A65</f>
        <v>Oshawa</v>
      </c>
      <c r="C32" s="23">
        <f>+'Rate and Bill Data'!E65*12</f>
        <v>268.74</v>
      </c>
      <c r="D32" s="24">
        <f t="shared" si="0"/>
        <v>0.79055401460367791</v>
      </c>
      <c r="E32" s="23">
        <f>+'Rate and Bill Data'!H65*12</f>
        <v>581.28</v>
      </c>
      <c r="F32" s="24">
        <f t="shared" si="1"/>
        <v>0.85178975574164095</v>
      </c>
      <c r="G32" s="23">
        <f>+'Rate and Bill Data'!K65*12</f>
        <v>6122.8799999999992</v>
      </c>
      <c r="H32" s="24">
        <f t="shared" si="2"/>
        <v>0.98487071040503105</v>
      </c>
      <c r="I32" s="25">
        <f t="shared" si="3"/>
        <v>0.87573816025011675</v>
      </c>
      <c r="J32" s="29">
        <f>+'Rate and Bill Data'!P65</f>
        <v>54731</v>
      </c>
    </row>
    <row r="33" spans="1:10" ht="14.45" x14ac:dyDescent="0.3">
      <c r="A33" s="17">
        <f t="shared" si="4"/>
        <v>26</v>
      </c>
      <c r="B33" s="16" t="str">
        <f>+'Rate and Bill Data'!A25</f>
        <v>Erie Thames (DRO)</v>
      </c>
      <c r="C33" s="23">
        <f>+'Rate and Bill Data'!E25*12</f>
        <v>363.24</v>
      </c>
      <c r="D33" s="24">
        <f t="shared" si="0"/>
        <v>1.0685452119693382</v>
      </c>
      <c r="E33" s="23">
        <f>+'Rate and Bill Data'!H25*12</f>
        <v>615.48</v>
      </c>
      <c r="F33" s="24">
        <f t="shared" si="1"/>
        <v>0.901905379273096</v>
      </c>
      <c r="G33" s="23">
        <f>+'Rate and Bill Data'!K25*12</f>
        <v>5257.7999999999993</v>
      </c>
      <c r="H33" s="24">
        <f t="shared" si="2"/>
        <v>0.84572182064119694</v>
      </c>
      <c r="I33" s="25">
        <f t="shared" si="3"/>
        <v>0.93872413729454374</v>
      </c>
      <c r="J33" s="29">
        <f>+'Rate and Bill Data'!P25</f>
        <v>18265</v>
      </c>
    </row>
    <row r="34" spans="1:10" ht="14.45" x14ac:dyDescent="0.3">
      <c r="A34" s="17">
        <f t="shared" si="4"/>
        <v>27</v>
      </c>
      <c r="B34" s="16" t="str">
        <f>+'Rate and Bill Data'!A70</f>
        <v>Renfrew</v>
      </c>
      <c r="C34" s="23">
        <f>+'Rate and Bill Data'!E70*12</f>
        <v>311.10000000000002</v>
      </c>
      <c r="D34" s="24">
        <f t="shared" si="0"/>
        <v>0.91516467196250728</v>
      </c>
      <c r="E34" s="23">
        <f>+'Rate and Bill Data'!H70*12</f>
        <v>742.19999999999993</v>
      </c>
      <c r="F34" s="24">
        <f t="shared" si="1"/>
        <v>1.0875969527791183</v>
      </c>
      <c r="G34" s="23">
        <f>+'Rate and Bill Data'!K70*12</f>
        <v>5707.5599999999995</v>
      </c>
      <c r="H34" s="24">
        <f t="shared" si="2"/>
        <v>0.91806611788559289</v>
      </c>
      <c r="I34" s="25">
        <f t="shared" si="3"/>
        <v>0.97360924754240619</v>
      </c>
      <c r="J34" s="29">
        <f>+'Rate and Bill Data'!P70</f>
        <v>4246</v>
      </c>
    </row>
    <row r="35" spans="1:10" ht="14.45" x14ac:dyDescent="0.3">
      <c r="A35" s="17">
        <f t="shared" si="4"/>
        <v>28</v>
      </c>
      <c r="B35" s="16" t="str">
        <f>+'Rate and Bill Data'!A20</f>
        <v>Embrun</v>
      </c>
      <c r="C35" s="23">
        <f>+'Rate and Bill Data'!E20*12</f>
        <v>327.24</v>
      </c>
      <c r="D35" s="24">
        <f t="shared" si="0"/>
        <v>0.96264380344908673</v>
      </c>
      <c r="E35" s="23">
        <f>+'Rate and Bill Data'!H20*12</f>
        <v>570</v>
      </c>
      <c r="F35" s="24">
        <f t="shared" si="1"/>
        <v>0.83526039219091552</v>
      </c>
      <c r="G35" s="23">
        <f>+'Rate and Bill Data'!K20*12</f>
        <v>6828.24</v>
      </c>
      <c r="H35" s="24">
        <f t="shared" si="2"/>
        <v>1.0983284956778592</v>
      </c>
      <c r="I35" s="25">
        <f t="shared" si="3"/>
        <v>0.96541089710595385</v>
      </c>
      <c r="J35" s="29">
        <f>+'Rate and Bill Data'!P20</f>
        <v>1985</v>
      </c>
    </row>
    <row r="36" spans="1:10" ht="14.45" x14ac:dyDescent="0.3">
      <c r="A36" s="17">
        <f t="shared" si="4"/>
        <v>29</v>
      </c>
      <c r="B36" s="16" t="str">
        <f>+'Rate and Bill Data'!A72</f>
        <v>St.Thomas</v>
      </c>
      <c r="C36" s="23">
        <f>+'Rate and Bill Data'!E72*12</f>
        <v>323.03999999999996</v>
      </c>
      <c r="D36" s="24">
        <f t="shared" si="0"/>
        <v>0.9502886391217239</v>
      </c>
      <c r="E36" s="23">
        <f>+'Rate and Bill Data'!H72*12</f>
        <v>681.6</v>
      </c>
      <c r="F36" s="24">
        <f t="shared" si="1"/>
        <v>0.99879558476724217</v>
      </c>
      <c r="G36" s="23">
        <f>+'Rate and Bill Data'!K72*12</f>
        <v>5193.84</v>
      </c>
      <c r="H36" s="24">
        <f t="shared" si="2"/>
        <v>0.83543379758056135</v>
      </c>
      <c r="I36" s="25">
        <f t="shared" si="3"/>
        <v>0.92817267382317581</v>
      </c>
      <c r="J36" s="29">
        <f>+'Rate and Bill Data'!P72</f>
        <v>16918</v>
      </c>
    </row>
    <row r="37" spans="1:10" ht="14.45" x14ac:dyDescent="0.3">
      <c r="A37" s="17">
        <f t="shared" si="4"/>
        <v>30</v>
      </c>
      <c r="B37" s="16" t="str">
        <f>+'Rate and Bill Data'!A82</f>
        <v>WestCoast Huron</v>
      </c>
      <c r="C37" s="23">
        <f>+'Rate and Bill Data'!E82*12</f>
        <v>412.19999999999993</v>
      </c>
      <c r="D37" s="24">
        <f t="shared" si="0"/>
        <v>1.2125711275568802</v>
      </c>
      <c r="E37" s="23">
        <f>+'Rate and Bill Data'!H82*12</f>
        <v>650.04</v>
      </c>
      <c r="F37" s="24">
        <f t="shared" si="1"/>
        <v>0.95254853568382936</v>
      </c>
      <c r="G37" s="23">
        <f>+'Rate and Bill Data'!K82*12</f>
        <v>4742.28</v>
      </c>
      <c r="H37" s="24">
        <f t="shared" si="2"/>
        <v>0.76279996873033129</v>
      </c>
      <c r="I37" s="25">
        <f t="shared" si="3"/>
        <v>0.9759732106570137</v>
      </c>
      <c r="J37" s="29">
        <f>+'Rate and Bill Data'!P82</f>
        <v>3797</v>
      </c>
    </row>
    <row r="38" spans="1:10" ht="14.45" x14ac:dyDescent="0.3">
      <c r="A38" s="17">
        <f>+A37+1</f>
        <v>31</v>
      </c>
      <c r="B38" s="16" t="str">
        <f>+'Rate and Bill Data'!A59</f>
        <v>Niagara-on-the-Lake (DRO)</v>
      </c>
      <c r="C38" s="23">
        <f>+'Rate and Bill Data'!E59*12</f>
        <v>347.64</v>
      </c>
      <c r="D38" s="24">
        <f t="shared" si="0"/>
        <v>1.0226546016105624</v>
      </c>
      <c r="E38" s="23">
        <f>+'Rate and Bill Data'!H59*12</f>
        <v>749.5200000000001</v>
      </c>
      <c r="F38" s="24">
        <f t="shared" si="1"/>
        <v>1.0983234546577809</v>
      </c>
      <c r="G38" s="23">
        <f>+'Rate and Bill Data'!K59*12</f>
        <v>5993.0399999999991</v>
      </c>
      <c r="H38" s="24">
        <f t="shared" si="2"/>
        <v>0.96398583057086973</v>
      </c>
      <c r="I38" s="25">
        <f t="shared" si="3"/>
        <v>1.028321295613071</v>
      </c>
      <c r="J38" s="29">
        <f>+'Rate and Bill Data'!P59</f>
        <v>8672</v>
      </c>
    </row>
    <row r="39" spans="1:10" ht="14.45" x14ac:dyDescent="0.3">
      <c r="A39" s="17">
        <f t="shared" si="4"/>
        <v>32</v>
      </c>
      <c r="B39" s="16" t="str">
        <f>+'Rate and Bill Data'!A78</f>
        <v>Wasaga (Applied)</v>
      </c>
      <c r="C39" s="23">
        <f>+'Rate and Bill Data'!E78*12</f>
        <v>283.62</v>
      </c>
      <c r="D39" s="24">
        <f t="shared" si="0"/>
        <v>0.83432659679204857</v>
      </c>
      <c r="E39" s="23">
        <f>+'Rate and Bill Data'!H78*12</f>
        <v>545.28</v>
      </c>
      <c r="F39" s="24">
        <f t="shared" si="1"/>
        <v>0.79903646781379367</v>
      </c>
      <c r="G39" s="23">
        <f>+'Rate and Bill Data'!K78*12</f>
        <v>6643.92</v>
      </c>
      <c r="H39" s="24">
        <f t="shared" si="2"/>
        <v>1.0686804592404546</v>
      </c>
      <c r="I39" s="25">
        <f t="shared" si="3"/>
        <v>0.90068117461543229</v>
      </c>
      <c r="J39" s="29">
        <f>+'Rate and Bill Data'!P78</f>
        <v>12985</v>
      </c>
    </row>
    <row r="40" spans="1:10" ht="14.45" x14ac:dyDescent="0.3">
      <c r="A40" s="17">
        <f t="shared" si="4"/>
        <v>33</v>
      </c>
      <c r="B40" s="16" t="str">
        <f>+'Rate and Bill Data'!A49</f>
        <v>Kenora (DRO)</v>
      </c>
      <c r="C40" s="23">
        <f>+'Rate and Bill Data'!E49*12</f>
        <v>367.8</v>
      </c>
      <c r="D40" s="24">
        <f t="shared" ref="D40:D70" si="5">+C40/$C$72</f>
        <v>1.0819593903819034</v>
      </c>
      <c r="E40" s="23">
        <f>+'Rate and Bill Data'!H49*12</f>
        <v>619.43999999999994</v>
      </c>
      <c r="F40" s="24">
        <f t="shared" ref="F40:F68" si="6">+E40/$E$72</f>
        <v>0.90770824094515912</v>
      </c>
      <c r="G40" s="23">
        <f>+'Rate and Bill Data'!K49*12</f>
        <v>8587.5600000000013</v>
      </c>
      <c r="H40" s="24">
        <f t="shared" ref="H40:H70" si="7">+G40/$G$72</f>
        <v>1.3813166872200386</v>
      </c>
      <c r="I40" s="25">
        <f t="shared" ref="I40:I68" si="8">+(D40+F40+H40)/3</f>
        <v>1.1236614395157003</v>
      </c>
      <c r="J40" s="29">
        <f>+'Rate and Bill Data'!P49</f>
        <v>5558</v>
      </c>
    </row>
    <row r="41" spans="1:10" ht="14.45" x14ac:dyDescent="0.3">
      <c r="A41" s="17">
        <f t="shared" si="4"/>
        <v>34</v>
      </c>
      <c r="B41" s="36" t="str">
        <f>+'Rate and Bill Data'!A80</f>
        <v>Welland (Applied)</v>
      </c>
      <c r="C41" s="37">
        <f>+'Rate and Bill Data'!E80*12</f>
        <v>343.44</v>
      </c>
      <c r="D41" s="38">
        <f t="shared" si="5"/>
        <v>1.0102994372831999</v>
      </c>
      <c r="E41" s="37">
        <f>+'Rate and Bill Data'!H80*12</f>
        <v>608.52</v>
      </c>
      <c r="F41" s="38">
        <f t="shared" si="6"/>
        <v>0.89170641027371211</v>
      </c>
      <c r="G41" s="37">
        <f>+'Rate and Bill Data'!K80*12</f>
        <v>7579.92</v>
      </c>
      <c r="H41" s="38">
        <f t="shared" si="7"/>
        <v>1.2192368942741494</v>
      </c>
      <c r="I41" s="41">
        <f t="shared" si="8"/>
        <v>1.0404142472770206</v>
      </c>
      <c r="J41" s="39">
        <f>+'Rate and Bill Data'!P80</f>
        <v>22470</v>
      </c>
    </row>
    <row r="42" spans="1:10" ht="14.45" x14ac:dyDescent="0.3">
      <c r="A42" s="17">
        <f t="shared" si="4"/>
        <v>35</v>
      </c>
      <c r="B42" s="16" t="str">
        <f>+'Rate and Bill Data'!A55</f>
        <v>Midland (DRO)</v>
      </c>
      <c r="C42" s="23">
        <f>+'Rate and Bill Data'!E55*12</f>
        <v>374.70000000000005</v>
      </c>
      <c r="D42" s="24">
        <f t="shared" si="5"/>
        <v>1.1022571603482851</v>
      </c>
      <c r="E42" s="23">
        <f>+'Rate and Bill Data'!H55*12</f>
        <v>672.24</v>
      </c>
      <c r="F42" s="24">
        <f t="shared" si="6"/>
        <v>0.9850797299060019</v>
      </c>
      <c r="G42" s="23">
        <f>+'Rate and Bill Data'!K55*12</f>
        <v>4676.88</v>
      </c>
      <c r="H42" s="24">
        <f t="shared" si="7"/>
        <v>0.75228032038502834</v>
      </c>
      <c r="I42" s="25">
        <f t="shared" si="8"/>
        <v>0.94653907021310513</v>
      </c>
      <c r="J42" s="29">
        <f>+'Rate and Bill Data'!P55</f>
        <v>7035</v>
      </c>
    </row>
    <row r="43" spans="1:10" ht="14.45" x14ac:dyDescent="0.3">
      <c r="A43" s="17">
        <f t="shared" si="4"/>
        <v>36</v>
      </c>
      <c r="B43" s="16" t="str">
        <f>+'Rate and Bill Data'!A27</f>
        <v>Festival</v>
      </c>
      <c r="C43" s="23">
        <f>+'Rate and Bill Data'!E27*12</f>
        <v>342</v>
      </c>
      <c r="D43" s="24">
        <f t="shared" si="5"/>
        <v>1.0060633809423898</v>
      </c>
      <c r="E43" s="23">
        <f>+'Rate and Bill Data'!H27*12</f>
        <v>756.24</v>
      </c>
      <c r="F43" s="24">
        <f t="shared" si="6"/>
        <v>1.1081707350709789</v>
      </c>
      <c r="G43" s="23">
        <f>+'Rate and Bill Data'!K27*12</f>
        <v>5856.12</v>
      </c>
      <c r="H43" s="24">
        <f t="shared" si="7"/>
        <v>0.94196212642042809</v>
      </c>
      <c r="I43" s="25">
        <f t="shared" si="8"/>
        <v>1.0187320808112654</v>
      </c>
      <c r="J43" s="29">
        <f>+'Rate and Bill Data'!P27</f>
        <v>20362</v>
      </c>
    </row>
    <row r="44" spans="1:10" ht="14.45" x14ac:dyDescent="0.3">
      <c r="A44" s="17">
        <f t="shared" si="4"/>
        <v>37</v>
      </c>
      <c r="B44" s="16" t="str">
        <f>+'Rate and Bill Data'!A60</f>
        <v>North Bay (DRO)</v>
      </c>
      <c r="C44" s="23">
        <f>+'Rate and Bill Data'!E60*12</f>
        <v>331.74</v>
      </c>
      <c r="D44" s="24">
        <f t="shared" si="5"/>
        <v>0.97588147951411819</v>
      </c>
      <c r="E44" s="23">
        <f>+'Rate and Bill Data'!H60*12</f>
        <v>732.84</v>
      </c>
      <c r="F44" s="24">
        <f t="shared" si="6"/>
        <v>1.0738810979178781</v>
      </c>
      <c r="G44" s="23">
        <f>+'Rate and Bill Data'!K60*12</f>
        <v>6694.5599999999995</v>
      </c>
      <c r="H44" s="24">
        <f t="shared" si="7"/>
        <v>1.0768259484179186</v>
      </c>
      <c r="I44" s="25">
        <f t="shared" si="8"/>
        <v>1.0421961752833049</v>
      </c>
      <c r="J44" s="29">
        <f>+'Rate and Bill Data'!P60</f>
        <v>23975</v>
      </c>
    </row>
    <row r="45" spans="1:10" ht="14.45" x14ac:dyDescent="0.3">
      <c r="A45" s="17">
        <f t="shared" si="4"/>
        <v>38</v>
      </c>
      <c r="B45" s="16" t="str">
        <f>+'Rate and Bill Data'!A29</f>
        <v>Grimsby</v>
      </c>
      <c r="C45" s="23">
        <f>+'Rate and Bill Data'!E29*12</f>
        <v>329.70000000000005</v>
      </c>
      <c r="D45" s="24">
        <f t="shared" si="5"/>
        <v>0.96988039969797069</v>
      </c>
      <c r="E45" s="23">
        <f>+'Rate and Bill Data'!H29*12</f>
        <v>753</v>
      </c>
      <c r="F45" s="24">
        <f t="shared" si="6"/>
        <v>1.1034229391574726</v>
      </c>
      <c r="G45" s="23">
        <f>+'Rate and Bill Data'!K29*12</f>
        <v>6105.6</v>
      </c>
      <c r="H45" s="24">
        <f t="shared" si="7"/>
        <v>0.98209120698902452</v>
      </c>
      <c r="I45" s="25">
        <f t="shared" si="8"/>
        <v>1.0184648486148227</v>
      </c>
      <c r="J45" s="29">
        <f>+'Rate and Bill Data'!P29</f>
        <v>11038</v>
      </c>
    </row>
    <row r="46" spans="1:10" ht="14.45" x14ac:dyDescent="0.3">
      <c r="A46" s="17">
        <f t="shared" si="4"/>
        <v>39</v>
      </c>
      <c r="B46" s="16" t="str">
        <f>+'Rate and Bill Data'!A17</f>
        <v>Centre Wellington (Applied)</v>
      </c>
      <c r="C46" s="23">
        <f>+'Rate and Bill Data'!E17*12</f>
        <v>319.32</v>
      </c>
      <c r="D46" s="24">
        <f t="shared" si="5"/>
        <v>0.93934549357463126</v>
      </c>
      <c r="E46" s="23">
        <f>+'Rate and Bill Data'!H17*12</f>
        <v>682.56</v>
      </c>
      <c r="F46" s="24">
        <f t="shared" si="6"/>
        <v>1.0002023391119848</v>
      </c>
      <c r="G46" s="23">
        <f>+'Rate and Bill Data'!K17*12</f>
        <v>6508.7999999999993</v>
      </c>
      <c r="H46" s="24">
        <f t="shared" si="7"/>
        <v>1.0469462866958468</v>
      </c>
      <c r="I46" s="25">
        <f t="shared" si="8"/>
        <v>0.99549803979415419</v>
      </c>
      <c r="J46" s="29">
        <f>+'Rate and Bill Data'!P17</f>
        <v>6729</v>
      </c>
    </row>
    <row r="47" spans="1:10" ht="14.45" x14ac:dyDescent="0.3">
      <c r="A47" s="17">
        <f t="shared" si="4"/>
        <v>40</v>
      </c>
      <c r="B47" s="16" t="str">
        <f>+'Rate and Bill Data'!A74</f>
        <v>Thunder Bay</v>
      </c>
      <c r="C47" s="23">
        <f>+'Rate and Bill Data'!E74*12</f>
        <v>309.06</v>
      </c>
      <c r="D47" s="24">
        <f t="shared" si="5"/>
        <v>0.90916359214635967</v>
      </c>
      <c r="E47" s="23">
        <f>+'Rate and Bill Data'!H74*12</f>
        <v>774</v>
      </c>
      <c r="F47" s="24">
        <f t="shared" si="6"/>
        <v>1.1341956904487169</v>
      </c>
      <c r="G47" s="23">
        <f>+'Rate and Bill Data'!K74*12</f>
        <v>6541.08</v>
      </c>
      <c r="H47" s="24">
        <f t="shared" si="7"/>
        <v>1.0521385534938037</v>
      </c>
      <c r="I47" s="25">
        <f t="shared" si="8"/>
        <v>1.0318326120296268</v>
      </c>
      <c r="J47" s="29">
        <f>+'Rate and Bill Data'!P74</f>
        <v>50482</v>
      </c>
    </row>
    <row r="48" spans="1:10" ht="14.45" x14ac:dyDescent="0.3">
      <c r="A48" s="17">
        <f>+A47+1</f>
        <v>41</v>
      </c>
      <c r="B48" s="16" t="str">
        <f>+'Rate and Bill Data'!A51</f>
        <v>Kitchener-Wilmot</v>
      </c>
      <c r="C48" s="23">
        <f>+'Rate and Bill Data'!E51*12</f>
        <v>275.28000000000003</v>
      </c>
      <c r="D48" s="24">
        <f t="shared" si="5"/>
        <v>0.80979277048485698</v>
      </c>
      <c r="E48" s="23">
        <f>+'Rate and Bill Data'!H51*12</f>
        <v>637.31999999999994</v>
      </c>
      <c r="F48" s="24">
        <f t="shared" si="6"/>
        <v>0.93390904061598989</v>
      </c>
      <c r="G48" s="23">
        <f>+'Rate and Bill Data'!K51*12</f>
        <v>7728.7200000000012</v>
      </c>
      <c r="H48" s="24">
        <f t="shared" si="7"/>
        <v>1.243171507023096</v>
      </c>
      <c r="I48" s="25">
        <f t="shared" si="8"/>
        <v>0.99562443937464762</v>
      </c>
      <c r="J48" s="29">
        <f>+'Rate and Bill Data'!P51</f>
        <v>91143</v>
      </c>
    </row>
    <row r="49" spans="1:10" ht="14.45" x14ac:dyDescent="0.3">
      <c r="A49" s="17">
        <f t="shared" si="4"/>
        <v>42</v>
      </c>
      <c r="B49" s="16" t="str">
        <f>+'Rate and Bill Data'!A33</f>
        <v>Horizon</v>
      </c>
      <c r="C49" s="23">
        <f>+'Rate and Bill Data'!E33*12</f>
        <v>328.98</v>
      </c>
      <c r="D49" s="24">
        <f t="shared" si="5"/>
        <v>0.96776237152756561</v>
      </c>
      <c r="E49" s="23">
        <f>+'Rate and Bill Data'!H33*12</f>
        <v>753.84</v>
      </c>
      <c r="F49" s="24">
        <f t="shared" si="6"/>
        <v>1.1046538492091225</v>
      </c>
      <c r="G49" s="23">
        <f>+'Rate and Bill Data'!K33*12</f>
        <v>7609.68</v>
      </c>
      <c r="H49" s="24">
        <f t="shared" si="7"/>
        <v>1.2240238168239388</v>
      </c>
      <c r="I49" s="25">
        <f t="shared" si="8"/>
        <v>1.0988133458535423</v>
      </c>
      <c r="J49" s="29">
        <f>+'Rate and Bill Data'!P33</f>
        <v>240076</v>
      </c>
    </row>
    <row r="50" spans="1:10" ht="14.45" x14ac:dyDescent="0.3">
      <c r="A50" s="17">
        <f t="shared" si="4"/>
        <v>43</v>
      </c>
      <c r="B50" s="16" t="str">
        <f>+'Rate and Bill Data'!A61</f>
        <v>Northern Ontario Wires (Applied)</v>
      </c>
      <c r="C50" s="23">
        <f>+'Rate and Bill Data'!E61*12</f>
        <v>467.70000000000005</v>
      </c>
      <c r="D50" s="24">
        <f t="shared" si="5"/>
        <v>1.3758357990256016</v>
      </c>
      <c r="E50" s="23">
        <f>+'Rate and Bill Data'!H61*12</f>
        <v>845.87999999999988</v>
      </c>
      <c r="F50" s="24">
        <f t="shared" si="6"/>
        <v>1.2395264220113185</v>
      </c>
      <c r="G50" s="23">
        <f>+'Rate and Bill Data'!K61*12</f>
        <v>3723.12</v>
      </c>
      <c r="H50" s="24">
        <f t="shared" si="7"/>
        <v>0.59886717350710439</v>
      </c>
      <c r="I50" s="25">
        <f t="shared" si="8"/>
        <v>1.0714097981813415</v>
      </c>
      <c r="J50" s="29">
        <f>+'Rate and Bill Data'!P61</f>
        <v>6062</v>
      </c>
    </row>
    <row r="51" spans="1:10" ht="14.45" x14ac:dyDescent="0.3">
      <c r="A51" s="17">
        <f t="shared" si="4"/>
        <v>44</v>
      </c>
      <c r="B51" s="16" t="str">
        <f>+'Rate and Bill Data'!A73</f>
        <v>Sioux Lookout</v>
      </c>
      <c r="C51" s="23">
        <f>+'Rate and Bill Data'!E73*12</f>
        <v>480.72</v>
      </c>
      <c r="D51" s="24">
        <f t="shared" si="5"/>
        <v>1.414136808440426</v>
      </c>
      <c r="E51" s="23">
        <f>+'Rate and Bill Data'!H73*12</f>
        <v>719.40000000000009</v>
      </c>
      <c r="F51" s="24">
        <f t="shared" si="6"/>
        <v>1.054186537091482</v>
      </c>
      <c r="G51" s="23">
        <f>+'Rate and Bill Data'!K73*12</f>
        <v>6261.36</v>
      </c>
      <c r="H51" s="24">
        <f t="shared" si="7"/>
        <v>1.0071453419471956</v>
      </c>
      <c r="I51" s="25">
        <f t="shared" si="8"/>
        <v>1.1584895624930345</v>
      </c>
      <c r="J51" s="29">
        <f>+'Rate and Bill Data'!P73</f>
        <v>2779</v>
      </c>
    </row>
    <row r="52" spans="1:10" ht="14.45" x14ac:dyDescent="0.3">
      <c r="A52" s="17">
        <f t="shared" si="4"/>
        <v>45</v>
      </c>
      <c r="B52" s="16" t="str">
        <f>+'Rate and Bill Data'!A28</f>
        <v>Greater Sudbury (DRO)</v>
      </c>
      <c r="C52" s="23">
        <f>+'Rate and Bill Data'!E28*12</f>
        <v>313.62</v>
      </c>
      <c r="D52" s="24">
        <f t="shared" si="5"/>
        <v>0.92257777055892487</v>
      </c>
      <c r="E52" s="23">
        <f>+'Rate and Bill Data'!H28*12</f>
        <v>719.87999999999988</v>
      </c>
      <c r="F52" s="24">
        <f t="shared" si="6"/>
        <v>1.054889914263853</v>
      </c>
      <c r="G52" s="23">
        <f>+'Rate and Bill Data'!K28*12</f>
        <v>7242.36</v>
      </c>
      <c r="H52" s="24">
        <f t="shared" si="7"/>
        <v>1.1649400671267411</v>
      </c>
      <c r="I52" s="25">
        <f t="shared" si="8"/>
        <v>1.0474692506498398</v>
      </c>
      <c r="J52" s="29">
        <f>+'Rate and Bill Data'!P28</f>
        <v>47187</v>
      </c>
    </row>
    <row r="53" spans="1:10" ht="14.45" x14ac:dyDescent="0.3">
      <c r="A53" s="17">
        <f t="shared" si="4"/>
        <v>46</v>
      </c>
      <c r="B53" s="16" t="str">
        <f>+'Rate and Bill Data'!A22</f>
        <v>Enersource</v>
      </c>
      <c r="C53" s="23">
        <f>+'Rate and Bill Data'!E22*12</f>
        <v>291.42</v>
      </c>
      <c r="D53" s="24">
        <f t="shared" si="5"/>
        <v>0.85727190197143643</v>
      </c>
      <c r="E53" s="23">
        <f>+'Rate and Bill Data'!H22*12</f>
        <v>828</v>
      </c>
      <c r="F53" s="24">
        <f t="shared" si="6"/>
        <v>1.2133256223404878</v>
      </c>
      <c r="G53" s="23">
        <f>+'Rate and Bill Data'!K22*12</f>
        <v>6467.0399999999991</v>
      </c>
      <c r="H53" s="24">
        <f t="shared" si="7"/>
        <v>1.0402291534404973</v>
      </c>
      <c r="I53" s="25">
        <f t="shared" si="8"/>
        <v>1.0369422259174739</v>
      </c>
      <c r="J53" s="29">
        <f>+'Rate and Bill Data'!P22</f>
        <v>201359</v>
      </c>
    </row>
    <row r="54" spans="1:10" ht="14.45" x14ac:dyDescent="0.3">
      <c r="A54" s="17">
        <f t="shared" si="4"/>
        <v>47</v>
      </c>
      <c r="B54" s="16" t="str">
        <f>+'Rate and Bill Data'!A58</f>
        <v>Niagara Peninsula (Applied)</v>
      </c>
      <c r="C54" s="23">
        <f>+'Rate and Bill Data'!E58*12</f>
        <v>394.37999999999994</v>
      </c>
      <c r="D54" s="24">
        <f t="shared" si="5"/>
        <v>1.1601499303393557</v>
      </c>
      <c r="E54" s="23">
        <f>+'Rate and Bill Data'!H58*12</f>
        <v>805.56</v>
      </c>
      <c r="F54" s="24">
        <f t="shared" si="6"/>
        <v>1.1804427395321297</v>
      </c>
      <c r="G54" s="23">
        <f>+'Rate and Bill Data'!K58*12</f>
        <v>5393.64</v>
      </c>
      <c r="H54" s="24">
        <f t="shared" si="7"/>
        <v>0.86757180582813853</v>
      </c>
      <c r="I54" s="25">
        <f t="shared" si="8"/>
        <v>1.0693881585665412</v>
      </c>
      <c r="J54" s="29">
        <f>+'Rate and Bill Data'!P58</f>
        <v>51824</v>
      </c>
    </row>
    <row r="55" spans="1:10" ht="14.45" x14ac:dyDescent="0.3">
      <c r="A55" s="17">
        <f t="shared" si="4"/>
        <v>48</v>
      </c>
      <c r="B55" s="16" t="str">
        <f>+'Rate and Bill Data'!A53</f>
        <v>Lakeland</v>
      </c>
      <c r="C55" s="23">
        <f>+'Rate and Bill Data'!E53*12</f>
        <v>394.20000000000005</v>
      </c>
      <c r="D55" s="24">
        <f t="shared" si="5"/>
        <v>1.1596204232967546</v>
      </c>
      <c r="E55" s="23">
        <f>+'Rate and Bill Data'!H53*12</f>
        <v>764.64</v>
      </c>
      <c r="F55" s="24">
        <f t="shared" si="6"/>
        <v>1.1204798355874765</v>
      </c>
      <c r="G55" s="23">
        <f>+'Rate and Bill Data'!K53*12</f>
        <v>7274.64</v>
      </c>
      <c r="H55" s="24">
        <f t="shared" si="7"/>
        <v>1.1701323339246983</v>
      </c>
      <c r="I55" s="25">
        <f t="shared" si="8"/>
        <v>1.1500775309363098</v>
      </c>
      <c r="J55" s="29">
        <f>+'Rate and Bill Data'!P53</f>
        <v>13264</v>
      </c>
    </row>
    <row r="56" spans="1:10" ht="14.45" x14ac:dyDescent="0.3">
      <c r="A56" s="17">
        <f t="shared" si="4"/>
        <v>49</v>
      </c>
      <c r="B56" s="16" t="str">
        <f>+'Rate and Bill Data'!A68</f>
        <v xml:space="preserve">Powerstream </v>
      </c>
      <c r="C56" s="23">
        <f>+'Rate and Bill Data'!E68*12</f>
        <v>339.12</v>
      </c>
      <c r="D56" s="24">
        <f t="shared" si="5"/>
        <v>0.99759126826076971</v>
      </c>
      <c r="E56" s="23">
        <f>+'Rate and Bill Data'!H68*12</f>
        <v>784.08</v>
      </c>
      <c r="F56" s="24">
        <f t="shared" si="6"/>
        <v>1.1489666110685142</v>
      </c>
      <c r="G56" s="23">
        <f>+'Rate and Bill Data'!K68*12</f>
        <v>6736.08</v>
      </c>
      <c r="H56" s="24">
        <f t="shared" si="7"/>
        <v>1.0835044774591569</v>
      </c>
      <c r="I56" s="25">
        <f t="shared" si="8"/>
        <v>1.0766874522628136</v>
      </c>
      <c r="J56" s="29">
        <f>+'Rate and Bill Data'!P68</f>
        <v>353284</v>
      </c>
    </row>
    <row r="57" spans="1:10" ht="14.45" x14ac:dyDescent="0.3">
      <c r="A57" s="17">
        <f t="shared" si="4"/>
        <v>50</v>
      </c>
      <c r="B57" s="16" t="str">
        <f>+'Rate and Bill Data'!A24</f>
        <v>EnWin (Applied)</v>
      </c>
      <c r="C57" s="23">
        <f>+'Rate and Bill Data'!E24*12</f>
        <v>322.14</v>
      </c>
      <c r="D57" s="24">
        <f t="shared" si="5"/>
        <v>0.9476411039087177</v>
      </c>
      <c r="E57" s="23">
        <f>+'Rate and Bill Data'!H24*12</f>
        <v>739.68000000000006</v>
      </c>
      <c r="F57" s="24">
        <f t="shared" si="6"/>
        <v>1.0839042226241693</v>
      </c>
      <c r="G57" s="23">
        <f>+'Rate and Bill Data'!K24*12</f>
        <v>7182</v>
      </c>
      <c r="H57" s="24">
        <f t="shared" si="7"/>
        <v>1.1552311072777735</v>
      </c>
      <c r="I57" s="25">
        <f t="shared" si="8"/>
        <v>1.06225881127022</v>
      </c>
      <c r="J57" s="29">
        <f>+'Rate and Bill Data'!P24</f>
        <v>86662</v>
      </c>
    </row>
    <row r="58" spans="1:10" ht="14.45" x14ac:dyDescent="0.3">
      <c r="A58" s="17">
        <f t="shared" si="4"/>
        <v>51</v>
      </c>
      <c r="B58" s="16" t="str">
        <f>+'Rate and Bill Data'!A69</f>
        <v>PUC Distribution (Applied)</v>
      </c>
      <c r="C58" s="23">
        <f>+'Rate and Bill Data'!E69*12</f>
        <v>296.34000000000003</v>
      </c>
      <c r="D58" s="24">
        <f t="shared" si="5"/>
        <v>0.87174509446920423</v>
      </c>
      <c r="E58" s="23">
        <f>+'Rate and Bill Data'!H69*12</f>
        <v>697.8</v>
      </c>
      <c r="F58" s="24">
        <f t="shared" si="6"/>
        <v>1.0225345643347734</v>
      </c>
      <c r="G58" s="23">
        <f>+'Rate and Bill Data'!K69*12</f>
        <v>7913.64</v>
      </c>
      <c r="H58" s="24">
        <f t="shared" si="7"/>
        <v>1.2729160539957782</v>
      </c>
      <c r="I58" s="25">
        <f t="shared" si="8"/>
        <v>1.0557319042665851</v>
      </c>
      <c r="J58" s="29">
        <f>+'Rate and Bill Data'!P69</f>
        <v>33487</v>
      </c>
    </row>
    <row r="59" spans="1:10" ht="14.45" x14ac:dyDescent="0.3">
      <c r="A59" s="17">
        <f t="shared" si="4"/>
        <v>52</v>
      </c>
      <c r="B59" s="16" t="str">
        <f>+'Rate and Bill Data'!A47</f>
        <v>Hydro Ottawa</v>
      </c>
      <c r="C59" s="23">
        <f>+'Rate and Bill Data'!E47*12</f>
        <v>335.1</v>
      </c>
      <c r="D59" s="24">
        <f t="shared" si="5"/>
        <v>0.98576561097600834</v>
      </c>
      <c r="E59" s="23">
        <f>+'Rate and Bill Data'!H47*12</f>
        <v>759.48</v>
      </c>
      <c r="F59" s="24">
        <f t="shared" si="6"/>
        <v>1.1129185309844851</v>
      </c>
      <c r="G59" s="23">
        <f>+'Rate and Bill Data'!K47*12</f>
        <v>7589.4</v>
      </c>
      <c r="H59" s="24">
        <f t="shared" si="7"/>
        <v>1.220761760731542</v>
      </c>
      <c r="I59" s="25">
        <f t="shared" si="8"/>
        <v>1.1064819675640118</v>
      </c>
      <c r="J59" s="29">
        <f>+'Rate and Bill Data'!P47</f>
        <v>319536</v>
      </c>
    </row>
    <row r="60" spans="1:10" ht="14.45" x14ac:dyDescent="0.3">
      <c r="A60" s="17">
        <f t="shared" si="4"/>
        <v>53</v>
      </c>
      <c r="B60" s="16" t="str">
        <f>+'Rate and Bill Data'!A84</f>
        <v>Whitby</v>
      </c>
      <c r="C60" s="23">
        <f>+'Rate and Bill Data'!E84*12</f>
        <v>363.24</v>
      </c>
      <c r="D60" s="24">
        <f t="shared" si="5"/>
        <v>1.0685452119693382</v>
      </c>
      <c r="E60" s="23">
        <f>+'Rate and Bill Data'!H84*12</f>
        <v>760.68000000000006</v>
      </c>
      <c r="F60" s="24">
        <f t="shared" si="6"/>
        <v>1.1146769739154134</v>
      </c>
      <c r="G60" s="23">
        <f>+'Rate and Bill Data'!K84*12</f>
        <v>7557.84</v>
      </c>
      <c r="H60" s="24">
        <f t="shared" si="7"/>
        <v>1.2156853065759186</v>
      </c>
      <c r="I60" s="25">
        <f t="shared" si="8"/>
        <v>1.1329691641535569</v>
      </c>
      <c r="J60" s="29">
        <f>+'Rate and Bill Data'!P84</f>
        <v>41488</v>
      </c>
    </row>
    <row r="61" spans="1:10" ht="14.45" x14ac:dyDescent="0.3">
      <c r="A61" s="17">
        <f t="shared" si="4"/>
        <v>54</v>
      </c>
      <c r="B61" s="16" t="str">
        <f>+'Rate and Bill Data'!A64</f>
        <v>Orillia (Applied)</v>
      </c>
      <c r="C61" s="23">
        <f>+'Rate and Bill Data'!E64*12</f>
        <v>335.7</v>
      </c>
      <c r="D61" s="24">
        <f t="shared" si="5"/>
        <v>0.98753063445134581</v>
      </c>
      <c r="E61" s="23">
        <f>+'Rate and Bill Data'!H64*12</f>
        <v>860.28</v>
      </c>
      <c r="F61" s="24">
        <f t="shared" si="6"/>
        <v>1.2606277371824575</v>
      </c>
      <c r="G61" s="23">
        <f>+'Rate and Bill Data'!K64*12</f>
        <v>8537.16</v>
      </c>
      <c r="H61" s="24">
        <f t="shared" si="7"/>
        <v>1.3732098022566857</v>
      </c>
      <c r="I61" s="25">
        <f t="shared" si="8"/>
        <v>1.207122724630163</v>
      </c>
      <c r="J61" s="29">
        <f>+'Rate and Bill Data'!P64</f>
        <v>13340</v>
      </c>
    </row>
    <row r="62" spans="1:10" ht="14.45" x14ac:dyDescent="0.3">
      <c r="A62" s="17">
        <f t="shared" si="4"/>
        <v>55</v>
      </c>
      <c r="B62" s="16" t="str">
        <f>+'Rate and Bill Data'!A57</f>
        <v>Newmarket-Tay (Applied)</v>
      </c>
      <c r="C62" s="23">
        <f>+'Rate and Bill Data'!E57*12</f>
        <v>322.98</v>
      </c>
      <c r="D62" s="24">
        <f t="shared" si="5"/>
        <v>0.95011213677419026</v>
      </c>
      <c r="E62" s="23">
        <f>+'Rate and Bill Data'!H57*12</f>
        <v>847.31999999999994</v>
      </c>
      <c r="F62" s="24">
        <f t="shared" si="6"/>
        <v>1.2416365535284324</v>
      </c>
      <c r="G62" s="23">
        <f>+'Rate and Bill Data'!K57*12</f>
        <v>7412.0399999999991</v>
      </c>
      <c r="H62" s="24">
        <f t="shared" si="7"/>
        <v>1.1922332465033623</v>
      </c>
      <c r="I62" s="25">
        <f t="shared" si="8"/>
        <v>1.1279939789353284</v>
      </c>
      <c r="J62" s="29">
        <f>+'Rate and Bill Data'!P57</f>
        <v>34871</v>
      </c>
    </row>
    <row r="63" spans="1:10" ht="14.45" x14ac:dyDescent="0.3">
      <c r="A63" s="17">
        <f t="shared" si="4"/>
        <v>56</v>
      </c>
      <c r="B63" s="16" t="str">
        <f>+'Rate and Bill Data'!A62</f>
        <v>Oakville (interim)</v>
      </c>
      <c r="C63" s="23">
        <f>+'Rate and Bill Data'!E62*12</f>
        <v>337.20000000000005</v>
      </c>
      <c r="D63" s="24">
        <f t="shared" si="5"/>
        <v>0.99194319313968971</v>
      </c>
      <c r="E63" s="23">
        <f>+'Rate and Bill Data'!H62*12</f>
        <v>821.5200000000001</v>
      </c>
      <c r="F63" s="24">
        <f t="shared" si="6"/>
        <v>1.2038300305134755</v>
      </c>
      <c r="G63" s="23">
        <f>+'Rate and Bill Data'!K62*12</f>
        <v>7291.4400000000005</v>
      </c>
      <c r="H63" s="24">
        <f t="shared" si="7"/>
        <v>1.1728346289124825</v>
      </c>
      <c r="I63" s="25">
        <f t="shared" si="8"/>
        <v>1.1228692841885493</v>
      </c>
      <c r="J63" s="29">
        <f>+'Rate and Bill Data'!P62</f>
        <v>66530</v>
      </c>
    </row>
    <row r="64" spans="1:10" ht="14.45" x14ac:dyDescent="0.3">
      <c r="A64" s="17">
        <f t="shared" si="4"/>
        <v>57</v>
      </c>
      <c r="B64" s="16" t="str">
        <f>+'Rate and Bill Data'!A13</f>
        <v>Bluewater (DRO)</v>
      </c>
      <c r="C64" s="23">
        <f>+'Rate and Bill Data'!E13*12</f>
        <v>388.98</v>
      </c>
      <c r="D64" s="24">
        <f t="shared" si="5"/>
        <v>1.1442647190613182</v>
      </c>
      <c r="E64" s="23">
        <f>+'Rate and Bill Data'!H13*12</f>
        <v>811.80000000000007</v>
      </c>
      <c r="F64" s="24">
        <f t="shared" si="6"/>
        <v>1.1895866427729567</v>
      </c>
      <c r="G64" s="23">
        <f>+'Rate and Bill Data'!K13*12</f>
        <v>7071.7200000000012</v>
      </c>
      <c r="H64" s="24">
        <f t="shared" si="7"/>
        <v>1.1374924708936756</v>
      </c>
      <c r="I64" s="25">
        <f t="shared" si="8"/>
        <v>1.1571146109093167</v>
      </c>
      <c r="J64" s="29">
        <f>+'Rate and Bill Data'!P13</f>
        <v>36115</v>
      </c>
    </row>
    <row r="65" spans="1:10" ht="14.45" x14ac:dyDescent="0.3">
      <c r="A65" s="17">
        <f>+A64+1</f>
        <v>58</v>
      </c>
      <c r="B65" s="16" t="str">
        <f>+'Rate and Bill Data'!A81</f>
        <v>Wellington North</v>
      </c>
      <c r="C65" s="23">
        <f>+'Rate and Bill Data'!E81*12</f>
        <v>428.09999999999997</v>
      </c>
      <c r="D65" s="24">
        <f t="shared" si="5"/>
        <v>1.2593442496533247</v>
      </c>
      <c r="E65" s="23">
        <f>+'Rate and Bill Data'!H81*12</f>
        <v>944.5200000000001</v>
      </c>
      <c r="F65" s="24">
        <f t="shared" si="6"/>
        <v>1.3840704309336205</v>
      </c>
      <c r="G65" s="23">
        <f>+'Rate and Bill Data'!K81*12</f>
        <v>6562.4400000000005</v>
      </c>
      <c r="H65" s="24">
        <f t="shared" si="7"/>
        <v>1.055574328549701</v>
      </c>
      <c r="I65" s="25">
        <f t="shared" si="8"/>
        <v>1.2329963363788821</v>
      </c>
      <c r="J65" s="29">
        <f>+'Rate and Bill Data'!P81</f>
        <v>3731</v>
      </c>
    </row>
    <row r="66" spans="1:10" ht="14.45" x14ac:dyDescent="0.3">
      <c r="A66" s="17">
        <f t="shared" si="4"/>
        <v>59</v>
      </c>
      <c r="B66" s="16" t="str">
        <f>+'Rate and Bill Data'!A79</f>
        <v>Waterloo North</v>
      </c>
      <c r="C66" s="23">
        <f>+'Rate and Bill Data'!E79*12</f>
        <v>380.34000000000003</v>
      </c>
      <c r="D66" s="24">
        <f t="shared" si="5"/>
        <v>1.1188483810164578</v>
      </c>
      <c r="E66" s="23">
        <f>+'Rate and Bill Data'!H79*12</f>
        <v>778.44</v>
      </c>
      <c r="F66" s="24">
        <f t="shared" si="6"/>
        <v>1.1407019292931515</v>
      </c>
      <c r="G66" s="23">
        <f>+'Rate and Bill Data'!K79*12</f>
        <v>7630.5599999999995</v>
      </c>
      <c r="H66" s="24">
        <f t="shared" si="7"/>
        <v>1.2273823834516133</v>
      </c>
      <c r="I66" s="25">
        <f t="shared" si="8"/>
        <v>1.1623108979204073</v>
      </c>
      <c r="J66" s="29">
        <f>+'Rate and Bill Data'!P79</f>
        <v>54674</v>
      </c>
    </row>
    <row r="67" spans="1:10" ht="14.45" x14ac:dyDescent="0.3">
      <c r="A67" s="17">
        <f t="shared" si="4"/>
        <v>60</v>
      </c>
      <c r="B67" s="16" t="str">
        <f>+'Rate and Bill Data'!A48</f>
        <v>Innpower (Applied)</v>
      </c>
      <c r="C67" s="23">
        <f>+'Rate and Bill Data'!E48*12</f>
        <v>562.56000000000006</v>
      </c>
      <c r="D67" s="24">
        <f t="shared" si="5"/>
        <v>1.6548860104764644</v>
      </c>
      <c r="E67" s="23">
        <f>+'Rate and Bill Data'!H48*12</f>
        <v>818.87999999999988</v>
      </c>
      <c r="F67" s="24">
        <f t="shared" si="6"/>
        <v>1.199961456065433</v>
      </c>
      <c r="G67" s="23">
        <f>+'Rate and Bill Data'!K48*12</f>
        <v>8919.84</v>
      </c>
      <c r="H67" s="24">
        <f t="shared" si="7"/>
        <v>1.4347642216570002</v>
      </c>
      <c r="I67" s="25">
        <f t="shared" si="8"/>
        <v>1.429870562732966</v>
      </c>
      <c r="J67" s="29">
        <f>+'Rate and Bill Data'!P48</f>
        <v>15790</v>
      </c>
    </row>
    <row r="68" spans="1:10" ht="14.45" x14ac:dyDescent="0.3">
      <c r="A68" s="17">
        <f>+A67+1</f>
        <v>61</v>
      </c>
      <c r="B68" s="42" t="str">
        <f>+'Rate and Bill Data'!A16</f>
        <v>Canadian Niagara (Applied)</v>
      </c>
      <c r="C68" s="43">
        <f>+'Rate and Bill Data'!E16*12</f>
        <v>454.20000000000005</v>
      </c>
      <c r="D68" s="44">
        <f t="shared" si="5"/>
        <v>1.3361227708305072</v>
      </c>
      <c r="E68" s="43">
        <f>+'Rate and Bill Data'!H16*12</f>
        <v>975.83999999999992</v>
      </c>
      <c r="F68" s="44">
        <f t="shared" si="6"/>
        <v>1.4299657914308472</v>
      </c>
      <c r="G68" s="43">
        <f>+'Rate and Bill Data'!K16*12</f>
        <v>10737.12</v>
      </c>
      <c r="H68" s="44">
        <f t="shared" si="7"/>
        <v>1.7270753309070355</v>
      </c>
      <c r="I68" s="45">
        <f t="shared" si="8"/>
        <v>1.4977212977227967</v>
      </c>
      <c r="J68" s="46">
        <f>+'Rate and Bill Data'!P16</f>
        <v>28627</v>
      </c>
    </row>
    <row r="69" spans="1:10" ht="14.45" x14ac:dyDescent="0.3">
      <c r="A69" s="17">
        <f t="shared" si="4"/>
        <v>62</v>
      </c>
      <c r="B69" s="16" t="str">
        <f>+'Rate and Bill Data'!A12</f>
        <v>Algoma</v>
      </c>
      <c r="C69" s="23">
        <f>+'Rate and Bill Data'!E12*12</f>
        <v>616.86</v>
      </c>
      <c r="D69" s="24">
        <f t="shared" si="5"/>
        <v>1.8146206349945104</v>
      </c>
      <c r="E69" s="23"/>
      <c r="F69" s="22"/>
      <c r="G69" s="23">
        <f>+'Rate and Bill Data'!K12*12</f>
        <v>11472.36</v>
      </c>
      <c r="H69" s="24">
        <f t="shared" si="7"/>
        <v>1.8453393408367083</v>
      </c>
      <c r="I69" s="25">
        <f>+(D69+H69)/2</f>
        <v>1.8299799879156093</v>
      </c>
      <c r="J69" s="29">
        <f>+'Rate and Bill Data'!P12</f>
        <v>11650</v>
      </c>
    </row>
    <row r="70" spans="1:10" ht="14.45" x14ac:dyDescent="0.3">
      <c r="A70" s="17">
        <f t="shared" ref="A70" si="9">+A69+1</f>
        <v>63</v>
      </c>
      <c r="B70" s="16" t="str">
        <f>+'Rate and Bill Data'!A76</f>
        <v xml:space="preserve">Toronto Hydro </v>
      </c>
      <c r="C70" s="23">
        <f>+'Rate and Bill Data'!E76*12</f>
        <v>473.20575000000002</v>
      </c>
      <c r="D70" s="24">
        <f t="shared" si="5"/>
        <v>1.3920320956911676</v>
      </c>
      <c r="E70" s="23">
        <f>+'Rate and Bill Data'!H76*12</f>
        <v>1123.3990000000001</v>
      </c>
      <c r="F70" s="24">
        <f>+E70/$E$72</f>
        <v>1.6461941918015481</v>
      </c>
      <c r="G70" s="23">
        <f>+'Rate and Bill Data'!K76*12</f>
        <v>9578.9247500000019</v>
      </c>
      <c r="H70" s="24">
        <f t="shared" si="7"/>
        <v>1.5407785916837888</v>
      </c>
      <c r="I70" s="25">
        <f>+(D70+F70+H70)/3</f>
        <v>1.5263349597255014</v>
      </c>
      <c r="J70" s="29">
        <f>+'Rate and Bill Data'!P76</f>
        <v>744252</v>
      </c>
    </row>
    <row r="71" spans="1:10" ht="14.45" x14ac:dyDescent="0.3">
      <c r="A71" s="17"/>
      <c r="B71" s="16"/>
      <c r="C71" s="23"/>
      <c r="D71" s="23"/>
      <c r="E71" s="23"/>
      <c r="F71" s="23"/>
      <c r="G71" s="23"/>
      <c r="H71" s="23"/>
      <c r="I71" s="22"/>
      <c r="J71" s="29"/>
    </row>
    <row r="72" spans="1:10" ht="14.45" x14ac:dyDescent="0.3">
      <c r="A72" s="17"/>
      <c r="B72" s="17" t="s">
        <v>21</v>
      </c>
      <c r="C72" s="23">
        <f>AVERAGE(C8:C70)</f>
        <v>339.93882142857154</v>
      </c>
      <c r="D72" s="23"/>
      <c r="E72" s="23">
        <f>AVERAGE(E8:E70)</f>
        <v>682.42191935483879</v>
      </c>
      <c r="F72" s="23"/>
      <c r="G72" s="23">
        <f>AVERAGE(G8:G70)</f>
        <v>6216.9378531746024</v>
      </c>
      <c r="H72" s="23"/>
      <c r="I72" s="22"/>
      <c r="J72" s="29"/>
    </row>
    <row r="73" spans="1:10" ht="14.45" x14ac:dyDescent="0.3">
      <c r="C73" s="26"/>
      <c r="D73" s="27"/>
      <c r="E73" s="26"/>
      <c r="F73" s="27"/>
      <c r="G73" s="26"/>
      <c r="H73" s="27"/>
      <c r="I73" s="28"/>
    </row>
    <row r="74" spans="1:10" ht="14.45" x14ac:dyDescent="0.3">
      <c r="C74" s="9"/>
      <c r="D74" s="9"/>
      <c r="E74" s="9"/>
      <c r="F74" s="9"/>
      <c r="G74" s="9"/>
      <c r="H74" s="9"/>
    </row>
    <row r="75" spans="1:10" ht="14.45" x14ac:dyDescent="0.3">
      <c r="C75" s="9"/>
      <c r="D75" s="9"/>
      <c r="E75" s="9"/>
      <c r="F75" s="9"/>
      <c r="G75" s="9"/>
      <c r="H75" s="9"/>
    </row>
    <row r="76" spans="1:10" ht="14.45" x14ac:dyDescent="0.3">
      <c r="C76" s="9"/>
      <c r="D76" s="9"/>
      <c r="E76" s="9"/>
      <c r="F76" s="9"/>
      <c r="G76" s="9"/>
      <c r="H76" s="9"/>
    </row>
    <row r="77" spans="1:10" ht="14.45" x14ac:dyDescent="0.3">
      <c r="C77" s="9"/>
      <c r="D77" s="9"/>
      <c r="E77" s="9"/>
      <c r="F77" s="9"/>
      <c r="G77" s="9"/>
      <c r="H77" s="9"/>
    </row>
    <row r="78" spans="1:10" ht="14.45" x14ac:dyDescent="0.3">
      <c r="C78" s="9"/>
      <c r="D78" s="9"/>
      <c r="E78" s="9"/>
      <c r="F78" s="9"/>
      <c r="G78" s="9"/>
      <c r="H78" s="9"/>
    </row>
  </sheetData>
  <sortState ref="B8:J70">
    <sortCondition ref="I8:I70"/>
  </sortState>
  <pageMargins left="0.7" right="0.7" top="0.75" bottom="0.75" header="0.3" footer="0.3"/>
  <pageSetup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03"/>
  <sheetViews>
    <sheetView topLeftCell="A58" workbookViewId="0">
      <selection activeCell="E64" sqref="E64"/>
    </sheetView>
  </sheetViews>
  <sheetFormatPr defaultRowHeight="15" x14ac:dyDescent="0.25"/>
  <cols>
    <col min="1" max="1" width="14.28515625" customWidth="1"/>
    <col min="2" max="2" width="16.140625" customWidth="1"/>
    <col min="7" max="7" width="8.85546875" style="10"/>
    <col min="9" max="9" width="9.5703125" bestFit="1" customWidth="1"/>
    <col min="10" max="10" width="10.5703125" style="10" customWidth="1"/>
    <col min="11" max="12" width="10" bestFit="1" customWidth="1"/>
    <col min="13" max="13" width="9.5703125" style="10" bestFit="1" customWidth="1"/>
    <col min="14" max="14" width="11.140625" customWidth="1"/>
    <col min="16" max="17" width="9" style="31"/>
  </cols>
  <sheetData>
    <row r="2" spans="1:17" ht="18" x14ac:dyDescent="0.35">
      <c r="A2" s="7" t="s">
        <v>49</v>
      </c>
    </row>
    <row r="3" spans="1:17" s="8" customFormat="1" ht="14.45" x14ac:dyDescent="0.3">
      <c r="G3" s="13"/>
      <c r="J3" s="13"/>
      <c r="M3" s="13"/>
      <c r="P3" s="32"/>
      <c r="Q3" s="32"/>
    </row>
    <row r="4" spans="1:17" s="8" customFormat="1" ht="14.45" x14ac:dyDescent="0.3">
      <c r="A4" s="8" t="s">
        <v>0</v>
      </c>
      <c r="B4" s="8">
        <v>750</v>
      </c>
      <c r="C4" s="8" t="s">
        <v>5</v>
      </c>
      <c r="G4" s="13"/>
      <c r="J4" s="13"/>
      <c r="M4" s="13"/>
      <c r="P4" s="32"/>
      <c r="Q4" s="32"/>
    </row>
    <row r="5" spans="1:17" s="8" customFormat="1" ht="14.45" x14ac:dyDescent="0.3">
      <c r="A5" s="8" t="s">
        <v>3</v>
      </c>
      <c r="B5" s="8">
        <v>2000</v>
      </c>
      <c r="C5" s="8" t="s">
        <v>5</v>
      </c>
      <c r="G5" s="13"/>
      <c r="J5" s="13"/>
      <c r="M5" s="13"/>
      <c r="P5" s="32"/>
      <c r="Q5" s="32"/>
    </row>
    <row r="6" spans="1:17" s="8" customFormat="1" ht="14.45" x14ac:dyDescent="0.3">
      <c r="A6" s="8" t="s">
        <v>4</v>
      </c>
      <c r="B6" s="8">
        <v>100</v>
      </c>
      <c r="C6" s="8" t="s">
        <v>14</v>
      </c>
      <c r="G6" s="13"/>
      <c r="J6" s="13"/>
      <c r="M6" s="13"/>
      <c r="P6" s="32"/>
      <c r="Q6" s="32"/>
    </row>
    <row r="7" spans="1:17" s="8" customFormat="1" ht="14.45" x14ac:dyDescent="0.3">
      <c r="A7" s="8" t="s">
        <v>6</v>
      </c>
      <c r="B7" s="8">
        <v>10000</v>
      </c>
      <c r="C7" s="8" t="s">
        <v>8</v>
      </c>
      <c r="G7" s="13"/>
      <c r="J7" s="13"/>
      <c r="M7" s="13"/>
      <c r="P7" s="32"/>
      <c r="Q7" s="32"/>
    </row>
    <row r="9" spans="1:17" ht="18" x14ac:dyDescent="0.35">
      <c r="A9" s="6"/>
      <c r="C9" s="2" t="s">
        <v>0</v>
      </c>
      <c r="D9" s="2"/>
      <c r="E9" s="2"/>
      <c r="F9" s="2" t="s">
        <v>3</v>
      </c>
      <c r="G9" s="11"/>
      <c r="H9" s="2"/>
      <c r="I9" s="2" t="s">
        <v>4</v>
      </c>
      <c r="J9" s="11"/>
      <c r="K9" s="2"/>
      <c r="L9" s="2" t="s">
        <v>6</v>
      </c>
      <c r="M9" s="11"/>
      <c r="N9" s="2"/>
      <c r="P9" s="31" t="s">
        <v>42</v>
      </c>
    </row>
    <row r="10" spans="1:17" ht="14.45" x14ac:dyDescent="0.3">
      <c r="A10" t="s">
        <v>41</v>
      </c>
      <c r="B10" s="18">
        <f>365.25/360</f>
        <v>1.0145833333333334</v>
      </c>
      <c r="C10" s="3" t="s">
        <v>1</v>
      </c>
      <c r="D10" s="3" t="s">
        <v>2</v>
      </c>
      <c r="E10" s="3" t="s">
        <v>7</v>
      </c>
      <c r="F10" s="3" t="s">
        <v>1</v>
      </c>
      <c r="G10" s="12" t="s">
        <v>2</v>
      </c>
      <c r="H10" s="3" t="s">
        <v>7</v>
      </c>
      <c r="I10" s="3" t="s">
        <v>1</v>
      </c>
      <c r="J10" s="12" t="s">
        <v>8</v>
      </c>
      <c r="K10" s="3" t="s">
        <v>7</v>
      </c>
      <c r="L10" s="3" t="s">
        <v>1</v>
      </c>
      <c r="M10" s="12" t="s">
        <v>8</v>
      </c>
      <c r="N10" s="3" t="s">
        <v>7</v>
      </c>
      <c r="P10" s="31">
        <v>2014</v>
      </c>
    </row>
    <row r="11" spans="1:17" ht="14.45" x14ac:dyDescent="0.3">
      <c r="A11" s="1"/>
      <c r="C11" s="9"/>
      <c r="D11" s="10"/>
      <c r="E11" s="9"/>
      <c r="F11" s="9"/>
      <c r="H11" s="9"/>
      <c r="I11" s="9"/>
      <c r="K11" s="9"/>
      <c r="L11" s="9"/>
      <c r="N11" s="9"/>
    </row>
    <row r="12" spans="1:17" ht="14.25" x14ac:dyDescent="0.45">
      <c r="A12" s="1" t="s">
        <v>24</v>
      </c>
      <c r="C12" s="9">
        <v>32.58</v>
      </c>
      <c r="D12" s="10">
        <v>2.5100000000000001E-2</v>
      </c>
      <c r="E12" s="9">
        <f t="shared" ref="E12" si="0">+C12+(D12*$B$4)</f>
        <v>51.405000000000001</v>
      </c>
      <c r="F12" s="9"/>
      <c r="H12" s="9"/>
      <c r="I12" s="9">
        <v>629.74</v>
      </c>
      <c r="J12" s="10">
        <v>3.2629000000000001</v>
      </c>
      <c r="K12" s="9">
        <f>+I12+(J12*$B$6)</f>
        <v>956.03</v>
      </c>
      <c r="L12" s="9"/>
      <c r="N12" s="9"/>
      <c r="P12" s="33">
        <v>11650</v>
      </c>
      <c r="Q12" s="33"/>
    </row>
    <row r="13" spans="1:17" ht="14.25" x14ac:dyDescent="0.45">
      <c r="A13" s="1" t="s">
        <v>50</v>
      </c>
      <c r="C13" s="9">
        <v>23.94</v>
      </c>
      <c r="D13" s="10">
        <v>1.1299999999999999E-2</v>
      </c>
      <c r="E13" s="9">
        <f t="shared" ref="E13" si="1">+C13+(D13*$B$4)</f>
        <v>32.414999999999999</v>
      </c>
      <c r="F13" s="9">
        <v>28.25</v>
      </c>
      <c r="G13" s="10">
        <v>1.9699999999999999E-2</v>
      </c>
      <c r="H13" s="9">
        <f t="shared" ref="H13" si="2">+F13+(G13*$B$5)</f>
        <v>67.650000000000006</v>
      </c>
      <c r="I13" s="9">
        <v>150.87</v>
      </c>
      <c r="J13" s="10">
        <v>4.3844000000000003</v>
      </c>
      <c r="K13" s="9">
        <f t="shared" ref="K13" si="3">+I13+(J13*$B$6)</f>
        <v>589.31000000000006</v>
      </c>
      <c r="L13" s="9">
        <v>25951.93</v>
      </c>
      <c r="M13" s="10">
        <v>1.9490000000000001</v>
      </c>
      <c r="N13" s="9">
        <f t="shared" ref="N13" si="4">+L13+(M13*$B$7)</f>
        <v>45441.93</v>
      </c>
      <c r="P13" s="33">
        <v>36115</v>
      </c>
      <c r="Q13" s="33"/>
    </row>
    <row r="14" spans="1:17" ht="14.25" x14ac:dyDescent="0.45">
      <c r="A14" s="1" t="s">
        <v>25</v>
      </c>
      <c r="C14" s="9">
        <v>17.8</v>
      </c>
      <c r="D14" s="10">
        <v>7.6E-3</v>
      </c>
      <c r="E14" s="9">
        <f t="shared" ref="E14" si="5">+C14+(D14*$B$4)</f>
        <v>23.5</v>
      </c>
      <c r="F14" s="9">
        <v>30.14</v>
      </c>
      <c r="G14" s="10">
        <v>7.9000000000000008E-3</v>
      </c>
      <c r="H14" s="9">
        <f t="shared" ref="H14" si="6">+F14+(G14*$B$5)</f>
        <v>45.94</v>
      </c>
      <c r="I14" s="9">
        <v>232.03</v>
      </c>
      <c r="J14" s="10">
        <v>2.8050999999999999</v>
      </c>
      <c r="K14" s="9">
        <f t="shared" ref="K14" si="7">+I14+(J14*$B$6)</f>
        <v>512.54</v>
      </c>
      <c r="L14" s="9"/>
      <c r="N14" s="9"/>
      <c r="P14" s="33">
        <v>38789</v>
      </c>
      <c r="Q14" s="33"/>
    </row>
    <row r="15" spans="1:17" ht="14.25" x14ac:dyDescent="0.45">
      <c r="A15" s="1" t="s">
        <v>52</v>
      </c>
      <c r="C15" s="9">
        <v>19.010000000000002</v>
      </c>
      <c r="D15" s="10">
        <v>8.3999999999999995E-3</v>
      </c>
      <c r="E15" s="9">
        <f t="shared" ref="E15:E68" si="8">+C15+(D15*$B$4)</f>
        <v>25.310000000000002</v>
      </c>
      <c r="F15" s="9">
        <v>26</v>
      </c>
      <c r="G15" s="10">
        <v>1.3899999999999999E-2</v>
      </c>
      <c r="H15" s="9">
        <f t="shared" ref="H15:H68" si="9">+F15+(G15*$B$5)</f>
        <v>53.8</v>
      </c>
      <c r="I15" s="9">
        <v>60.94</v>
      </c>
      <c r="J15" s="10">
        <v>3</v>
      </c>
      <c r="K15" s="9">
        <f t="shared" ref="K15:K68" si="10">+I15+(J15*$B$6)</f>
        <v>360.94</v>
      </c>
      <c r="L15" s="9"/>
      <c r="N15" s="9"/>
      <c r="P15" s="33">
        <v>66366</v>
      </c>
      <c r="Q15" s="33"/>
    </row>
    <row r="16" spans="1:17" ht="14.25" x14ac:dyDescent="0.45">
      <c r="A16" s="1" t="s">
        <v>51</v>
      </c>
      <c r="C16" s="9">
        <v>29.45</v>
      </c>
      <c r="D16" s="10">
        <v>1.12E-2</v>
      </c>
      <c r="E16" s="9">
        <f t="shared" si="8"/>
        <v>37.85</v>
      </c>
      <c r="F16" s="9">
        <v>30.92</v>
      </c>
      <c r="G16" s="10">
        <v>2.52E-2</v>
      </c>
      <c r="H16" s="9">
        <f t="shared" si="9"/>
        <v>81.319999999999993</v>
      </c>
      <c r="I16" s="9">
        <v>166.12</v>
      </c>
      <c r="J16" s="10">
        <v>7.2864000000000004</v>
      </c>
      <c r="K16" s="9">
        <f t="shared" si="10"/>
        <v>894.7600000000001</v>
      </c>
      <c r="L16" s="9"/>
      <c r="N16" s="9"/>
      <c r="P16" s="33">
        <v>28627</v>
      </c>
      <c r="Q16" s="33"/>
    </row>
    <row r="17" spans="1:17" ht="14.25" x14ac:dyDescent="0.45">
      <c r="A17" s="1" t="s">
        <v>53</v>
      </c>
      <c r="C17" s="9">
        <v>21.06</v>
      </c>
      <c r="D17" s="10">
        <v>7.4000000000000003E-3</v>
      </c>
      <c r="E17" s="9">
        <f t="shared" si="8"/>
        <v>26.61</v>
      </c>
      <c r="F17" s="9">
        <v>18.48</v>
      </c>
      <c r="G17" s="10">
        <v>1.9199999999999998E-2</v>
      </c>
      <c r="H17" s="9">
        <f t="shared" si="9"/>
        <v>56.879999999999995</v>
      </c>
      <c r="I17" s="9">
        <v>170.53</v>
      </c>
      <c r="J17" s="10">
        <v>3.7187000000000001</v>
      </c>
      <c r="K17" s="9">
        <f t="shared" si="10"/>
        <v>542.4</v>
      </c>
      <c r="L17" s="9"/>
      <c r="N17" s="9"/>
      <c r="P17" s="33">
        <v>6729</v>
      </c>
      <c r="Q17" s="33"/>
    </row>
    <row r="18" spans="1:17" ht="14.25" x14ac:dyDescent="0.45">
      <c r="A18" s="1" t="s">
        <v>54</v>
      </c>
      <c r="C18" s="9">
        <v>17.670000000000002</v>
      </c>
      <c r="D18" s="10">
        <v>1.03E-2</v>
      </c>
      <c r="E18" s="9">
        <f t="shared" si="8"/>
        <v>25.395000000000003</v>
      </c>
      <c r="F18" s="9">
        <v>21.05</v>
      </c>
      <c r="G18" s="10">
        <v>1.4E-2</v>
      </c>
      <c r="H18" s="9">
        <f t="shared" si="9"/>
        <v>49.05</v>
      </c>
      <c r="I18" s="9">
        <v>100.56</v>
      </c>
      <c r="J18" s="10">
        <v>3.2888000000000002</v>
      </c>
      <c r="K18" s="9">
        <f t="shared" si="10"/>
        <v>429.44</v>
      </c>
      <c r="L18" s="9"/>
      <c r="N18" s="9"/>
      <c r="P18" s="33">
        <v>16426</v>
      </c>
      <c r="Q18" s="33"/>
    </row>
    <row r="19" spans="1:17" ht="14.25" x14ac:dyDescent="0.45">
      <c r="A19" s="1" t="s">
        <v>55</v>
      </c>
      <c r="C19" s="9">
        <v>17.649999999999999</v>
      </c>
      <c r="D19" s="10">
        <v>4.8999999999999998E-3</v>
      </c>
      <c r="E19" s="9">
        <f t="shared" ref="E19" si="11">+C19+(D19*$B$4)</f>
        <v>21.324999999999999</v>
      </c>
      <c r="F19" s="9">
        <v>23.25</v>
      </c>
      <c r="G19" s="10">
        <v>7.4000000000000003E-3</v>
      </c>
      <c r="H19" s="9">
        <f t="shared" ref="H19" si="12">+F19+(G19*$B$5)</f>
        <v>38.049999999999997</v>
      </c>
      <c r="I19" s="9">
        <v>224.18</v>
      </c>
      <c r="J19" s="10">
        <v>1.8472</v>
      </c>
      <c r="K19" s="9">
        <f t="shared" ref="K19" si="13">+I19+(J19*$B$6)</f>
        <v>408.9</v>
      </c>
      <c r="L19" s="9"/>
      <c r="N19" s="9"/>
      <c r="P19" s="33">
        <v>12398</v>
      </c>
      <c r="Q19" s="33"/>
    </row>
    <row r="20" spans="1:17" ht="14.25" x14ac:dyDescent="0.45">
      <c r="A20" s="1" t="s">
        <v>26</v>
      </c>
      <c r="C20" s="9">
        <v>21.87</v>
      </c>
      <c r="D20" s="10">
        <v>7.1999999999999998E-3</v>
      </c>
      <c r="E20" s="9">
        <f t="shared" si="8"/>
        <v>27.27</v>
      </c>
      <c r="F20" s="9">
        <v>17.899999999999999</v>
      </c>
      <c r="G20" s="10">
        <v>1.4800000000000001E-2</v>
      </c>
      <c r="H20" s="9">
        <f t="shared" si="9"/>
        <v>47.5</v>
      </c>
      <c r="I20" s="9">
        <v>199.45</v>
      </c>
      <c r="J20" s="10">
        <v>3.6957</v>
      </c>
      <c r="K20" s="9">
        <f t="shared" si="10"/>
        <v>569.02</v>
      </c>
      <c r="L20" s="9"/>
      <c r="N20" s="9"/>
      <c r="P20" s="33">
        <v>1985</v>
      </c>
      <c r="Q20" s="33"/>
    </row>
    <row r="21" spans="1:17" ht="14.25" x14ac:dyDescent="0.45">
      <c r="A21" s="1" t="s">
        <v>56</v>
      </c>
      <c r="C21" s="9">
        <v>18.010000000000002</v>
      </c>
      <c r="D21" s="10">
        <v>9.2999999999999992E-3</v>
      </c>
      <c r="E21" s="9">
        <f>+C21+(D21*$B$4)</f>
        <v>24.984999999999999</v>
      </c>
      <c r="F21" s="9">
        <v>13.65</v>
      </c>
      <c r="G21" s="10">
        <v>1.47E-2</v>
      </c>
      <c r="H21" s="9">
        <f>+F21+(G21*$B$5)</f>
        <v>43.05</v>
      </c>
      <c r="I21" s="9">
        <v>114.79</v>
      </c>
      <c r="J21" s="10">
        <v>4.1783000000000001</v>
      </c>
      <c r="K21" s="9">
        <f>+I21+(J21*$B$6)</f>
        <v>532.62</v>
      </c>
      <c r="L21" s="9">
        <v>8913.52</v>
      </c>
      <c r="M21" s="10">
        <v>2.4752999999999998</v>
      </c>
      <c r="N21" s="9">
        <f>+L21+(M21*$B$7)</f>
        <v>33666.520000000004</v>
      </c>
      <c r="P21" s="33">
        <v>52684</v>
      </c>
      <c r="Q21" s="33"/>
    </row>
    <row r="22" spans="1:17" ht="14.25" x14ac:dyDescent="0.45">
      <c r="A22" s="1" t="s">
        <v>10</v>
      </c>
      <c r="C22" s="9">
        <v>19.11</v>
      </c>
      <c r="D22" s="10">
        <v>6.8999999999999999E-3</v>
      </c>
      <c r="E22" s="9">
        <f t="shared" si="8"/>
        <v>24.285</v>
      </c>
      <c r="F22" s="9">
        <v>43.6</v>
      </c>
      <c r="G22" s="10">
        <v>1.2699999999999999E-2</v>
      </c>
      <c r="H22" s="9">
        <f t="shared" si="9"/>
        <v>69</v>
      </c>
      <c r="I22" s="9">
        <v>76.790000000000006</v>
      </c>
      <c r="J22" s="10">
        <v>4.6212999999999997</v>
      </c>
      <c r="K22" s="9">
        <f t="shared" si="10"/>
        <v>538.91999999999996</v>
      </c>
      <c r="L22" s="9">
        <v>13787.64</v>
      </c>
      <c r="M22" s="10">
        <v>2.9516</v>
      </c>
      <c r="N22" s="9">
        <f t="shared" ref="N22:N68" si="14">+L22+(M22*$B$7)</f>
        <v>43303.64</v>
      </c>
      <c r="P22" s="33">
        <v>201359</v>
      </c>
      <c r="Q22" s="33"/>
    </row>
    <row r="23" spans="1:17" ht="14.25" x14ac:dyDescent="0.45">
      <c r="A23" s="1" t="s">
        <v>57</v>
      </c>
      <c r="C23" s="9">
        <v>20.99</v>
      </c>
      <c r="D23" s="10">
        <v>5.1999999999999998E-3</v>
      </c>
      <c r="E23" s="9">
        <f>+C23+(D23*$B$4)</f>
        <v>24.889999999999997</v>
      </c>
      <c r="F23" s="9">
        <v>30.53</v>
      </c>
      <c r="G23" s="10">
        <v>1.01E-2</v>
      </c>
      <c r="H23" s="9">
        <f>+F23+(G23*$B$5)</f>
        <v>50.730000000000004</v>
      </c>
      <c r="I23" s="9">
        <v>98.97</v>
      </c>
      <c r="J23" s="10">
        <v>3.2782</v>
      </c>
      <c r="K23" s="9">
        <f>+I23+(J23*$B$6)</f>
        <v>426.78999999999996</v>
      </c>
      <c r="L23" s="9"/>
      <c r="N23" s="9"/>
      <c r="P23" s="33">
        <v>40503</v>
      </c>
      <c r="Q23" s="33"/>
    </row>
    <row r="24" spans="1:17" ht="14.25" x14ac:dyDescent="0.45">
      <c r="A24" s="1" t="s">
        <v>58</v>
      </c>
      <c r="C24" s="9">
        <v>18.82</v>
      </c>
      <c r="D24" s="10">
        <v>1.0699999999999999E-2</v>
      </c>
      <c r="E24" s="9">
        <f t="shared" si="8"/>
        <v>26.844999999999999</v>
      </c>
      <c r="F24" s="9">
        <v>26.84</v>
      </c>
      <c r="G24" s="10">
        <v>1.7399999999999999E-2</v>
      </c>
      <c r="H24" s="9">
        <f t="shared" si="9"/>
        <v>61.64</v>
      </c>
      <c r="I24" s="9">
        <v>106.54</v>
      </c>
      <c r="J24" s="10">
        <v>4.9196</v>
      </c>
      <c r="K24" s="9">
        <f t="shared" si="10"/>
        <v>598.5</v>
      </c>
      <c r="L24" s="9">
        <v>8070.85</v>
      </c>
      <c r="M24" s="10">
        <v>2.3268</v>
      </c>
      <c r="N24" s="9">
        <f t="shared" si="14"/>
        <v>31338.85</v>
      </c>
      <c r="P24" s="33">
        <v>86662</v>
      </c>
      <c r="Q24" s="33"/>
    </row>
    <row r="25" spans="1:17" ht="14.25" x14ac:dyDescent="0.45">
      <c r="A25" s="1" t="s">
        <v>59</v>
      </c>
      <c r="C25" s="9">
        <v>23.22</v>
      </c>
      <c r="D25" s="10">
        <v>9.4000000000000004E-3</v>
      </c>
      <c r="E25" s="9">
        <f t="shared" si="8"/>
        <v>30.27</v>
      </c>
      <c r="F25" s="9">
        <v>22.29</v>
      </c>
      <c r="G25" s="10">
        <v>1.4500000000000001E-2</v>
      </c>
      <c r="H25" s="9">
        <f t="shared" si="9"/>
        <v>51.29</v>
      </c>
      <c r="I25" s="9">
        <v>127.91</v>
      </c>
      <c r="J25" s="10">
        <v>3.1023999999999998</v>
      </c>
      <c r="K25" s="9">
        <f t="shared" si="10"/>
        <v>438.15</v>
      </c>
      <c r="L25" s="9">
        <v>10362.66</v>
      </c>
      <c r="M25" s="10">
        <v>1.9046000000000001</v>
      </c>
      <c r="N25" s="9">
        <f t="shared" si="14"/>
        <v>29408.66</v>
      </c>
      <c r="P25" s="33">
        <v>18265</v>
      </c>
      <c r="Q25" s="33"/>
    </row>
    <row r="26" spans="1:17" ht="14.25" x14ac:dyDescent="0.45">
      <c r="A26" s="1" t="s">
        <v>60</v>
      </c>
      <c r="C26" s="9">
        <v>20.350000000000001</v>
      </c>
      <c r="D26" s="10">
        <v>7.9000000000000008E-3</v>
      </c>
      <c r="E26" s="9">
        <f t="shared" si="8"/>
        <v>26.275000000000002</v>
      </c>
      <c r="F26" s="9">
        <v>35.200000000000003</v>
      </c>
      <c r="G26" s="10">
        <v>1.2E-2</v>
      </c>
      <c r="H26" s="9">
        <f t="shared" si="9"/>
        <v>59.2</v>
      </c>
      <c r="I26" s="9">
        <v>233.15</v>
      </c>
      <c r="J26" s="10">
        <v>2.2145000000000001</v>
      </c>
      <c r="K26" s="9">
        <f t="shared" si="10"/>
        <v>454.6</v>
      </c>
      <c r="L26" s="9"/>
      <c r="N26" s="9"/>
      <c r="P26" s="33">
        <v>28640</v>
      </c>
      <c r="Q26" s="33"/>
    </row>
    <row r="27" spans="1:17" ht="14.25" x14ac:dyDescent="0.45">
      <c r="A27" s="1" t="s">
        <v>46</v>
      </c>
      <c r="C27" s="9">
        <v>22.2</v>
      </c>
      <c r="D27" s="10">
        <v>8.3999999999999995E-3</v>
      </c>
      <c r="E27" s="9">
        <f t="shared" si="8"/>
        <v>28.5</v>
      </c>
      <c r="F27" s="9">
        <v>31.62</v>
      </c>
      <c r="G27" s="10">
        <v>1.5699999999999999E-2</v>
      </c>
      <c r="H27" s="9">
        <f t="shared" si="9"/>
        <v>63.019999999999996</v>
      </c>
      <c r="I27" s="9">
        <v>234.67</v>
      </c>
      <c r="J27" s="10">
        <v>2.5333999999999999</v>
      </c>
      <c r="K27" s="9">
        <f t="shared" si="10"/>
        <v>488.01</v>
      </c>
      <c r="L27" s="9">
        <v>11223.89</v>
      </c>
      <c r="M27" s="10">
        <v>1.1677</v>
      </c>
      <c r="N27" s="9">
        <f t="shared" si="14"/>
        <v>22900.89</v>
      </c>
      <c r="P27" s="33">
        <v>20362</v>
      </c>
      <c r="Q27" s="33"/>
    </row>
    <row r="28" spans="1:17" ht="14.25" x14ac:dyDescent="0.45">
      <c r="A28" s="1" t="s">
        <v>61</v>
      </c>
      <c r="C28" s="9">
        <v>21.41</v>
      </c>
      <c r="D28" s="10">
        <v>6.3E-3</v>
      </c>
      <c r="E28" s="9">
        <f t="shared" si="8"/>
        <v>26.134999999999998</v>
      </c>
      <c r="F28" s="9">
        <v>21.99</v>
      </c>
      <c r="G28" s="10">
        <v>1.9E-2</v>
      </c>
      <c r="H28" s="9">
        <f t="shared" si="9"/>
        <v>59.989999999999995</v>
      </c>
      <c r="I28" s="9">
        <v>167.73</v>
      </c>
      <c r="J28" s="10">
        <v>4.3579999999999997</v>
      </c>
      <c r="K28" s="9">
        <f t="shared" si="10"/>
        <v>603.53</v>
      </c>
      <c r="L28" s="9"/>
      <c r="N28" s="9"/>
      <c r="P28" s="33">
        <v>47187</v>
      </c>
      <c r="Q28" s="33"/>
    </row>
    <row r="29" spans="1:17" ht="14.45" x14ac:dyDescent="0.3">
      <c r="A29" s="1" t="s">
        <v>62</v>
      </c>
      <c r="C29" s="9">
        <v>22.45</v>
      </c>
      <c r="D29" s="10">
        <v>6.7000000000000002E-3</v>
      </c>
      <c r="E29" s="9">
        <f t="shared" si="8"/>
        <v>27.475000000000001</v>
      </c>
      <c r="F29" s="9">
        <v>24.75</v>
      </c>
      <c r="G29" s="10">
        <v>1.9E-2</v>
      </c>
      <c r="H29" s="9">
        <f t="shared" si="9"/>
        <v>62.75</v>
      </c>
      <c r="I29" s="9">
        <v>206.63</v>
      </c>
      <c r="J29" s="10">
        <v>3.0217000000000001</v>
      </c>
      <c r="K29" s="9">
        <f t="shared" si="10"/>
        <v>508.8</v>
      </c>
      <c r="L29" s="9"/>
      <c r="N29" s="9"/>
      <c r="P29" s="33">
        <v>11038</v>
      </c>
      <c r="Q29" s="33"/>
    </row>
    <row r="30" spans="1:17" ht="14.45" x14ac:dyDescent="0.3">
      <c r="A30" s="1" t="s">
        <v>27</v>
      </c>
      <c r="C30" s="9">
        <v>22.36</v>
      </c>
      <c r="D30" s="10">
        <v>9.7999999999999997E-3</v>
      </c>
      <c r="E30" s="9">
        <f t="shared" si="8"/>
        <v>29.71</v>
      </c>
      <c r="F30" s="9">
        <v>16.59</v>
      </c>
      <c r="G30" s="10">
        <v>1.3899999999999999E-2</v>
      </c>
      <c r="H30" s="9">
        <f t="shared" si="9"/>
        <v>44.39</v>
      </c>
      <c r="I30" s="9">
        <v>179.86</v>
      </c>
      <c r="J30" s="10">
        <v>2.7403</v>
      </c>
      <c r="K30" s="9">
        <f t="shared" si="10"/>
        <v>453.89</v>
      </c>
      <c r="L30" s="9">
        <v>1093.75</v>
      </c>
      <c r="M30" s="10">
        <v>2.7330999999999999</v>
      </c>
      <c r="N30" s="9">
        <f t="shared" si="14"/>
        <v>28424.75</v>
      </c>
      <c r="P30" s="33">
        <v>52963</v>
      </c>
      <c r="Q30" s="33"/>
    </row>
    <row r="31" spans="1:17" ht="14.45" x14ac:dyDescent="0.3">
      <c r="A31" s="1" t="s">
        <v>63</v>
      </c>
      <c r="C31" s="9">
        <v>20.28</v>
      </c>
      <c r="D31" s="10">
        <v>6.7999999999999996E-3</v>
      </c>
      <c r="E31" s="9">
        <f t="shared" si="8"/>
        <v>25.380000000000003</v>
      </c>
      <c r="F31" s="9">
        <v>28.03</v>
      </c>
      <c r="G31" s="10">
        <v>1.01E-2</v>
      </c>
      <c r="H31" s="9">
        <f t="shared" si="9"/>
        <v>48.230000000000004</v>
      </c>
      <c r="I31" s="9">
        <v>85.8</v>
      </c>
      <c r="J31" s="10">
        <v>3.8123</v>
      </c>
      <c r="K31" s="9">
        <f t="shared" si="10"/>
        <v>467.03000000000003</v>
      </c>
      <c r="L31" s="9"/>
      <c r="N31" s="9"/>
      <c r="P31" s="33">
        <v>21534</v>
      </c>
      <c r="Q31" s="33"/>
    </row>
    <row r="32" spans="1:17" ht="14.45" x14ac:dyDescent="0.3">
      <c r="A32" s="1" t="s">
        <v>64</v>
      </c>
      <c r="C32" s="9">
        <v>16.010000000000002</v>
      </c>
      <c r="D32" s="10">
        <v>8.5000000000000006E-3</v>
      </c>
      <c r="E32" s="9">
        <f t="shared" si="8"/>
        <v>22.385000000000002</v>
      </c>
      <c r="F32" s="9">
        <v>18.62</v>
      </c>
      <c r="G32" s="10">
        <v>6.3E-3</v>
      </c>
      <c r="H32" s="9">
        <f t="shared" si="9"/>
        <v>31.22</v>
      </c>
      <c r="I32" s="9">
        <v>55.78</v>
      </c>
      <c r="J32" s="10">
        <v>1.7554000000000001</v>
      </c>
      <c r="K32" s="9">
        <f t="shared" si="10"/>
        <v>231.32000000000002</v>
      </c>
      <c r="L32" s="9"/>
      <c r="N32" s="9"/>
      <c r="P32" s="33">
        <v>2718</v>
      </c>
      <c r="Q32" s="33"/>
    </row>
    <row r="33" spans="1:17" ht="14.45" x14ac:dyDescent="0.3">
      <c r="A33" s="1" t="s">
        <v>11</v>
      </c>
      <c r="C33" s="9">
        <v>21.34</v>
      </c>
      <c r="D33" s="10">
        <v>8.0999999999999996E-3</v>
      </c>
      <c r="E33" s="9">
        <f t="shared" si="8"/>
        <v>27.414999999999999</v>
      </c>
      <c r="F33" s="9">
        <v>41.42</v>
      </c>
      <c r="G33" s="10">
        <v>1.0699999999999999E-2</v>
      </c>
      <c r="H33" s="9">
        <f t="shared" si="9"/>
        <v>62.82</v>
      </c>
      <c r="I33" s="9">
        <v>378.88</v>
      </c>
      <c r="J33" s="10">
        <v>2.5526</v>
      </c>
      <c r="K33" s="9">
        <f t="shared" si="10"/>
        <v>634.14</v>
      </c>
      <c r="L33" s="9">
        <v>23798.52</v>
      </c>
      <c r="M33" s="10">
        <v>1.4040999999999999</v>
      </c>
      <c r="N33" s="9">
        <f t="shared" si="14"/>
        <v>37839.519999999997</v>
      </c>
      <c r="P33" s="33">
        <v>240076</v>
      </c>
      <c r="Q33" s="33"/>
    </row>
    <row r="34" spans="1:17" ht="14.45" x14ac:dyDescent="0.3">
      <c r="A34" s="1" t="s">
        <v>65</v>
      </c>
      <c r="C34" s="9">
        <v>22.14</v>
      </c>
      <c r="D34" s="10">
        <v>9.1999999999999998E-3</v>
      </c>
      <c r="E34" s="9">
        <f t="shared" si="8"/>
        <v>29.04</v>
      </c>
      <c r="F34" s="9">
        <v>22.52</v>
      </c>
      <c r="G34" s="10">
        <v>9.7999999999999997E-3</v>
      </c>
      <c r="H34" s="9">
        <f t="shared" si="9"/>
        <v>42.12</v>
      </c>
      <c r="I34" s="9">
        <v>83.58</v>
      </c>
      <c r="J34" s="10">
        <v>1.4464999999999999</v>
      </c>
      <c r="K34" s="9">
        <f t="shared" si="10"/>
        <v>228.22999999999996</v>
      </c>
      <c r="L34" s="9"/>
      <c r="N34" s="9"/>
      <c r="P34" s="33">
        <v>1221</v>
      </c>
      <c r="Q34" s="33"/>
    </row>
    <row r="35" spans="1:17" ht="14.45" x14ac:dyDescent="0.3">
      <c r="A35" s="1" t="s">
        <v>28</v>
      </c>
      <c r="C35" s="9">
        <v>11.9</v>
      </c>
      <c r="D35" s="10">
        <v>5.1000000000000004E-3</v>
      </c>
      <c r="E35" s="9">
        <f t="shared" si="8"/>
        <v>15.725000000000001</v>
      </c>
      <c r="F35" s="9">
        <v>15.47</v>
      </c>
      <c r="G35" s="10">
        <v>6.1000000000000004E-3</v>
      </c>
      <c r="H35" s="9">
        <f t="shared" si="9"/>
        <v>27.67</v>
      </c>
      <c r="I35" s="9">
        <v>100.99</v>
      </c>
      <c r="J35" s="10">
        <v>2.0470000000000002</v>
      </c>
      <c r="K35" s="9">
        <f t="shared" si="10"/>
        <v>305.69</v>
      </c>
      <c r="L35" s="9"/>
      <c r="N35" s="9"/>
      <c r="P35" s="33">
        <v>5499</v>
      </c>
      <c r="Q35" s="33"/>
    </row>
    <row r="36" spans="1:17" ht="14.45" x14ac:dyDescent="0.3">
      <c r="A36" s="1" t="s">
        <v>12</v>
      </c>
      <c r="C36" s="9">
        <v>17.64</v>
      </c>
      <c r="D36" s="10">
        <v>8.0000000000000002E-3</v>
      </c>
      <c r="E36" s="9">
        <f t="shared" si="8"/>
        <v>23.64</v>
      </c>
      <c r="F36" s="9">
        <v>25.12</v>
      </c>
      <c r="G36" s="10">
        <v>1.67E-2</v>
      </c>
      <c r="H36" s="9">
        <f t="shared" si="9"/>
        <v>58.519999999999996</v>
      </c>
      <c r="I36" s="9">
        <v>125.33</v>
      </c>
      <c r="J36" s="10">
        <v>2.8386999999999998</v>
      </c>
      <c r="K36" s="9">
        <f t="shared" si="10"/>
        <v>409.2</v>
      </c>
      <c r="L36" s="9">
        <v>4705.66</v>
      </c>
      <c r="M36" s="10">
        <v>2.4948999999999999</v>
      </c>
      <c r="N36" s="9">
        <f t="shared" si="14"/>
        <v>29654.66</v>
      </c>
      <c r="P36" s="33">
        <v>149618</v>
      </c>
      <c r="Q36" s="33"/>
    </row>
    <row r="37" spans="1:17" ht="14.45" x14ac:dyDescent="0.3">
      <c r="A37" s="48" t="s">
        <v>88</v>
      </c>
      <c r="B37" s="49"/>
      <c r="C37" s="50">
        <v>24.78</v>
      </c>
      <c r="D37" s="51">
        <v>9.4000000000000004E-3</v>
      </c>
      <c r="E37" s="50">
        <f t="shared" si="8"/>
        <v>31.830000000000002</v>
      </c>
      <c r="F37" s="50">
        <v>23.3</v>
      </c>
      <c r="G37" s="51">
        <v>2.6200000000000001E-2</v>
      </c>
      <c r="H37" s="50">
        <f t="shared" si="9"/>
        <v>75.7</v>
      </c>
      <c r="I37" s="50">
        <v>93.97</v>
      </c>
      <c r="J37" s="51">
        <v>9.1837</v>
      </c>
      <c r="K37" s="50">
        <f t="shared" si="10"/>
        <v>1012.34</v>
      </c>
      <c r="L37" s="9"/>
      <c r="N37" s="9"/>
      <c r="P37" s="33"/>
      <c r="Q37" s="33"/>
    </row>
    <row r="38" spans="1:17" ht="14.45" x14ac:dyDescent="0.3">
      <c r="A38" s="48" t="s">
        <v>89</v>
      </c>
      <c r="B38" s="49"/>
      <c r="C38" s="50">
        <v>33.770000000000003</v>
      </c>
      <c r="D38" s="51">
        <v>2.3E-2</v>
      </c>
      <c r="E38" s="50">
        <f t="shared" si="8"/>
        <v>51.02</v>
      </c>
      <c r="F38" s="50">
        <v>27.87</v>
      </c>
      <c r="G38" s="51">
        <v>5.6000000000000001E-2</v>
      </c>
      <c r="H38" s="50">
        <f t="shared" si="9"/>
        <v>139.87</v>
      </c>
      <c r="I38" s="50">
        <v>89.48</v>
      </c>
      <c r="J38" s="51">
        <v>16.023599999999998</v>
      </c>
      <c r="K38" s="50">
        <f t="shared" si="10"/>
        <v>1691.84</v>
      </c>
      <c r="L38" s="9"/>
      <c r="N38" s="9"/>
      <c r="P38" s="33"/>
      <c r="Q38" s="33"/>
    </row>
    <row r="39" spans="1:17" ht="14.45" x14ac:dyDescent="0.3">
      <c r="A39" s="48" t="s">
        <v>92</v>
      </c>
      <c r="B39" s="49"/>
      <c r="C39" s="50">
        <v>37.47</v>
      </c>
      <c r="D39" s="51">
        <v>0</v>
      </c>
      <c r="E39" s="50">
        <f t="shared" ref="E39:E40" si="15">+C39+(D39*$B$4)</f>
        <v>37.47</v>
      </c>
      <c r="F39" s="50">
        <v>26.15</v>
      </c>
      <c r="G39" s="51">
        <v>3.1699999999999999E-2</v>
      </c>
      <c r="H39" s="50">
        <f t="shared" ref="H39:H40" si="16">+F39+(G39*$B$5)</f>
        <v>89.55</v>
      </c>
      <c r="I39" s="50">
        <v>108.63</v>
      </c>
      <c r="J39" s="51">
        <v>10.8</v>
      </c>
      <c r="K39" s="50">
        <f t="shared" ref="K39:K40" si="17">+I39+(J39*$B$6)</f>
        <v>1188.6300000000001</v>
      </c>
      <c r="L39" s="9"/>
      <c r="N39" s="9"/>
      <c r="P39" s="33"/>
      <c r="Q39" s="33"/>
    </row>
    <row r="40" spans="1:17" ht="14.45" x14ac:dyDescent="0.3">
      <c r="A40" s="48" t="s">
        <v>93</v>
      </c>
      <c r="B40" s="49"/>
      <c r="C40" s="50">
        <v>58.34</v>
      </c>
      <c r="D40" s="51">
        <v>0</v>
      </c>
      <c r="E40" s="50">
        <f t="shared" si="15"/>
        <v>58.34</v>
      </c>
      <c r="F40" s="50">
        <v>32</v>
      </c>
      <c r="G40" s="51">
        <v>6.7100000000000007E-2</v>
      </c>
      <c r="H40" s="50">
        <f t="shared" si="16"/>
        <v>166.20000000000002</v>
      </c>
      <c r="I40" s="50">
        <v>109.34</v>
      </c>
      <c r="J40" s="51">
        <v>18.850200000000001</v>
      </c>
      <c r="K40" s="50">
        <f t="shared" si="17"/>
        <v>1994.36</v>
      </c>
      <c r="L40" s="9"/>
      <c r="N40" s="9"/>
      <c r="P40" s="33"/>
      <c r="Q40" s="33"/>
    </row>
    <row r="41" spans="1:17" ht="14.45" x14ac:dyDescent="0.3">
      <c r="A41" s="48" t="s">
        <v>94</v>
      </c>
      <c r="B41" s="49"/>
      <c r="C41" s="50">
        <f>+E41</f>
        <v>43.11</v>
      </c>
      <c r="D41" s="51">
        <v>0</v>
      </c>
      <c r="E41" s="50">
        <f t="shared" ref="E41:G42" si="18">+E39+((E39-E37))</f>
        <v>43.11</v>
      </c>
      <c r="F41" s="50">
        <f t="shared" si="18"/>
        <v>28.999999999999996</v>
      </c>
      <c r="G41" s="51">
        <f t="shared" si="18"/>
        <v>3.7199999999999997E-2</v>
      </c>
      <c r="H41" s="50">
        <f t="shared" ref="H41:H42" si="19">+F41+(G41*$B$5)</f>
        <v>103.39999999999999</v>
      </c>
      <c r="I41" s="50">
        <f>+I39+((I39-I37))</f>
        <v>123.28999999999999</v>
      </c>
      <c r="J41" s="51">
        <f>+J39+((J39-J37))</f>
        <v>12.416300000000001</v>
      </c>
      <c r="K41" s="50">
        <f t="shared" ref="K41:K42" si="20">+I41+(J41*$B$6)</f>
        <v>1364.92</v>
      </c>
      <c r="L41" s="9"/>
      <c r="N41" s="9"/>
      <c r="P41" s="33"/>
      <c r="Q41" s="33"/>
    </row>
    <row r="42" spans="1:17" ht="14.45" x14ac:dyDescent="0.3">
      <c r="A42" s="48" t="s">
        <v>95</v>
      </c>
      <c r="B42" s="49"/>
      <c r="C42" s="50">
        <f>+E42</f>
        <v>65.66</v>
      </c>
      <c r="D42" s="51">
        <v>0</v>
      </c>
      <c r="E42" s="50">
        <f t="shared" si="18"/>
        <v>65.66</v>
      </c>
      <c r="F42" s="50">
        <f t="shared" si="18"/>
        <v>36.129999999999995</v>
      </c>
      <c r="G42" s="51">
        <f t="shared" si="18"/>
        <v>7.8200000000000019E-2</v>
      </c>
      <c r="H42" s="50">
        <f t="shared" si="19"/>
        <v>192.53000000000003</v>
      </c>
      <c r="I42" s="50">
        <f>+I40+((I40-I38))</f>
        <v>129.19999999999999</v>
      </c>
      <c r="J42" s="51">
        <f>+J40+((J40-J38))</f>
        <v>21.676800000000004</v>
      </c>
      <c r="K42" s="50">
        <f t="shared" si="20"/>
        <v>2296.88</v>
      </c>
      <c r="L42" s="9"/>
      <c r="N42" s="9"/>
      <c r="P42" s="33"/>
      <c r="Q42" s="33"/>
    </row>
    <row r="43" spans="1:17" ht="14.45" x14ac:dyDescent="0.3">
      <c r="A43" s="48" t="s">
        <v>90</v>
      </c>
      <c r="B43" s="49"/>
      <c r="C43" s="50">
        <v>31.6</v>
      </c>
      <c r="D43" s="51">
        <v>0</v>
      </c>
      <c r="E43" s="50">
        <f t="shared" si="8"/>
        <v>31.6</v>
      </c>
      <c r="F43" s="50">
        <v>35.68</v>
      </c>
      <c r="G43" s="51">
        <v>2.06E-2</v>
      </c>
      <c r="H43" s="50">
        <f t="shared" si="9"/>
        <v>76.88</v>
      </c>
      <c r="I43" s="50">
        <v>282.77</v>
      </c>
      <c r="J43" s="51">
        <v>5.1984000000000004</v>
      </c>
      <c r="K43" s="50">
        <f t="shared" si="10"/>
        <v>802.61</v>
      </c>
      <c r="L43" s="9"/>
      <c r="N43" s="9"/>
      <c r="P43" s="33"/>
      <c r="Q43" s="33"/>
    </row>
    <row r="44" spans="1:17" ht="14.45" x14ac:dyDescent="0.3">
      <c r="A44" s="48" t="s">
        <v>91</v>
      </c>
      <c r="B44" s="49"/>
      <c r="C44" s="50">
        <v>41.17</v>
      </c>
      <c r="D44" s="51">
        <v>0</v>
      </c>
      <c r="E44" s="50">
        <f t="shared" si="8"/>
        <v>41.17</v>
      </c>
      <c r="F44" s="50">
        <v>42.92</v>
      </c>
      <c r="G44" s="51">
        <v>1.9900000000000001E-2</v>
      </c>
      <c r="H44" s="50">
        <f t="shared" si="9"/>
        <v>82.72</v>
      </c>
      <c r="I44" s="50">
        <v>252.3</v>
      </c>
      <c r="J44" s="51">
        <v>6.3239000000000001</v>
      </c>
      <c r="K44" s="50">
        <f t="shared" si="10"/>
        <v>884.69</v>
      </c>
      <c r="L44" s="9"/>
      <c r="N44" s="9"/>
      <c r="P44" s="33"/>
      <c r="Q44" s="33"/>
    </row>
    <row r="45" spans="1:17" ht="14.45" x14ac:dyDescent="0.3">
      <c r="A45" s="48" t="s">
        <v>96</v>
      </c>
      <c r="B45" s="49"/>
      <c r="C45" s="50">
        <f>+C43*(C41/C39)</f>
        <v>36.356445156124899</v>
      </c>
      <c r="D45" s="51">
        <v>0</v>
      </c>
      <c r="E45" s="50">
        <f t="shared" ref="E45:E46" si="21">+C45+(D45*$B$4)</f>
        <v>36.356445156124899</v>
      </c>
      <c r="F45" s="50">
        <f>+F43*(F41/F39)</f>
        <v>39.568642447418732</v>
      </c>
      <c r="G45" s="51">
        <f>+G43*(G41/G39)</f>
        <v>2.4174132492113566E-2</v>
      </c>
      <c r="H45" s="50">
        <f t="shared" ref="H45:H46" si="22">+F45+(G45*$B$5)</f>
        <v>87.916907431645868</v>
      </c>
      <c r="I45" s="50">
        <f>+I43*(I41/I39)</f>
        <v>320.93080456595783</v>
      </c>
      <c r="J45" s="51">
        <f>+J43*(J41/J39)</f>
        <v>5.9763790666666674</v>
      </c>
      <c r="K45" s="50">
        <f t="shared" ref="K45:K46" si="23">+I45+(J45*$B$6)</f>
        <v>918.56871123262454</v>
      </c>
      <c r="L45" s="9"/>
      <c r="N45" s="9"/>
      <c r="P45" s="33"/>
      <c r="Q45" s="33"/>
    </row>
    <row r="46" spans="1:17" ht="14.45" x14ac:dyDescent="0.3">
      <c r="A46" s="48" t="s">
        <v>97</v>
      </c>
      <c r="B46" s="49"/>
      <c r="C46" s="50">
        <f>+C44*(C42/C40)</f>
        <v>46.335656496400411</v>
      </c>
      <c r="D46" s="51">
        <v>0</v>
      </c>
      <c r="E46" s="50">
        <f t="shared" si="21"/>
        <v>46.335656496400411</v>
      </c>
      <c r="F46" s="50">
        <f>+F44*(F42/F40)</f>
        <v>48.459362499999997</v>
      </c>
      <c r="G46" s="51">
        <f>+G44*(G42/G40)</f>
        <v>2.3191952309985102E-2</v>
      </c>
      <c r="H46" s="50">
        <f t="shared" si="22"/>
        <v>94.843267119970193</v>
      </c>
      <c r="I46" s="50">
        <f>+I44*(I42/I40)</f>
        <v>298.12657764770438</v>
      </c>
      <c r="J46" s="51">
        <f>+J44*(J42/J40)</f>
        <v>7.2721730018779658</v>
      </c>
      <c r="K46" s="50">
        <f t="shared" si="23"/>
        <v>1025.343877835501</v>
      </c>
      <c r="L46" s="9"/>
      <c r="N46" s="9"/>
      <c r="P46" s="33"/>
      <c r="Q46" s="33"/>
    </row>
    <row r="47" spans="1:17" ht="14.45" x14ac:dyDescent="0.3">
      <c r="A47" s="1" t="s">
        <v>9</v>
      </c>
      <c r="C47" s="9">
        <v>16.600000000000001</v>
      </c>
      <c r="D47" s="10">
        <v>1.5100000000000001E-2</v>
      </c>
      <c r="E47" s="9">
        <f t="shared" si="8"/>
        <v>27.925000000000004</v>
      </c>
      <c r="F47" s="9">
        <v>17.89</v>
      </c>
      <c r="G47" s="10">
        <v>2.2700000000000001E-2</v>
      </c>
      <c r="H47" s="9">
        <f t="shared" si="9"/>
        <v>63.290000000000006</v>
      </c>
      <c r="I47" s="9">
        <v>200</v>
      </c>
      <c r="J47" s="10">
        <v>4.3244999999999996</v>
      </c>
      <c r="K47" s="9">
        <f t="shared" si="10"/>
        <v>632.44999999999993</v>
      </c>
      <c r="L47" s="9">
        <v>15231.32</v>
      </c>
      <c r="M47" s="10">
        <v>3.7199</v>
      </c>
      <c r="N47" s="9">
        <f t="shared" si="14"/>
        <v>52430.32</v>
      </c>
      <c r="P47" s="33">
        <v>319536</v>
      </c>
      <c r="Q47" s="33"/>
    </row>
    <row r="48" spans="1:17" ht="14.45" x14ac:dyDescent="0.3">
      <c r="A48" s="1" t="s">
        <v>66</v>
      </c>
      <c r="C48" s="9">
        <v>36.53</v>
      </c>
      <c r="D48" s="10">
        <v>1.38E-2</v>
      </c>
      <c r="E48" s="9">
        <f t="shared" si="8"/>
        <v>46.88</v>
      </c>
      <c r="F48" s="9">
        <v>46.04</v>
      </c>
      <c r="G48" s="10">
        <v>1.11E-2</v>
      </c>
      <c r="H48" s="9">
        <f t="shared" si="9"/>
        <v>68.239999999999995</v>
      </c>
      <c r="I48" s="9">
        <v>470.49</v>
      </c>
      <c r="J48" s="10">
        <v>2.7282999999999999</v>
      </c>
      <c r="K48" s="9">
        <f t="shared" si="10"/>
        <v>743.31999999999994</v>
      </c>
      <c r="L48" s="9"/>
      <c r="N48" s="9"/>
      <c r="P48" s="33">
        <v>15790</v>
      </c>
      <c r="Q48" s="33"/>
    </row>
    <row r="49" spans="1:17" ht="14.45" x14ac:dyDescent="0.3">
      <c r="A49" s="1" t="s">
        <v>67</v>
      </c>
      <c r="C49" s="9">
        <v>25.1</v>
      </c>
      <c r="D49" s="10">
        <v>7.4000000000000003E-3</v>
      </c>
      <c r="E49" s="9">
        <f t="shared" si="8"/>
        <v>30.650000000000002</v>
      </c>
      <c r="F49" s="9">
        <v>39.22</v>
      </c>
      <c r="G49" s="10">
        <v>6.1999999999999998E-3</v>
      </c>
      <c r="H49" s="9">
        <f t="shared" si="9"/>
        <v>51.62</v>
      </c>
      <c r="I49" s="9">
        <v>542.71</v>
      </c>
      <c r="J49" s="10">
        <v>1.7292000000000001</v>
      </c>
      <c r="K49" s="9">
        <f t="shared" si="10"/>
        <v>715.63000000000011</v>
      </c>
      <c r="L49" s="9"/>
      <c r="N49" s="9"/>
      <c r="P49" s="33">
        <v>5558</v>
      </c>
      <c r="Q49" s="33"/>
    </row>
    <row r="50" spans="1:17" ht="14.45" x14ac:dyDescent="0.3">
      <c r="A50" s="1" t="s">
        <v>29</v>
      </c>
      <c r="C50" s="9">
        <v>18.54</v>
      </c>
      <c r="D50" s="10">
        <v>8.2000000000000007E-3</v>
      </c>
      <c r="E50" s="9">
        <f t="shared" si="8"/>
        <v>24.689999999999998</v>
      </c>
      <c r="F50" s="9">
        <v>14.59</v>
      </c>
      <c r="G50" s="10">
        <v>1.5100000000000001E-2</v>
      </c>
      <c r="H50" s="9">
        <f t="shared" si="9"/>
        <v>44.790000000000006</v>
      </c>
      <c r="I50" s="9">
        <v>107.49</v>
      </c>
      <c r="J50" s="10">
        <v>3.101</v>
      </c>
      <c r="K50" s="9">
        <f t="shared" si="10"/>
        <v>417.59000000000003</v>
      </c>
      <c r="L50" s="9">
        <v>5164</v>
      </c>
      <c r="M50" s="10">
        <v>1.216</v>
      </c>
      <c r="N50" s="9">
        <f t="shared" si="14"/>
        <v>17324</v>
      </c>
      <c r="P50" s="33">
        <v>27356</v>
      </c>
      <c r="Q50" s="33"/>
    </row>
    <row r="51" spans="1:17" ht="14.45" x14ac:dyDescent="0.3">
      <c r="A51" s="1" t="s">
        <v>13</v>
      </c>
      <c r="C51" s="9">
        <v>16.64</v>
      </c>
      <c r="D51" s="10">
        <v>8.3999999999999995E-3</v>
      </c>
      <c r="E51" s="9">
        <f t="shared" si="8"/>
        <v>22.94</v>
      </c>
      <c r="F51" s="9">
        <v>27.11</v>
      </c>
      <c r="G51" s="10">
        <v>1.2999999999999999E-2</v>
      </c>
      <c r="H51" s="9">
        <f t="shared" si="9"/>
        <v>53.11</v>
      </c>
      <c r="I51" s="9">
        <v>178.91</v>
      </c>
      <c r="J51" s="10">
        <v>4.6515000000000004</v>
      </c>
      <c r="K51" s="9">
        <f t="shared" si="10"/>
        <v>644.06000000000006</v>
      </c>
      <c r="L51" s="9">
        <v>16783.62</v>
      </c>
      <c r="M51" s="10">
        <v>1.5365</v>
      </c>
      <c r="N51" s="9">
        <f t="shared" si="14"/>
        <v>32148.62</v>
      </c>
      <c r="P51" s="33">
        <v>91143</v>
      </c>
      <c r="Q51" s="33"/>
    </row>
    <row r="52" spans="1:17" x14ac:dyDescent="0.25">
      <c r="A52" s="1" t="s">
        <v>30</v>
      </c>
      <c r="C52" s="9">
        <v>16</v>
      </c>
      <c r="D52" s="10">
        <v>7.6E-3</v>
      </c>
      <c r="E52" s="9">
        <f t="shared" si="8"/>
        <v>21.7</v>
      </c>
      <c r="F52" s="9">
        <v>23.96</v>
      </c>
      <c r="G52" s="10">
        <v>8.2000000000000007E-3</v>
      </c>
      <c r="H52" s="9">
        <f t="shared" si="9"/>
        <v>40.36</v>
      </c>
      <c r="I52" s="9">
        <v>84.19</v>
      </c>
      <c r="J52" s="10">
        <v>3.3734999999999999</v>
      </c>
      <c r="K52" s="9">
        <f t="shared" si="10"/>
        <v>421.54</v>
      </c>
      <c r="L52" s="9"/>
      <c r="N52" s="9"/>
      <c r="P52" s="33">
        <v>9996</v>
      </c>
      <c r="Q52" s="33"/>
    </row>
    <row r="53" spans="1:17" x14ac:dyDescent="0.25">
      <c r="A53" s="1" t="s">
        <v>31</v>
      </c>
      <c r="C53" s="9">
        <v>27.15</v>
      </c>
      <c r="D53" s="10">
        <v>7.6E-3</v>
      </c>
      <c r="E53" s="9">
        <f t="shared" si="8"/>
        <v>32.85</v>
      </c>
      <c r="F53" s="9">
        <v>45.32</v>
      </c>
      <c r="G53" s="10">
        <v>9.1999999999999998E-3</v>
      </c>
      <c r="H53" s="9">
        <f t="shared" si="9"/>
        <v>63.72</v>
      </c>
      <c r="I53" s="9">
        <v>319.19</v>
      </c>
      <c r="J53" s="10">
        <v>2.8702999999999999</v>
      </c>
      <c r="K53" s="9">
        <f t="shared" si="10"/>
        <v>606.22</v>
      </c>
      <c r="L53" s="9"/>
      <c r="N53" s="9"/>
      <c r="P53" s="33">
        <v>13264</v>
      </c>
      <c r="Q53" s="33"/>
    </row>
    <row r="54" spans="1:17" x14ac:dyDescent="0.25">
      <c r="A54" s="1" t="s">
        <v>68</v>
      </c>
      <c r="C54" s="9">
        <v>19.34</v>
      </c>
      <c r="D54" s="10">
        <v>8.2000000000000007E-3</v>
      </c>
      <c r="E54" s="9">
        <f t="shared" si="8"/>
        <v>25.490000000000002</v>
      </c>
      <c r="F54" s="9">
        <v>32.25</v>
      </c>
      <c r="G54" s="10">
        <v>1.0800000000000001E-2</v>
      </c>
      <c r="H54" s="9">
        <f t="shared" si="9"/>
        <v>53.85</v>
      </c>
      <c r="I54" s="9">
        <v>157.55000000000001</v>
      </c>
      <c r="J54" s="10">
        <v>2.7202000000000002</v>
      </c>
      <c r="K54" s="9">
        <f t="shared" si="10"/>
        <v>429.57000000000005</v>
      </c>
      <c r="L54" s="9">
        <v>20286.64</v>
      </c>
      <c r="M54" s="10">
        <v>2.2637999999999998</v>
      </c>
      <c r="N54" s="9">
        <f t="shared" si="14"/>
        <v>42924.639999999999</v>
      </c>
      <c r="P54" s="33">
        <v>152544</v>
      </c>
      <c r="Q54" s="33"/>
    </row>
    <row r="55" spans="1:17" x14ac:dyDescent="0.25">
      <c r="A55" s="1" t="s">
        <v>69</v>
      </c>
      <c r="C55" s="9">
        <v>23.2</v>
      </c>
      <c r="D55" s="10">
        <v>1.0699999999999999E-2</v>
      </c>
      <c r="E55" s="9">
        <f t="shared" si="8"/>
        <v>31.225000000000001</v>
      </c>
      <c r="F55" s="9">
        <v>22.62</v>
      </c>
      <c r="G55" s="10">
        <v>1.67E-2</v>
      </c>
      <c r="H55" s="9">
        <f t="shared" si="9"/>
        <v>56.019999999999996</v>
      </c>
      <c r="I55" s="9">
        <v>63.93</v>
      </c>
      <c r="J55" s="10">
        <v>3.2581000000000002</v>
      </c>
      <c r="K55" s="9">
        <f t="shared" si="10"/>
        <v>389.74</v>
      </c>
      <c r="L55" s="9"/>
      <c r="N55" s="9"/>
      <c r="P55" s="33">
        <v>7035</v>
      </c>
      <c r="Q55" s="33"/>
    </row>
    <row r="56" spans="1:17" x14ac:dyDescent="0.25">
      <c r="A56" s="1" t="s">
        <v>70</v>
      </c>
      <c r="C56" s="9">
        <v>21.74</v>
      </c>
      <c r="D56" s="10">
        <v>7.4000000000000003E-3</v>
      </c>
      <c r="E56" s="9">
        <f t="shared" si="8"/>
        <v>27.29</v>
      </c>
      <c r="F56" s="9">
        <v>16.809999999999999</v>
      </c>
      <c r="G56" s="10">
        <v>1.77E-2</v>
      </c>
      <c r="H56" s="9">
        <f t="shared" si="9"/>
        <v>52.209999999999994</v>
      </c>
      <c r="I56" s="9">
        <v>79.38</v>
      </c>
      <c r="J56" s="10">
        <v>3.0630000000000002</v>
      </c>
      <c r="K56" s="9">
        <f t="shared" si="10"/>
        <v>385.68</v>
      </c>
      <c r="L56" s="9">
        <v>2487.7399999999998</v>
      </c>
      <c r="M56" s="10">
        <v>1.4893000000000001</v>
      </c>
      <c r="N56" s="9">
        <f t="shared" si="14"/>
        <v>17380.739999999998</v>
      </c>
      <c r="P56" s="33">
        <v>35111</v>
      </c>
      <c r="Q56" s="33"/>
    </row>
    <row r="57" spans="1:17" x14ac:dyDescent="0.25">
      <c r="A57" s="1" t="s">
        <v>71</v>
      </c>
      <c r="C57" s="9">
        <v>21.29</v>
      </c>
      <c r="D57" s="10">
        <v>7.4999999999999997E-3</v>
      </c>
      <c r="E57" s="9">
        <f t="shared" si="8"/>
        <v>26.914999999999999</v>
      </c>
      <c r="F57" s="9">
        <v>30.61</v>
      </c>
      <c r="G57" s="10">
        <v>0.02</v>
      </c>
      <c r="H57" s="9">
        <f t="shared" si="9"/>
        <v>70.61</v>
      </c>
      <c r="I57" s="9">
        <v>138.81</v>
      </c>
      <c r="J57" s="10">
        <v>4.7885999999999997</v>
      </c>
      <c r="K57" s="9">
        <f t="shared" si="10"/>
        <v>617.66999999999996</v>
      </c>
      <c r="L57" s="9"/>
      <c r="N57" s="9"/>
      <c r="P57" s="33">
        <v>34871</v>
      </c>
      <c r="Q57" s="33"/>
    </row>
    <row r="58" spans="1:17" x14ac:dyDescent="0.25">
      <c r="A58" s="1" t="s">
        <v>72</v>
      </c>
      <c r="C58" s="9">
        <v>25.74</v>
      </c>
      <c r="D58" s="10">
        <v>9.4999999999999998E-3</v>
      </c>
      <c r="E58" s="9">
        <f t="shared" si="8"/>
        <v>32.864999999999995</v>
      </c>
      <c r="F58" s="9">
        <v>38.729999999999997</v>
      </c>
      <c r="G58" s="10">
        <v>1.4200000000000001E-2</v>
      </c>
      <c r="H58" s="9">
        <f t="shared" si="9"/>
        <v>67.13</v>
      </c>
      <c r="I58" s="9">
        <v>105.29</v>
      </c>
      <c r="J58" s="10">
        <v>3.4418000000000002</v>
      </c>
      <c r="K58" s="9">
        <f t="shared" si="10"/>
        <v>449.47</v>
      </c>
      <c r="L58" s="9"/>
      <c r="N58" s="9"/>
      <c r="P58" s="33">
        <v>51824</v>
      </c>
      <c r="Q58" s="33"/>
    </row>
    <row r="59" spans="1:17" x14ac:dyDescent="0.25">
      <c r="A59" s="1" t="s">
        <v>73</v>
      </c>
      <c r="C59" s="9">
        <v>24.02</v>
      </c>
      <c r="D59" s="10">
        <v>6.6E-3</v>
      </c>
      <c r="E59" s="9">
        <f t="shared" si="8"/>
        <v>28.97</v>
      </c>
      <c r="F59" s="9">
        <v>39.06</v>
      </c>
      <c r="G59" s="10">
        <v>1.17E-2</v>
      </c>
      <c r="H59" s="9">
        <f t="shared" si="9"/>
        <v>62.460000000000008</v>
      </c>
      <c r="I59" s="9">
        <v>279.14</v>
      </c>
      <c r="J59" s="10">
        <v>2.2027999999999999</v>
      </c>
      <c r="K59" s="9">
        <f t="shared" si="10"/>
        <v>499.41999999999996</v>
      </c>
      <c r="L59" s="9"/>
      <c r="N59" s="9"/>
      <c r="P59" s="33">
        <v>8672</v>
      </c>
      <c r="Q59" s="33"/>
    </row>
    <row r="60" spans="1:17" x14ac:dyDescent="0.25">
      <c r="A60" s="1" t="s">
        <v>74</v>
      </c>
      <c r="C60" s="9">
        <v>22.17</v>
      </c>
      <c r="D60" s="10">
        <v>7.3000000000000001E-3</v>
      </c>
      <c r="E60" s="9">
        <f t="shared" si="8"/>
        <v>27.645000000000003</v>
      </c>
      <c r="F60" s="9">
        <v>24.07</v>
      </c>
      <c r="G60" s="10">
        <v>1.8499999999999999E-2</v>
      </c>
      <c r="H60" s="9">
        <f t="shared" si="9"/>
        <v>61.07</v>
      </c>
      <c r="I60" s="9">
        <v>304.05</v>
      </c>
      <c r="J60" s="10">
        <v>2.5383</v>
      </c>
      <c r="K60" s="9">
        <f t="shared" si="10"/>
        <v>557.88</v>
      </c>
      <c r="L60" s="9"/>
      <c r="N60" s="9"/>
      <c r="P60" s="33">
        <v>23975</v>
      </c>
      <c r="Q60" s="33"/>
    </row>
    <row r="61" spans="1:17" x14ac:dyDescent="0.25">
      <c r="A61" s="1" t="s">
        <v>75</v>
      </c>
      <c r="C61" s="9">
        <v>31.7</v>
      </c>
      <c r="D61" s="10">
        <v>9.7000000000000003E-3</v>
      </c>
      <c r="E61" s="9">
        <f t="shared" si="8"/>
        <v>38.975000000000001</v>
      </c>
      <c r="F61" s="9">
        <v>33.29</v>
      </c>
      <c r="G61" s="10">
        <v>1.8599999999999998E-2</v>
      </c>
      <c r="H61" s="9">
        <f t="shared" si="9"/>
        <v>70.489999999999995</v>
      </c>
      <c r="I61" s="9">
        <v>191.6</v>
      </c>
      <c r="J61" s="10">
        <v>1.1866000000000001</v>
      </c>
      <c r="K61" s="9">
        <f t="shared" si="10"/>
        <v>310.26</v>
      </c>
      <c r="L61" s="9"/>
      <c r="N61" s="9"/>
      <c r="P61" s="33">
        <v>6062</v>
      </c>
      <c r="Q61" s="33"/>
    </row>
    <row r="62" spans="1:17" x14ac:dyDescent="0.25">
      <c r="A62" s="1" t="s">
        <v>47</v>
      </c>
      <c r="C62" s="9">
        <v>21.95</v>
      </c>
      <c r="D62" s="10">
        <v>8.2000000000000007E-3</v>
      </c>
      <c r="E62" s="9">
        <f t="shared" si="8"/>
        <v>28.1</v>
      </c>
      <c r="F62" s="9">
        <v>36.26</v>
      </c>
      <c r="G62" s="10">
        <v>1.61E-2</v>
      </c>
      <c r="H62" s="9">
        <f t="shared" si="9"/>
        <v>68.460000000000008</v>
      </c>
      <c r="I62" s="9">
        <v>123.74</v>
      </c>
      <c r="J62" s="10">
        <v>4.8388</v>
      </c>
      <c r="K62" s="9">
        <f t="shared" si="10"/>
        <v>607.62</v>
      </c>
      <c r="L62" s="9"/>
      <c r="N62" s="9"/>
      <c r="P62" s="33">
        <v>66530</v>
      </c>
      <c r="Q62" s="33"/>
    </row>
    <row r="63" spans="1:17" x14ac:dyDescent="0.25">
      <c r="A63" s="1" t="s">
        <v>32</v>
      </c>
      <c r="C63" s="9">
        <v>21</v>
      </c>
      <c r="D63" s="10">
        <v>6.8999999999999999E-3</v>
      </c>
      <c r="E63" s="9">
        <f t="shared" si="8"/>
        <v>26.175000000000001</v>
      </c>
      <c r="F63" s="9">
        <v>32.71</v>
      </c>
      <c r="G63" s="10">
        <v>0.01</v>
      </c>
      <c r="H63" s="9">
        <f t="shared" si="9"/>
        <v>52.71</v>
      </c>
      <c r="I63" s="9">
        <v>167.64</v>
      </c>
      <c r="J63" s="10">
        <v>2.2507000000000001</v>
      </c>
      <c r="K63" s="9">
        <f t="shared" si="10"/>
        <v>392.71000000000004</v>
      </c>
      <c r="L63" s="9"/>
      <c r="N63" s="9"/>
      <c r="P63" s="33">
        <v>11685</v>
      </c>
      <c r="Q63" s="33"/>
    </row>
    <row r="64" spans="1:17" x14ac:dyDescent="0.25">
      <c r="A64" s="48" t="s">
        <v>76</v>
      </c>
      <c r="B64" s="49"/>
      <c r="C64" s="50">
        <v>21.45</v>
      </c>
      <c r="D64" s="51">
        <v>8.6999999999999994E-3</v>
      </c>
      <c r="E64" s="50">
        <f t="shared" si="8"/>
        <v>27.974999999999998</v>
      </c>
      <c r="F64" s="50">
        <v>38.090000000000003</v>
      </c>
      <c r="G64" s="51">
        <v>1.6799999999999999E-2</v>
      </c>
      <c r="H64" s="50">
        <f t="shared" si="9"/>
        <v>71.69</v>
      </c>
      <c r="I64" s="50">
        <v>346.73</v>
      </c>
      <c r="J64" s="51">
        <v>3.6469999999999998</v>
      </c>
      <c r="K64" s="50">
        <f t="shared" si="10"/>
        <v>711.43000000000006</v>
      </c>
      <c r="L64" s="9"/>
      <c r="N64" s="9"/>
      <c r="P64" s="33">
        <v>13340</v>
      </c>
      <c r="Q64" s="33"/>
    </row>
    <row r="65" spans="1:17" x14ac:dyDescent="0.25">
      <c r="A65" s="1" t="s">
        <v>33</v>
      </c>
      <c r="C65" s="9">
        <v>14.22</v>
      </c>
      <c r="D65" s="10">
        <v>1.09E-2</v>
      </c>
      <c r="E65" s="9">
        <f t="shared" si="8"/>
        <v>22.395000000000003</v>
      </c>
      <c r="F65" s="9">
        <v>16.239999999999998</v>
      </c>
      <c r="G65" s="10">
        <v>1.61E-2</v>
      </c>
      <c r="H65" s="9">
        <f t="shared" si="9"/>
        <v>48.44</v>
      </c>
      <c r="I65" s="9">
        <v>53.33</v>
      </c>
      <c r="J65" s="10">
        <v>4.5690999999999997</v>
      </c>
      <c r="K65" s="9">
        <f t="shared" si="10"/>
        <v>510.23999999999995</v>
      </c>
      <c r="L65" s="9">
        <v>8527.98</v>
      </c>
      <c r="M65" s="10">
        <v>2.0983000000000001</v>
      </c>
      <c r="N65" s="9">
        <f t="shared" si="14"/>
        <v>29510.98</v>
      </c>
      <c r="P65" s="33">
        <v>54731</v>
      </c>
      <c r="Q65" s="33"/>
    </row>
    <row r="66" spans="1:17" x14ac:dyDescent="0.25">
      <c r="A66" s="1" t="s">
        <v>77</v>
      </c>
      <c r="C66" s="9">
        <v>16.47</v>
      </c>
      <c r="D66" s="10">
        <v>9.9000000000000008E-3</v>
      </c>
      <c r="E66" s="9">
        <f t="shared" si="8"/>
        <v>23.895</v>
      </c>
      <c r="F66" s="9">
        <v>22.37</v>
      </c>
      <c r="G66" s="10">
        <v>1.2699999999999999E-2</v>
      </c>
      <c r="H66" s="9">
        <f t="shared" si="9"/>
        <v>47.769999999999996</v>
      </c>
      <c r="I66" s="9">
        <v>84.18</v>
      </c>
      <c r="J66" s="10">
        <v>3.4864999999999999</v>
      </c>
      <c r="K66" s="9">
        <f t="shared" si="10"/>
        <v>432.83</v>
      </c>
      <c r="L66" s="9"/>
      <c r="N66" s="9"/>
      <c r="P66" s="33">
        <v>10820</v>
      </c>
      <c r="Q66" s="33"/>
    </row>
    <row r="67" spans="1:17" x14ac:dyDescent="0.25">
      <c r="A67" s="1" t="s">
        <v>78</v>
      </c>
      <c r="C67" s="9">
        <v>15.2</v>
      </c>
      <c r="D67" s="10">
        <v>9.4000000000000004E-3</v>
      </c>
      <c r="E67" s="9">
        <f t="shared" si="8"/>
        <v>22.25</v>
      </c>
      <c r="F67" s="9">
        <v>31.13</v>
      </c>
      <c r="G67" s="10">
        <v>8.8000000000000005E-3</v>
      </c>
      <c r="H67" s="9">
        <f t="shared" si="9"/>
        <v>48.730000000000004</v>
      </c>
      <c r="I67" s="9">
        <v>159.12</v>
      </c>
      <c r="J67" s="10">
        <v>2.7120000000000002</v>
      </c>
      <c r="K67" s="9">
        <f t="shared" si="10"/>
        <v>430.32000000000005</v>
      </c>
      <c r="L67" s="9">
        <v>6393.02</v>
      </c>
      <c r="M67" s="10">
        <v>0.74680000000000002</v>
      </c>
      <c r="N67" s="9">
        <f t="shared" si="14"/>
        <v>13861.02</v>
      </c>
      <c r="P67" s="33">
        <v>36058</v>
      </c>
      <c r="Q67" s="33"/>
    </row>
    <row r="68" spans="1:17" x14ac:dyDescent="0.25">
      <c r="A68" s="1" t="s">
        <v>79</v>
      </c>
      <c r="C68" s="9">
        <v>18.510000000000002</v>
      </c>
      <c r="D68" s="10">
        <v>1.2999999999999999E-2</v>
      </c>
      <c r="E68" s="9">
        <f t="shared" si="8"/>
        <v>28.26</v>
      </c>
      <c r="F68" s="9">
        <v>28.74</v>
      </c>
      <c r="G68" s="10">
        <v>1.83E-2</v>
      </c>
      <c r="H68" s="9">
        <f t="shared" si="9"/>
        <v>65.34</v>
      </c>
      <c r="I68" s="9">
        <v>140.97</v>
      </c>
      <c r="J68" s="10">
        <v>4.2037000000000004</v>
      </c>
      <c r="K68" s="9">
        <f t="shared" si="10"/>
        <v>561.34</v>
      </c>
      <c r="L68" s="9">
        <v>6073.68</v>
      </c>
      <c r="M68" s="10">
        <v>2.2421000000000002</v>
      </c>
      <c r="N68" s="9">
        <f t="shared" si="14"/>
        <v>28494.680000000004</v>
      </c>
      <c r="P68" s="33">
        <v>353284</v>
      </c>
      <c r="Q68" s="33"/>
    </row>
    <row r="69" spans="1:17" x14ac:dyDescent="0.25">
      <c r="A69" s="1" t="s">
        <v>81</v>
      </c>
      <c r="C69" s="9">
        <v>16.82</v>
      </c>
      <c r="D69" s="10">
        <v>1.0500000000000001E-2</v>
      </c>
      <c r="E69" s="9">
        <f t="shared" ref="E69:E84" si="24">+C69+(D69*$B$4)</f>
        <v>24.695</v>
      </c>
      <c r="F69" s="9">
        <v>17.149999999999999</v>
      </c>
      <c r="G69" s="10">
        <v>2.0500000000000001E-2</v>
      </c>
      <c r="H69" s="9">
        <f t="shared" ref="H69:H84" si="25">+F69+(G69*$B$5)</f>
        <v>58.15</v>
      </c>
      <c r="I69" s="9">
        <v>114.68</v>
      </c>
      <c r="J69" s="10">
        <v>5.4478999999999997</v>
      </c>
      <c r="K69" s="9">
        <f t="shared" ref="K69:K84" si="26">+I69+(J69*$B$6)</f>
        <v>659.47</v>
      </c>
      <c r="L69" s="9"/>
      <c r="N69" s="9"/>
      <c r="P69" s="33">
        <v>33487</v>
      </c>
      <c r="Q69" s="33"/>
    </row>
    <row r="70" spans="1:17" x14ac:dyDescent="0.25">
      <c r="A70" s="1" t="s">
        <v>80</v>
      </c>
      <c r="C70" s="9">
        <v>17.3</v>
      </c>
      <c r="D70" s="10">
        <v>1.15E-2</v>
      </c>
      <c r="E70" s="9">
        <f t="shared" si="24"/>
        <v>25.925000000000001</v>
      </c>
      <c r="F70" s="9">
        <v>31.25</v>
      </c>
      <c r="G70" s="10">
        <v>1.5299999999999999E-2</v>
      </c>
      <c r="H70" s="9">
        <f t="shared" si="25"/>
        <v>61.849999999999994</v>
      </c>
      <c r="I70" s="9">
        <v>189.27</v>
      </c>
      <c r="J70" s="10">
        <v>2.8635999999999999</v>
      </c>
      <c r="K70" s="9">
        <f t="shared" si="26"/>
        <v>475.63</v>
      </c>
      <c r="L70" s="9"/>
      <c r="N70" s="9"/>
      <c r="P70" s="33">
        <v>4246</v>
      </c>
      <c r="Q70" s="33"/>
    </row>
    <row r="71" spans="1:17" x14ac:dyDescent="0.25">
      <c r="A71" s="1" t="s">
        <v>82</v>
      </c>
      <c r="C71" s="9">
        <v>17.91</v>
      </c>
      <c r="D71" s="10">
        <v>1.2800000000000001E-2</v>
      </c>
      <c r="E71" s="9">
        <f t="shared" si="24"/>
        <v>27.509999999999998</v>
      </c>
      <c r="F71" s="9">
        <v>30.52</v>
      </c>
      <c r="G71" s="10">
        <v>1.21E-2</v>
      </c>
      <c r="H71" s="9">
        <f t="shared" si="25"/>
        <v>54.72</v>
      </c>
      <c r="I71" s="9">
        <v>290.85000000000002</v>
      </c>
      <c r="J71" s="10">
        <v>2.4285000000000001</v>
      </c>
      <c r="K71" s="9">
        <f t="shared" si="26"/>
        <v>533.70000000000005</v>
      </c>
      <c r="L71" s="9"/>
      <c r="N71" s="9"/>
      <c r="P71" s="33">
        <v>5858</v>
      </c>
      <c r="Q71" s="33"/>
    </row>
    <row r="72" spans="1:17" x14ac:dyDescent="0.25">
      <c r="A72" s="1" t="s">
        <v>34</v>
      </c>
      <c r="C72" s="9">
        <v>20.47</v>
      </c>
      <c r="D72" s="10">
        <v>8.6E-3</v>
      </c>
      <c r="E72" s="9">
        <f t="shared" si="24"/>
        <v>26.919999999999998</v>
      </c>
      <c r="F72" s="9">
        <v>24</v>
      </c>
      <c r="G72" s="10">
        <v>1.6400000000000001E-2</v>
      </c>
      <c r="H72" s="9">
        <f t="shared" si="25"/>
        <v>56.800000000000004</v>
      </c>
      <c r="I72" s="9">
        <v>74.790000000000006</v>
      </c>
      <c r="J72" s="10">
        <v>3.5802999999999998</v>
      </c>
      <c r="K72" s="9">
        <f t="shared" si="26"/>
        <v>432.82</v>
      </c>
      <c r="L72" s="9"/>
      <c r="N72" s="9"/>
      <c r="P72" s="33">
        <v>16918</v>
      </c>
      <c r="Q72" s="33"/>
    </row>
    <row r="73" spans="1:17" x14ac:dyDescent="0.25">
      <c r="A73" s="1" t="s">
        <v>35</v>
      </c>
      <c r="C73" s="9">
        <v>35.56</v>
      </c>
      <c r="D73" s="10">
        <v>6.0000000000000001E-3</v>
      </c>
      <c r="E73" s="9">
        <f t="shared" si="24"/>
        <v>40.06</v>
      </c>
      <c r="F73" s="9">
        <v>43.55</v>
      </c>
      <c r="G73" s="10">
        <v>8.2000000000000007E-3</v>
      </c>
      <c r="H73" s="9">
        <f t="shared" si="25"/>
        <v>59.95</v>
      </c>
      <c r="I73" s="9">
        <v>386.97</v>
      </c>
      <c r="J73" s="10">
        <v>1.3481000000000001</v>
      </c>
      <c r="K73" s="9">
        <f t="shared" si="26"/>
        <v>521.78</v>
      </c>
      <c r="L73" s="9"/>
      <c r="N73" s="9"/>
      <c r="P73" s="33">
        <v>2779</v>
      </c>
      <c r="Q73" s="33"/>
    </row>
    <row r="74" spans="1:17" x14ac:dyDescent="0.25">
      <c r="A74" s="1" t="s">
        <v>36</v>
      </c>
      <c r="C74" s="9">
        <v>20.13</v>
      </c>
      <c r="D74" s="10">
        <v>7.4999999999999997E-3</v>
      </c>
      <c r="E74" s="9">
        <f t="shared" si="24"/>
        <v>25.754999999999999</v>
      </c>
      <c r="F74" s="9">
        <v>31.7</v>
      </c>
      <c r="G74" s="10">
        <v>1.6400000000000001E-2</v>
      </c>
      <c r="H74" s="9">
        <f t="shared" si="25"/>
        <v>64.5</v>
      </c>
      <c r="I74" s="9">
        <v>240.56</v>
      </c>
      <c r="J74" s="10">
        <v>3.0453000000000001</v>
      </c>
      <c r="K74" s="9">
        <f t="shared" si="26"/>
        <v>545.09</v>
      </c>
      <c r="L74" s="9"/>
      <c r="N74" s="9"/>
      <c r="P74" s="33">
        <v>50482</v>
      </c>
      <c r="Q74" s="33"/>
    </row>
    <row r="75" spans="1:17" x14ac:dyDescent="0.25">
      <c r="A75" s="1" t="s">
        <v>83</v>
      </c>
      <c r="C75" s="9">
        <v>17.41</v>
      </c>
      <c r="D75" s="10">
        <v>1.4999999999999999E-2</v>
      </c>
      <c r="E75" s="9">
        <f t="shared" si="24"/>
        <v>28.66</v>
      </c>
      <c r="F75" s="9">
        <v>26.36</v>
      </c>
      <c r="G75" s="10">
        <v>1.84E-2</v>
      </c>
      <c r="H75" s="9">
        <f t="shared" si="25"/>
        <v>63.16</v>
      </c>
      <c r="I75" s="9">
        <v>137.1</v>
      </c>
      <c r="J75" s="10">
        <v>2.0733000000000001</v>
      </c>
      <c r="K75" s="9">
        <f t="shared" si="26"/>
        <v>344.43</v>
      </c>
      <c r="L75" s="9"/>
      <c r="N75" s="9"/>
      <c r="P75" s="33">
        <v>6935</v>
      </c>
      <c r="Q75" s="33"/>
    </row>
    <row r="76" spans="1:17" x14ac:dyDescent="0.25">
      <c r="A76" s="1" t="s">
        <v>45</v>
      </c>
      <c r="C76" s="9">
        <v>27.69</v>
      </c>
      <c r="D76" s="10">
        <v>1.512E-2</v>
      </c>
      <c r="E76" s="9">
        <f>+(C76*$B$10)+(D76*$B$4)</f>
        <v>39.433812500000002</v>
      </c>
      <c r="F76" s="9">
        <v>32.68</v>
      </c>
      <c r="G76" s="10">
        <v>3.023E-2</v>
      </c>
      <c r="H76" s="9">
        <f>+(F76*$B$10)+(G76*$B$5)</f>
        <v>93.616583333333338</v>
      </c>
      <c r="I76" s="9">
        <v>47</v>
      </c>
      <c r="J76" s="10">
        <v>7.3977000000000004</v>
      </c>
      <c r="K76" s="9">
        <f>+(I76*$B$10)+(J76*$B$6*$B$10)</f>
        <v>798.24372916666675</v>
      </c>
      <c r="L76" s="9">
        <v>3963.22</v>
      </c>
      <c r="M76" s="10">
        <v>6.2435999999999998</v>
      </c>
      <c r="N76" s="9">
        <f>+(L76*$B$10)+(M76*$B$7*$B$10)</f>
        <v>67367.541958333328</v>
      </c>
      <c r="P76" s="33">
        <v>744252</v>
      </c>
      <c r="Q76" s="33"/>
    </row>
    <row r="77" spans="1:17" x14ac:dyDescent="0.25">
      <c r="A77" s="1" t="s">
        <v>84</v>
      </c>
      <c r="C77" s="9">
        <v>19.77</v>
      </c>
      <c r="D77" s="10">
        <v>8.3000000000000001E-3</v>
      </c>
      <c r="E77" s="9">
        <f t="shared" si="24"/>
        <v>25.994999999999997</v>
      </c>
      <c r="F77" s="9">
        <v>16.93</v>
      </c>
      <c r="G77" s="10">
        <v>1.7000000000000001E-2</v>
      </c>
      <c r="H77" s="9">
        <f t="shared" si="25"/>
        <v>50.93</v>
      </c>
      <c r="I77" s="9">
        <v>108.19</v>
      </c>
      <c r="J77" s="10">
        <v>3.3378999999999999</v>
      </c>
      <c r="K77" s="9">
        <f t="shared" si="26"/>
        <v>441.97999999999996</v>
      </c>
      <c r="L77" s="9">
        <v>8540.39</v>
      </c>
      <c r="M77" s="10">
        <v>2.9782999999999999</v>
      </c>
      <c r="N77" s="9">
        <f t="shared" ref="N77:N82" si="27">+L77+(M77*$B$7)</f>
        <v>38323.39</v>
      </c>
      <c r="P77" s="33">
        <v>117494</v>
      </c>
      <c r="Q77" s="33"/>
    </row>
    <row r="78" spans="1:17" x14ac:dyDescent="0.25">
      <c r="A78" s="1" t="s">
        <v>85</v>
      </c>
      <c r="C78" s="9">
        <v>17.559999999999999</v>
      </c>
      <c r="D78" s="10">
        <v>8.0999999999999996E-3</v>
      </c>
      <c r="E78" s="9">
        <f t="shared" si="24"/>
        <v>23.634999999999998</v>
      </c>
      <c r="F78" s="9">
        <v>15.04</v>
      </c>
      <c r="G78" s="10">
        <v>1.52E-2</v>
      </c>
      <c r="H78" s="9">
        <f t="shared" si="25"/>
        <v>45.44</v>
      </c>
      <c r="I78" s="9">
        <v>34.42</v>
      </c>
      <c r="J78" s="10">
        <v>5.1924000000000001</v>
      </c>
      <c r="K78" s="9">
        <f t="shared" si="26"/>
        <v>553.66</v>
      </c>
      <c r="L78" s="9"/>
      <c r="N78" s="9"/>
      <c r="P78" s="33">
        <v>12985</v>
      </c>
      <c r="Q78" s="33"/>
    </row>
    <row r="79" spans="1:17" x14ac:dyDescent="0.25">
      <c r="A79" s="1" t="s">
        <v>37</v>
      </c>
      <c r="C79" s="9">
        <v>23.82</v>
      </c>
      <c r="D79" s="10">
        <v>1.0500000000000001E-2</v>
      </c>
      <c r="E79" s="9">
        <f t="shared" si="24"/>
        <v>31.695</v>
      </c>
      <c r="F79" s="9">
        <v>32.47</v>
      </c>
      <c r="G79" s="10">
        <v>1.6199999999999999E-2</v>
      </c>
      <c r="H79" s="9">
        <f t="shared" si="25"/>
        <v>64.87</v>
      </c>
      <c r="I79" s="9">
        <v>121.29</v>
      </c>
      <c r="J79" s="10">
        <v>5.1459000000000001</v>
      </c>
      <c r="K79" s="9">
        <f t="shared" si="26"/>
        <v>635.88</v>
      </c>
      <c r="L79" s="9">
        <v>7087.33</v>
      </c>
      <c r="M79" s="10">
        <v>4.0838999999999999</v>
      </c>
      <c r="N79" s="9">
        <f t="shared" si="27"/>
        <v>47926.33</v>
      </c>
      <c r="P79" s="33">
        <v>54674</v>
      </c>
      <c r="Q79" s="33"/>
    </row>
    <row r="80" spans="1:17" x14ac:dyDescent="0.25">
      <c r="A80" s="1" t="s">
        <v>86</v>
      </c>
      <c r="C80" s="9">
        <v>22.92</v>
      </c>
      <c r="D80" s="10">
        <v>7.6E-3</v>
      </c>
      <c r="E80" s="9">
        <f t="shared" si="24"/>
        <v>28.62</v>
      </c>
      <c r="F80" s="9">
        <v>31.91</v>
      </c>
      <c r="G80" s="10">
        <v>9.4000000000000004E-3</v>
      </c>
      <c r="H80" s="9">
        <f t="shared" si="25"/>
        <v>50.71</v>
      </c>
      <c r="I80" s="9">
        <v>341.01</v>
      </c>
      <c r="J80" s="10">
        <v>2.9064999999999999</v>
      </c>
      <c r="K80" s="9">
        <f t="shared" si="26"/>
        <v>631.66</v>
      </c>
      <c r="L80" s="9"/>
      <c r="N80" s="9"/>
      <c r="P80" s="33">
        <v>22470</v>
      </c>
      <c r="Q80" s="33"/>
    </row>
    <row r="81" spans="1:17" x14ac:dyDescent="0.25">
      <c r="A81" s="1" t="s">
        <v>44</v>
      </c>
      <c r="C81" s="9">
        <v>27.95</v>
      </c>
      <c r="D81" s="10">
        <v>1.03E-2</v>
      </c>
      <c r="E81" s="9">
        <f t="shared" si="24"/>
        <v>35.674999999999997</v>
      </c>
      <c r="F81" s="9">
        <v>42.31</v>
      </c>
      <c r="G81" s="10">
        <v>1.8200000000000001E-2</v>
      </c>
      <c r="H81" s="9">
        <f t="shared" si="25"/>
        <v>78.710000000000008</v>
      </c>
      <c r="I81" s="9">
        <v>279.89999999999998</v>
      </c>
      <c r="J81" s="10">
        <v>2.6697000000000002</v>
      </c>
      <c r="K81" s="9">
        <f t="shared" si="26"/>
        <v>546.87</v>
      </c>
      <c r="L81" s="9"/>
      <c r="N81" s="9"/>
      <c r="P81" s="33">
        <v>3731</v>
      </c>
      <c r="Q81" s="33"/>
    </row>
    <row r="82" spans="1:17" x14ac:dyDescent="0.25">
      <c r="A82" s="1" t="s">
        <v>38</v>
      </c>
      <c r="C82" s="9">
        <v>25.65</v>
      </c>
      <c r="D82" s="10">
        <v>1.1599999999999999E-2</v>
      </c>
      <c r="E82" s="9">
        <f t="shared" si="24"/>
        <v>34.349999999999994</v>
      </c>
      <c r="F82" s="9">
        <v>32.17</v>
      </c>
      <c r="G82" s="10">
        <v>1.0999999999999999E-2</v>
      </c>
      <c r="H82" s="9">
        <f t="shared" si="25"/>
        <v>54.17</v>
      </c>
      <c r="I82" s="9">
        <v>154.18</v>
      </c>
      <c r="J82" s="10">
        <v>2.4100999999999999</v>
      </c>
      <c r="K82" s="9">
        <f t="shared" si="26"/>
        <v>395.19</v>
      </c>
      <c r="L82" s="9">
        <v>9836.5499999999993</v>
      </c>
      <c r="M82" s="10">
        <v>1.7706999999999999</v>
      </c>
      <c r="N82" s="9">
        <f t="shared" si="27"/>
        <v>27543.55</v>
      </c>
      <c r="P82" s="33">
        <v>3797</v>
      </c>
      <c r="Q82" s="33"/>
    </row>
    <row r="83" spans="1:17" x14ac:dyDescent="0.25">
      <c r="A83" s="1" t="s">
        <v>87</v>
      </c>
      <c r="C83" s="9">
        <v>16.309999999999999</v>
      </c>
      <c r="D83" s="10">
        <v>1.21E-2</v>
      </c>
      <c r="E83" s="9">
        <f t="shared" si="24"/>
        <v>25.384999999999998</v>
      </c>
      <c r="F83" s="9">
        <v>24.74</v>
      </c>
      <c r="G83" s="10">
        <v>1.11E-2</v>
      </c>
      <c r="H83" s="9">
        <f t="shared" si="25"/>
        <v>46.94</v>
      </c>
      <c r="I83" s="9">
        <v>228.37</v>
      </c>
      <c r="J83" s="10">
        <v>2.1457999999999999</v>
      </c>
      <c r="K83" s="9">
        <f t="shared" si="26"/>
        <v>442.95</v>
      </c>
      <c r="L83" s="9"/>
      <c r="N83" s="9"/>
      <c r="P83" s="33">
        <v>22822</v>
      </c>
      <c r="Q83" s="33"/>
    </row>
    <row r="84" spans="1:17" x14ac:dyDescent="0.25">
      <c r="A84" s="1" t="s">
        <v>39</v>
      </c>
      <c r="C84" s="9">
        <v>24.57</v>
      </c>
      <c r="D84" s="10">
        <v>7.6E-3</v>
      </c>
      <c r="E84" s="9">
        <f t="shared" si="24"/>
        <v>30.27</v>
      </c>
      <c r="F84" s="9">
        <v>21.39</v>
      </c>
      <c r="G84" s="10">
        <v>2.1000000000000001E-2</v>
      </c>
      <c r="H84" s="9">
        <f t="shared" si="25"/>
        <v>63.39</v>
      </c>
      <c r="I84" s="9">
        <v>206.66</v>
      </c>
      <c r="J84" s="10">
        <v>4.2316000000000003</v>
      </c>
      <c r="K84" s="9">
        <f t="shared" si="26"/>
        <v>629.82000000000005</v>
      </c>
      <c r="L84" s="9"/>
      <c r="N84" s="9"/>
      <c r="P84" s="33">
        <v>41488</v>
      </c>
      <c r="Q84" s="33"/>
    </row>
    <row r="85" spans="1:17" x14ac:dyDescent="0.25">
      <c r="A85" s="1"/>
      <c r="C85" s="9"/>
      <c r="D85" s="10"/>
      <c r="E85" s="9"/>
      <c r="F85" s="9"/>
      <c r="H85" s="9"/>
      <c r="I85" s="9"/>
      <c r="K85" s="9"/>
      <c r="L85" s="9"/>
      <c r="N85" s="9"/>
    </row>
    <row r="86" spans="1:17" s="4" customFormat="1" x14ac:dyDescent="0.25">
      <c r="A86" s="19" t="s">
        <v>40</v>
      </c>
      <c r="C86" s="20">
        <f t="shared" ref="C86:N86" si="28">AVERAGE(C12:C84)</f>
        <v>24.167837008938712</v>
      </c>
      <c r="D86" s="21">
        <f t="shared" si="28"/>
        <v>8.4550684931506831E-3</v>
      </c>
      <c r="E86" s="20">
        <f t="shared" si="28"/>
        <v>30.514670056883908</v>
      </c>
      <c r="F86" s="20">
        <f t="shared" si="28"/>
        <v>28.702611179825251</v>
      </c>
      <c r="G86" s="21">
        <f t="shared" si="28"/>
        <v>1.7836056733362481E-2</v>
      </c>
      <c r="H86" s="20">
        <f t="shared" si="28"/>
        <v>64.38134385951318</v>
      </c>
      <c r="I86" s="20">
        <f t="shared" si="28"/>
        <v>183.19914222210497</v>
      </c>
      <c r="J86" s="21">
        <f t="shared" si="28"/>
        <v>4.4430267406649948</v>
      </c>
      <c r="K86" s="20">
        <f t="shared" si="28"/>
        <v>627.65899066075065</v>
      </c>
      <c r="L86" s="20">
        <f t="shared" si="28"/>
        <v>10394.471904761902</v>
      </c>
      <c r="M86" s="21">
        <f t="shared" si="28"/>
        <v>2.3712523809523809</v>
      </c>
      <c r="N86" s="20">
        <f t="shared" si="28"/>
        <v>34153.106283730165</v>
      </c>
      <c r="P86" s="35">
        <f>AVERAGE(P12:P84)</f>
        <v>58619.317460317463</v>
      </c>
      <c r="Q86" s="34"/>
    </row>
    <row r="87" spans="1:17" x14ac:dyDescent="0.25">
      <c r="A87" s="1"/>
      <c r="C87" s="9"/>
      <c r="D87" s="10"/>
      <c r="E87" s="9"/>
      <c r="F87" s="9"/>
      <c r="H87" s="9"/>
      <c r="I87" s="9"/>
      <c r="K87" s="9"/>
      <c r="L87" s="9"/>
      <c r="N87" s="9"/>
    </row>
    <row r="88" spans="1:17" x14ac:dyDescent="0.25">
      <c r="A88" s="1"/>
      <c r="C88" s="9"/>
      <c r="D88" s="10"/>
      <c r="E88" s="9"/>
      <c r="F88" s="9"/>
      <c r="H88" s="9"/>
      <c r="I88" s="9"/>
      <c r="K88" s="9"/>
      <c r="L88" s="9"/>
      <c r="N88" s="9"/>
    </row>
    <row r="89" spans="1:17" x14ac:dyDescent="0.25">
      <c r="A89" s="1"/>
      <c r="C89" s="9"/>
      <c r="D89" s="10"/>
      <c r="E89" s="9"/>
      <c r="F89" s="9"/>
      <c r="H89" s="9"/>
      <c r="I89" s="9"/>
      <c r="K89" s="9"/>
      <c r="L89" s="9"/>
      <c r="N89" s="9"/>
    </row>
    <row r="90" spans="1:17" x14ac:dyDescent="0.25">
      <c r="A90" s="1"/>
      <c r="C90" s="9"/>
      <c r="D90" s="10"/>
      <c r="E90" s="9"/>
      <c r="F90" s="9"/>
      <c r="H90" s="9"/>
      <c r="I90" s="9"/>
      <c r="K90" s="9"/>
      <c r="L90" s="9"/>
      <c r="N90" s="9"/>
    </row>
    <row r="91" spans="1:17" x14ac:dyDescent="0.25">
      <c r="A91" s="1"/>
      <c r="C91" s="9"/>
      <c r="D91" s="10"/>
      <c r="E91" s="9"/>
      <c r="F91" s="9"/>
      <c r="H91" s="9"/>
      <c r="I91" s="9"/>
      <c r="K91" s="9"/>
      <c r="L91" s="9"/>
      <c r="N91" s="9"/>
    </row>
    <row r="92" spans="1:17" x14ac:dyDescent="0.25">
      <c r="A92" s="1"/>
      <c r="C92" s="9"/>
      <c r="D92" s="10"/>
      <c r="E92" s="9"/>
      <c r="F92" s="9"/>
      <c r="H92" s="9"/>
      <c r="I92" s="9"/>
      <c r="K92" s="9"/>
      <c r="L92" s="9"/>
      <c r="N92" s="9"/>
    </row>
    <row r="93" spans="1:17" x14ac:dyDescent="0.25">
      <c r="A93" s="1"/>
      <c r="C93" s="9"/>
      <c r="D93" s="10"/>
      <c r="E93" s="9"/>
      <c r="F93" s="9"/>
      <c r="H93" s="9"/>
      <c r="I93" s="9"/>
      <c r="K93" s="9"/>
      <c r="L93" s="9"/>
      <c r="N93" s="9"/>
    </row>
    <row r="94" spans="1:17" x14ac:dyDescent="0.25">
      <c r="A94" s="1"/>
      <c r="C94" s="9"/>
      <c r="D94" s="10"/>
      <c r="E94" s="9"/>
      <c r="F94" s="9"/>
      <c r="H94" s="9"/>
      <c r="I94" s="9"/>
      <c r="K94" s="9"/>
      <c r="L94" s="9"/>
      <c r="N94" s="9"/>
    </row>
    <row r="95" spans="1:17" x14ac:dyDescent="0.25">
      <c r="A95" s="1"/>
      <c r="C95" s="9"/>
      <c r="D95" s="10"/>
      <c r="E95" s="9"/>
      <c r="F95" s="9"/>
      <c r="H95" s="9"/>
      <c r="I95" s="9"/>
      <c r="K95" s="9"/>
      <c r="L95" s="9"/>
      <c r="N95" s="9"/>
    </row>
    <row r="96" spans="1:17" x14ac:dyDescent="0.25">
      <c r="A96" s="1"/>
      <c r="C96" s="9"/>
      <c r="D96" s="10"/>
      <c r="E96" s="9"/>
      <c r="F96" s="9"/>
      <c r="H96" s="9"/>
      <c r="I96" s="9"/>
      <c r="K96" s="9"/>
      <c r="L96" s="9"/>
      <c r="N96" s="9"/>
    </row>
    <row r="97" spans="1:14" x14ac:dyDescent="0.25">
      <c r="A97" s="1"/>
      <c r="C97" s="9"/>
      <c r="D97" s="10"/>
      <c r="E97" s="9"/>
      <c r="F97" s="9"/>
      <c r="H97" s="9"/>
      <c r="I97" s="9"/>
      <c r="K97" s="9"/>
      <c r="L97" s="9"/>
      <c r="N97" s="9"/>
    </row>
    <row r="98" spans="1:14" x14ac:dyDescent="0.25">
      <c r="A98" s="1"/>
      <c r="C98" s="9"/>
      <c r="D98" s="10"/>
      <c r="E98" s="9"/>
      <c r="F98" s="9"/>
      <c r="H98" s="9"/>
      <c r="I98" s="9"/>
      <c r="K98" s="9"/>
      <c r="L98" s="9"/>
      <c r="N98" s="9"/>
    </row>
    <row r="99" spans="1:14" x14ac:dyDescent="0.25">
      <c r="A99" s="1"/>
      <c r="C99" s="9"/>
      <c r="D99" s="10"/>
      <c r="E99" s="9"/>
      <c r="F99" s="9"/>
      <c r="H99" s="9"/>
      <c r="I99" s="9"/>
      <c r="K99" s="9"/>
      <c r="L99" s="9"/>
      <c r="N99" s="9"/>
    </row>
    <row r="100" spans="1:14" x14ac:dyDescent="0.25">
      <c r="A100" s="1"/>
      <c r="C100" s="9"/>
      <c r="D100" s="10"/>
      <c r="E100" s="9"/>
      <c r="F100" s="9"/>
      <c r="H100" s="9"/>
      <c r="I100" s="9"/>
      <c r="K100" s="9"/>
      <c r="L100" s="9"/>
      <c r="N100" s="9"/>
    </row>
    <row r="101" spans="1:14" x14ac:dyDescent="0.25">
      <c r="A101" s="1"/>
      <c r="C101" s="9"/>
      <c r="D101" s="10"/>
      <c r="E101" s="9"/>
      <c r="F101" s="9"/>
      <c r="H101" s="9"/>
      <c r="I101" s="9"/>
      <c r="K101" s="9"/>
      <c r="L101" s="9"/>
      <c r="N101" s="9"/>
    </row>
    <row r="102" spans="1:14" x14ac:dyDescent="0.25">
      <c r="A102" s="1"/>
      <c r="C102" s="9"/>
      <c r="D102" s="10"/>
      <c r="E102" s="9"/>
      <c r="F102" s="9"/>
      <c r="H102" s="9"/>
      <c r="I102" s="9"/>
      <c r="K102" s="9"/>
      <c r="L102" s="9"/>
      <c r="N102" s="9"/>
    </row>
    <row r="103" spans="1:14" x14ac:dyDescent="0.25">
      <c r="A103" s="1"/>
      <c r="C103" s="9"/>
      <c r="D103" s="10"/>
      <c r="E103" s="9"/>
      <c r="F103" s="9"/>
      <c r="H103" s="9"/>
      <c r="I103" s="9"/>
      <c r="K103" s="9"/>
      <c r="L103" s="9"/>
      <c r="N103" s="9"/>
    </row>
  </sheetData>
  <pageMargins left="0.7" right="0.7" top="0.75" bottom="0.75" header="0.3" footer="0.3"/>
  <pageSetup scale="71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3"/>
  <sheetViews>
    <sheetView tabSelected="1" workbookViewId="0">
      <selection activeCell="Q19" sqref="Q19"/>
    </sheetView>
  </sheetViews>
  <sheetFormatPr defaultRowHeight="15" x14ac:dyDescent="0.25"/>
  <cols>
    <col min="1" max="1" width="36.28515625" customWidth="1"/>
    <col min="2" max="2" width="0.42578125" customWidth="1"/>
  </cols>
  <sheetData>
    <row r="2" spans="1:11" x14ac:dyDescent="0.25">
      <c r="C2" s="58" t="s">
        <v>0</v>
      </c>
      <c r="D2" s="58"/>
      <c r="E2" s="58"/>
      <c r="F2" s="58" t="s">
        <v>98</v>
      </c>
      <c r="G2" s="58"/>
      <c r="H2" s="58"/>
      <c r="I2" s="58" t="s">
        <v>99</v>
      </c>
      <c r="J2" s="58"/>
      <c r="K2" s="58"/>
    </row>
    <row r="3" spans="1:11" x14ac:dyDescent="0.25">
      <c r="A3" s="52" t="s">
        <v>88</v>
      </c>
      <c r="B3" s="53"/>
      <c r="C3" s="54">
        <f>+'Rate and Bill Data'!C37</f>
        <v>24.78</v>
      </c>
      <c r="D3" s="55">
        <f>+'Rate and Bill Data'!D37</f>
        <v>9.4000000000000004E-3</v>
      </c>
      <c r="E3" s="54">
        <f>+C3+(D3*'Rate and Bill Data'!$B$4)</f>
        <v>31.830000000000002</v>
      </c>
      <c r="F3" s="54">
        <f>+'Rate and Bill Data'!F37</f>
        <v>23.3</v>
      </c>
      <c r="G3" s="55">
        <f>+'Rate and Bill Data'!G37</f>
        <v>2.6200000000000001E-2</v>
      </c>
      <c r="H3" s="54">
        <f>+F3+(G3*'Rate and Bill Data'!$B$5)</f>
        <v>75.7</v>
      </c>
      <c r="I3" s="54">
        <f>+'Rate and Bill Data'!I37</f>
        <v>93.97</v>
      </c>
      <c r="J3" s="55">
        <f>+'Rate and Bill Data'!J37</f>
        <v>9.1837</v>
      </c>
      <c r="K3" s="54">
        <f>+I3+(J3*'Rate and Bill Data'!$B$6)</f>
        <v>1012.34</v>
      </c>
    </row>
    <row r="4" spans="1:11" x14ac:dyDescent="0.25">
      <c r="A4" s="52" t="s">
        <v>89</v>
      </c>
      <c r="B4" s="53"/>
      <c r="C4" s="54">
        <f>+'Rate and Bill Data'!C38</f>
        <v>33.770000000000003</v>
      </c>
      <c r="D4" s="55">
        <f>+'Rate and Bill Data'!D38</f>
        <v>2.3E-2</v>
      </c>
      <c r="E4" s="54">
        <f>+C4+(D4*'Rate and Bill Data'!$B$4)</f>
        <v>51.02</v>
      </c>
      <c r="F4" s="54">
        <f>+'Rate and Bill Data'!F38</f>
        <v>27.87</v>
      </c>
      <c r="G4" s="55">
        <f>+'Rate and Bill Data'!G38</f>
        <v>5.6000000000000001E-2</v>
      </c>
      <c r="H4" s="54">
        <f>+F4+(G4*'Rate and Bill Data'!$B$5)</f>
        <v>139.87</v>
      </c>
      <c r="I4" s="54">
        <f>+'Rate and Bill Data'!I38</f>
        <v>89.48</v>
      </c>
      <c r="J4" s="55">
        <f>+'Rate and Bill Data'!J38</f>
        <v>16.023599999999998</v>
      </c>
      <c r="K4" s="54">
        <f>+I4+(J4*'Rate and Bill Data'!$B$6)</f>
        <v>1691.84</v>
      </c>
    </row>
    <row r="5" spans="1:11" x14ac:dyDescent="0.25">
      <c r="A5" s="52" t="s">
        <v>92</v>
      </c>
      <c r="B5" s="53"/>
      <c r="C5" s="54">
        <f>+'Rate and Bill Data'!C39</f>
        <v>37.47</v>
      </c>
      <c r="D5" s="55">
        <f>+'Rate and Bill Data'!D39</f>
        <v>0</v>
      </c>
      <c r="E5" s="54">
        <f>+C5+(D5*'Rate and Bill Data'!$B$4)</f>
        <v>37.47</v>
      </c>
      <c r="F5" s="54">
        <f>+'Rate and Bill Data'!F39</f>
        <v>26.15</v>
      </c>
      <c r="G5" s="55">
        <f>+'Rate and Bill Data'!G39</f>
        <v>3.1699999999999999E-2</v>
      </c>
      <c r="H5" s="54">
        <f>+F5+(G5*'Rate and Bill Data'!$B$5)</f>
        <v>89.55</v>
      </c>
      <c r="I5" s="54">
        <f>+'Rate and Bill Data'!I39</f>
        <v>108.63</v>
      </c>
      <c r="J5" s="55">
        <f>+'Rate and Bill Data'!J39</f>
        <v>10.8</v>
      </c>
      <c r="K5" s="54">
        <f>+I5+(J5*'Rate and Bill Data'!$B$6)</f>
        <v>1188.6300000000001</v>
      </c>
    </row>
    <row r="6" spans="1:11" x14ac:dyDescent="0.25">
      <c r="A6" s="52" t="s">
        <v>93</v>
      </c>
      <c r="B6" s="53"/>
      <c r="C6" s="54">
        <f>+'Rate and Bill Data'!C40</f>
        <v>58.34</v>
      </c>
      <c r="D6" s="55">
        <f>+'Rate and Bill Data'!D40</f>
        <v>0</v>
      </c>
      <c r="E6" s="54">
        <f>+C6+(D6*'Rate and Bill Data'!$B$4)</f>
        <v>58.34</v>
      </c>
      <c r="F6" s="54">
        <f>+'Rate and Bill Data'!F40</f>
        <v>32</v>
      </c>
      <c r="G6" s="55">
        <f>+'Rate and Bill Data'!G40</f>
        <v>6.7100000000000007E-2</v>
      </c>
      <c r="H6" s="54">
        <f>+F6+(G6*'Rate and Bill Data'!$B$5)</f>
        <v>166.20000000000002</v>
      </c>
      <c r="I6" s="54">
        <f>+'Rate and Bill Data'!I40</f>
        <v>109.34</v>
      </c>
      <c r="J6" s="55">
        <f>+'Rate and Bill Data'!J40</f>
        <v>18.850200000000001</v>
      </c>
      <c r="K6" s="54">
        <f>+I6+(J6*'Rate and Bill Data'!$B$6)</f>
        <v>1994.36</v>
      </c>
    </row>
    <row r="7" spans="1:11" x14ac:dyDescent="0.25">
      <c r="A7" s="52" t="s">
        <v>94</v>
      </c>
      <c r="B7" s="53"/>
      <c r="C7" s="54">
        <f>+'Rate and Bill Data'!C41</f>
        <v>43.11</v>
      </c>
      <c r="D7" s="55">
        <f>+'Rate and Bill Data'!D41</f>
        <v>0</v>
      </c>
      <c r="E7" s="54">
        <f>+E5+((E5-E3))</f>
        <v>43.11</v>
      </c>
      <c r="F7" s="54">
        <f>+'Rate and Bill Data'!F41</f>
        <v>28.999999999999996</v>
      </c>
      <c r="G7" s="55">
        <f>+'Rate and Bill Data'!G41</f>
        <v>3.7199999999999997E-2</v>
      </c>
      <c r="H7" s="54">
        <f>+F7+(G7*'Rate and Bill Data'!$B$5)</f>
        <v>103.39999999999999</v>
      </c>
      <c r="I7" s="54">
        <f>+'Rate and Bill Data'!I41</f>
        <v>123.28999999999999</v>
      </c>
      <c r="J7" s="55">
        <f>+'Rate and Bill Data'!J41</f>
        <v>12.416300000000001</v>
      </c>
      <c r="K7" s="54">
        <f>+I7+(J7*'Rate and Bill Data'!$B$6)</f>
        <v>1364.92</v>
      </c>
    </row>
    <row r="8" spans="1:11" x14ac:dyDescent="0.25">
      <c r="A8" s="52" t="s">
        <v>95</v>
      </c>
      <c r="B8" s="53"/>
      <c r="C8" s="54">
        <f>+'Rate and Bill Data'!C42</f>
        <v>65.66</v>
      </c>
      <c r="D8" s="55">
        <f>+'Rate and Bill Data'!D42</f>
        <v>0</v>
      </c>
      <c r="E8" s="54">
        <f>+E6+((E6-E4))</f>
        <v>65.66</v>
      </c>
      <c r="F8" s="54">
        <f>+'Rate and Bill Data'!F42</f>
        <v>36.129999999999995</v>
      </c>
      <c r="G8" s="55">
        <f>+'Rate and Bill Data'!G42</f>
        <v>7.8200000000000019E-2</v>
      </c>
      <c r="H8" s="54">
        <f>+F8+(G8*'Rate and Bill Data'!$B$5)</f>
        <v>192.53000000000003</v>
      </c>
      <c r="I8" s="54">
        <f>+'Rate and Bill Data'!I42</f>
        <v>129.19999999999999</v>
      </c>
      <c r="J8" s="55">
        <f>+'Rate and Bill Data'!J42</f>
        <v>21.676800000000004</v>
      </c>
      <c r="K8" s="54">
        <f>+I8+(J8*'Rate and Bill Data'!$B$6)</f>
        <v>2296.88</v>
      </c>
    </row>
    <row r="9" spans="1:11" x14ac:dyDescent="0.25">
      <c r="A9" s="52" t="s">
        <v>90</v>
      </c>
      <c r="B9" s="53"/>
      <c r="C9" s="54">
        <f>+'Rate and Bill Data'!C43</f>
        <v>31.6</v>
      </c>
      <c r="D9" s="55">
        <f>+'Rate and Bill Data'!D43</f>
        <v>0</v>
      </c>
      <c r="E9" s="54">
        <f>+C9+(D9*'Rate and Bill Data'!$B$4)</f>
        <v>31.6</v>
      </c>
      <c r="F9" s="54">
        <f>+'Rate and Bill Data'!F43</f>
        <v>35.68</v>
      </c>
      <c r="G9" s="55">
        <f>+'Rate and Bill Data'!G43</f>
        <v>2.06E-2</v>
      </c>
      <c r="H9" s="54">
        <f>+F9+(G9*'Rate and Bill Data'!$B$5)</f>
        <v>76.88</v>
      </c>
      <c r="I9" s="54">
        <f>+'Rate and Bill Data'!I43</f>
        <v>282.77</v>
      </c>
      <c r="J9" s="55">
        <f>+'Rate and Bill Data'!J43</f>
        <v>5.1984000000000004</v>
      </c>
      <c r="K9" s="54">
        <f>+I9+(J9*'Rate and Bill Data'!$B$6)</f>
        <v>802.61</v>
      </c>
    </row>
    <row r="10" spans="1:11" x14ac:dyDescent="0.25">
      <c r="A10" s="52" t="s">
        <v>91</v>
      </c>
      <c r="B10" s="53"/>
      <c r="C10" s="54">
        <f>+'Rate and Bill Data'!C44</f>
        <v>41.17</v>
      </c>
      <c r="D10" s="55">
        <f>+'Rate and Bill Data'!D44</f>
        <v>0</v>
      </c>
      <c r="E10" s="54">
        <f>+C10+(D10*'Rate and Bill Data'!$B$4)</f>
        <v>41.17</v>
      </c>
      <c r="F10" s="54">
        <f>+'Rate and Bill Data'!F44</f>
        <v>42.92</v>
      </c>
      <c r="G10" s="55">
        <f>+'Rate and Bill Data'!G44</f>
        <v>1.9900000000000001E-2</v>
      </c>
      <c r="H10" s="54">
        <f>+F10+(G10*'Rate and Bill Data'!$B$5)</f>
        <v>82.72</v>
      </c>
      <c r="I10" s="54">
        <f>+'Rate and Bill Data'!I44</f>
        <v>252.3</v>
      </c>
      <c r="J10" s="55">
        <f>+'Rate and Bill Data'!J44</f>
        <v>6.3239000000000001</v>
      </c>
      <c r="K10" s="54">
        <f>+I10+(J10*'Rate and Bill Data'!$B$6)</f>
        <v>884.69</v>
      </c>
    </row>
    <row r="11" spans="1:11" x14ac:dyDescent="0.25">
      <c r="A11" s="52" t="s">
        <v>96</v>
      </c>
      <c r="B11" s="53"/>
      <c r="C11" s="54">
        <f>+'Rate and Bill Data'!C45</f>
        <v>36.356445156124899</v>
      </c>
      <c r="D11" s="55">
        <f>+'Rate and Bill Data'!D45</f>
        <v>0</v>
      </c>
      <c r="E11" s="54">
        <f>+C11+(D11*'Rate and Bill Data'!$B$4)</f>
        <v>36.356445156124899</v>
      </c>
      <c r="F11" s="54">
        <f>+'Rate and Bill Data'!F45</f>
        <v>39.568642447418732</v>
      </c>
      <c r="G11" s="55">
        <f>+'Rate and Bill Data'!G45</f>
        <v>2.4174132492113566E-2</v>
      </c>
      <c r="H11" s="54">
        <f>+F11+(G11*'Rate and Bill Data'!$B$5)</f>
        <v>87.916907431645868</v>
      </c>
      <c r="I11" s="54">
        <f>+'Rate and Bill Data'!I45</f>
        <v>320.93080456595783</v>
      </c>
      <c r="J11" s="55">
        <f>+'Rate and Bill Data'!J45</f>
        <v>5.9763790666666674</v>
      </c>
      <c r="K11" s="54">
        <f>+I11+(J11*'Rate and Bill Data'!$B$6)</f>
        <v>918.56871123262454</v>
      </c>
    </row>
    <row r="12" spans="1:11" x14ac:dyDescent="0.25">
      <c r="A12" s="52" t="s">
        <v>97</v>
      </c>
      <c r="B12" s="53"/>
      <c r="C12" s="54">
        <f>+'Rate and Bill Data'!C46</f>
        <v>46.335656496400411</v>
      </c>
      <c r="D12" s="55">
        <f>+'Rate and Bill Data'!D46</f>
        <v>0</v>
      </c>
      <c r="E12" s="54">
        <f>+C12+(D12*'Rate and Bill Data'!$B$4)</f>
        <v>46.335656496400411</v>
      </c>
      <c r="F12" s="54">
        <f>+'Rate and Bill Data'!F46</f>
        <v>48.459362499999997</v>
      </c>
      <c r="G12" s="55">
        <f>+'Rate and Bill Data'!G46</f>
        <v>2.3191952309985102E-2</v>
      </c>
      <c r="H12" s="54">
        <f>+F12+(G12*'Rate and Bill Data'!$B$5)</f>
        <v>94.843267119970193</v>
      </c>
      <c r="I12" s="54">
        <f>+'Rate and Bill Data'!I46</f>
        <v>298.12657764770438</v>
      </c>
      <c r="J12" s="55">
        <f>+'Rate and Bill Data'!J46</f>
        <v>7.2721730018779658</v>
      </c>
      <c r="K12" s="54">
        <f>+I12+(J12*'Rate and Bill Data'!$B$6)</f>
        <v>1025.343877835501</v>
      </c>
    </row>
    <row r="13" spans="1:11" x14ac:dyDescent="0.25">
      <c r="A13" s="52" t="s">
        <v>76</v>
      </c>
      <c r="B13" s="53"/>
      <c r="C13" s="54">
        <v>21.45</v>
      </c>
      <c r="D13" s="55">
        <v>8.6999999999999994E-3</v>
      </c>
      <c r="E13" s="54">
        <f>+C13+(D13*'Rate and Bill Data'!$B$4)</f>
        <v>27.974999999999998</v>
      </c>
      <c r="F13" s="54">
        <v>38.090000000000003</v>
      </c>
      <c r="G13" s="55">
        <v>1.6799999999999999E-2</v>
      </c>
      <c r="H13" s="54">
        <f>+F13+(G13*'Rate and Bill Data'!$B$5)</f>
        <v>71.69</v>
      </c>
      <c r="I13" s="54">
        <v>346.73</v>
      </c>
      <c r="J13" s="55">
        <v>3.6469999999999998</v>
      </c>
      <c r="K13" s="54">
        <f>+I13+(J13*'Rate and Bill Data'!$B$6)</f>
        <v>711.43000000000006</v>
      </c>
    </row>
    <row r="14" spans="1:11" x14ac:dyDescent="0.25">
      <c r="A14" s="52" t="s">
        <v>102</v>
      </c>
      <c r="B14" s="53"/>
      <c r="C14" s="54">
        <v>17.96</v>
      </c>
      <c r="D14" s="55">
        <v>1.29E-2</v>
      </c>
      <c r="E14" s="54">
        <f>+C14+(D14*'Rate and Bill Data'!$B$4)</f>
        <v>27.635000000000002</v>
      </c>
      <c r="F14" s="54">
        <v>38.020000000000003</v>
      </c>
      <c r="G14" s="55">
        <v>1.6799999999999999E-2</v>
      </c>
      <c r="H14" s="54">
        <f>+F14+(G14*'Rate and Bill Data'!$B$5)</f>
        <v>71.62</v>
      </c>
      <c r="I14" s="54">
        <v>346.05</v>
      </c>
      <c r="J14" s="55">
        <v>3.6398000000000001</v>
      </c>
      <c r="K14" s="54">
        <f>+I14+(J14*'Rate and Bill Data'!$B$6)</f>
        <v>710.03</v>
      </c>
    </row>
    <row r="15" spans="1:11" x14ac:dyDescent="0.25">
      <c r="A15" s="52" t="s">
        <v>100</v>
      </c>
      <c r="C15" s="54">
        <v>22.55</v>
      </c>
      <c r="D15" s="55">
        <v>1.61E-2</v>
      </c>
      <c r="E15" s="54">
        <f>+C15+(D15*'Rate and Bill Data'!$B$4)</f>
        <v>34.625</v>
      </c>
      <c r="F15" s="54">
        <v>47.75</v>
      </c>
      <c r="G15" s="55">
        <v>2.1000000000000001E-2</v>
      </c>
      <c r="H15" s="54">
        <f>+F15+(G15*'Rate and Bill Data'!$B$5)</f>
        <v>89.75</v>
      </c>
      <c r="I15" s="54">
        <v>434.52</v>
      </c>
      <c r="J15" s="55">
        <v>4.5701999999999998</v>
      </c>
      <c r="K15" s="54">
        <f>+I15+(J15*'Rate and Bill Data'!$B$6)</f>
        <v>891.54</v>
      </c>
    </row>
    <row r="16" spans="1:11" x14ac:dyDescent="0.25">
      <c r="A16" s="52" t="s">
        <v>101</v>
      </c>
      <c r="C16" s="54">
        <v>19.14</v>
      </c>
      <c r="D16" s="55">
        <v>1.37E-2</v>
      </c>
      <c r="E16" s="54">
        <f>+C16+(D16*'Rate and Bill Data'!$B$4)</f>
        <v>29.414999999999999</v>
      </c>
      <c r="F16" s="54">
        <v>40.520000000000003</v>
      </c>
      <c r="G16" s="55">
        <v>1.7999999999999999E-2</v>
      </c>
      <c r="H16" s="54">
        <f>+F16+(G16*'Rate and Bill Data'!$B$5)</f>
        <v>76.52000000000001</v>
      </c>
      <c r="I16" s="54">
        <v>368.75</v>
      </c>
      <c r="J16" s="55">
        <v>3.8784000000000001</v>
      </c>
      <c r="K16" s="54">
        <f>+I16+(J16*'Rate and Bill Data'!$B$6)</f>
        <v>756.59</v>
      </c>
    </row>
    <row r="17" spans="1:11" x14ac:dyDescent="0.25">
      <c r="A17" s="52" t="s">
        <v>106</v>
      </c>
      <c r="C17" s="54"/>
      <c r="D17" s="55"/>
      <c r="E17" s="54">
        <f>+E15-E16</f>
        <v>5.2100000000000009</v>
      </c>
      <c r="F17" s="54"/>
      <c r="G17" s="55"/>
      <c r="H17" s="54">
        <f>+H15-H16</f>
        <v>13.22999999999999</v>
      </c>
      <c r="I17" s="54"/>
      <c r="J17" s="55"/>
      <c r="K17" s="54">
        <f>+K15-K16</f>
        <v>134.94999999999993</v>
      </c>
    </row>
    <row r="18" spans="1:11" x14ac:dyDescent="0.25">
      <c r="A18" s="52"/>
      <c r="C18" s="54"/>
      <c r="D18" s="55"/>
      <c r="E18" s="54"/>
      <c r="F18" s="54"/>
      <c r="G18" s="55"/>
      <c r="H18" s="54"/>
      <c r="I18" s="54"/>
      <c r="J18" s="55"/>
      <c r="K18" s="54"/>
    </row>
    <row r="19" spans="1:11" x14ac:dyDescent="0.25">
      <c r="A19" s="56" t="s">
        <v>105</v>
      </c>
    </row>
    <row r="20" spans="1:11" x14ac:dyDescent="0.25">
      <c r="A20" s="52" t="s">
        <v>103</v>
      </c>
      <c r="E20" s="9">
        <f>+E7-E16</f>
        <v>13.695</v>
      </c>
      <c r="H20" s="9">
        <f>+H7-H16</f>
        <v>26.879999999999981</v>
      </c>
      <c r="K20" s="9">
        <f>+K7-K16</f>
        <v>608.33000000000004</v>
      </c>
    </row>
    <row r="21" spans="1:11" x14ac:dyDescent="0.25">
      <c r="A21" s="52" t="s">
        <v>104</v>
      </c>
      <c r="E21" s="9">
        <f>+E7-E15</f>
        <v>8.4849999999999994</v>
      </c>
      <c r="H21" s="9">
        <f>+H7-H15</f>
        <v>13.649999999999991</v>
      </c>
      <c r="K21" s="9">
        <f>+K7-K15</f>
        <v>473.38000000000011</v>
      </c>
    </row>
    <row r="22" spans="1:11" x14ac:dyDescent="0.25">
      <c r="A22" s="52" t="s">
        <v>107</v>
      </c>
      <c r="E22" s="57">
        <f>598/(E21*12)</f>
        <v>5.8731094087605582</v>
      </c>
      <c r="H22" s="57">
        <f>1632/(H21*12)</f>
        <v>9.9633699633699688</v>
      </c>
      <c r="K22" s="57">
        <f>17759/(K21*12)</f>
        <v>3.1262762826200228</v>
      </c>
    </row>
    <row r="23" spans="1:11" x14ac:dyDescent="0.25">
      <c r="A23" s="52" t="s">
        <v>108</v>
      </c>
      <c r="E23" s="57">
        <f>462/(E21*12)</f>
        <v>4.5374189746611675</v>
      </c>
      <c r="H23" s="57">
        <f>1210/(H21*12)</f>
        <v>7.3870573870573919</v>
      </c>
      <c r="K23" s="57">
        <f>12928/(K21*12)</f>
        <v>2.2758319602292727</v>
      </c>
    </row>
  </sheetData>
  <mergeCells count="3">
    <mergeCell ref="C2:E2"/>
    <mergeCell ref="F2:H2"/>
    <mergeCell ref="I2:K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2017 Comparisons</vt:lpstr>
      <vt:lpstr>Rate and Bill Data</vt:lpstr>
      <vt:lpstr>Impact in 2027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Jay Shepherd</cp:lastModifiedBy>
  <cp:lastPrinted>2017-11-08T17:59:48Z</cp:lastPrinted>
  <dcterms:created xsi:type="dcterms:W3CDTF">2011-10-13T14:36:58Z</dcterms:created>
  <dcterms:modified xsi:type="dcterms:W3CDTF">2017-11-08T19:16:33Z</dcterms:modified>
</cp:coreProperties>
</file>