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codeName="ThisWorkbook"/>
  <mc:AlternateContent xmlns:mc="http://schemas.openxmlformats.org/markup-compatibility/2006">
    <mc:Choice Requires="x15">
      <x15ac:absPath xmlns:x15ac="http://schemas.microsoft.com/office/spreadsheetml/2010/11/ac" url="T:\5. TESI UTILITIES\Center Wellington\CWH 2018 CoS\2018 CoS\IRs\Models\"/>
    </mc:Choice>
  </mc:AlternateContent>
  <bookViews>
    <workbookView xWindow="0" yWindow="0" windowWidth="38400" windowHeight="16965" tabRatio="779" firstSheet="2" activeTab="11" xr2:uid="{00000000-000D-0000-FFFF-FFFF00000000}"/>
  </bookViews>
  <sheets>
    <sheet name="Input - Customer Data" sheetId="16" r:id="rId1"/>
    <sheet name="Input - Adjustments &amp; Variables" sheetId="19" r:id="rId2"/>
    <sheet name="Input" sheetId="2" r:id="rId3"/>
    <sheet name="Output" sheetId="3" r:id="rId4"/>
    <sheet name="Forecast" sheetId="7" r:id="rId5"/>
    <sheet name="DW" sheetId="10" state="hidden" r:id="rId6"/>
    <sheet name="Bridge&amp;Test Year Class Forecast" sheetId="21" r:id="rId7"/>
    <sheet name="Chpt2 Appendix 2-IB" sheetId="38" r:id="rId8"/>
    <sheet name="CDM Adjustment" sheetId="24" r:id="rId9"/>
    <sheet name="CDM Allocation" sheetId="23" r:id="rId10"/>
    <sheet name="Final LF " sheetId="32" r:id="rId11"/>
    <sheet name="Wholesale Analysis" sheetId="35" r:id="rId12"/>
    <sheet name="Analysis_Weather adj LF" sheetId="27" r:id="rId13"/>
    <sheet name="Analysis_Distr Revenues" sheetId="36" r:id="rId14"/>
    <sheet name="Wholesale Chart" sheetId="37" r:id="rId15"/>
    <sheet name="20 year" sheetId="39" r:id="rId16"/>
  </sheets>
  <definedNames>
    <definedName name="dwL">DW!$A$1:$U$101</definedName>
    <definedName name="dwU">DW!$W$1:$AQ$101</definedName>
    <definedName name="keyflag">Input!$R$1</definedName>
    <definedName name="_xlnm.Print_Area" localSheetId="5">DW!$A$1:$AQ$101</definedName>
    <definedName name="_xlnm.Print_Area" localSheetId="4">Forecast!$B$2:$BA$50</definedName>
    <definedName name="_xlnm.Print_Area" localSheetId="2">Input!$A$3:$AY$54</definedName>
    <definedName name="_xlnm.Print_Area" localSheetId="3">Output!$A$3:$AA$61</definedName>
    <definedName name="_xlnm.Print_Titles" localSheetId="4">Forecast!$B:$C,Forecast!$2:$3</definedName>
    <definedName name="_xlnm.Print_Titles" localSheetId="2">Input!$A:$A,Input!$3:$4</definedName>
    <definedName name="_xlnm.Print_Titles" localSheetId="3">Output!$3:$11</definedName>
  </definedNames>
  <calcPr calcId="171027"/>
</workbook>
</file>

<file path=xl/calcChain.xml><?xml version="1.0" encoding="utf-8"?>
<calcChain xmlns="http://schemas.openxmlformats.org/spreadsheetml/2006/main">
  <c r="Q42" i="24" l="1"/>
  <c r="M42" i="24"/>
  <c r="M40" i="24"/>
  <c r="Q40" i="24"/>
  <c r="O40" i="24"/>
  <c r="N40" i="24"/>
  <c r="D135" i="7" l="1"/>
  <c r="D123" i="7"/>
  <c r="E123" i="7"/>
  <c r="E135" i="7" s="1"/>
  <c r="C83" i="27" l="1"/>
  <c r="C82" i="27"/>
  <c r="I21" i="23"/>
  <c r="H21" i="23"/>
  <c r="X21" i="39"/>
  <c r="X22" i="39"/>
  <c r="X23" i="39"/>
  <c r="X25" i="39"/>
  <c r="X26" i="39"/>
  <c r="X27" i="39"/>
  <c r="X28" i="39"/>
  <c r="X29" i="39"/>
  <c r="X30" i="39"/>
  <c r="X31" i="39"/>
  <c r="X32" i="39"/>
  <c r="W21" i="39"/>
  <c r="W22" i="39"/>
  <c r="W23" i="39"/>
  <c r="W25" i="39"/>
  <c r="W26" i="39"/>
  <c r="W27" i="39"/>
  <c r="W28" i="39"/>
  <c r="W29" i="39"/>
  <c r="W30" i="39"/>
  <c r="W31" i="39"/>
  <c r="W32" i="39"/>
  <c r="M34" i="23"/>
  <c r="X24" i="39"/>
  <c r="W24" i="39"/>
  <c r="X15" i="39"/>
  <c r="W15" i="39"/>
  <c r="X14" i="39"/>
  <c r="W14" i="39"/>
  <c r="X13" i="39"/>
  <c r="W13" i="39"/>
  <c r="X12" i="39"/>
  <c r="W12" i="39"/>
  <c r="X11" i="39"/>
  <c r="W11" i="39"/>
  <c r="X10" i="39"/>
  <c r="W10" i="39"/>
  <c r="X9" i="39"/>
  <c r="W9" i="39"/>
  <c r="X8" i="39"/>
  <c r="W8" i="39"/>
  <c r="X7" i="39"/>
  <c r="W7" i="39"/>
  <c r="X6" i="39"/>
  <c r="W6" i="39"/>
  <c r="X5" i="39"/>
  <c r="W5" i="39"/>
  <c r="X4" i="39"/>
  <c r="W4" i="39"/>
  <c r="M487" i="38" l="1"/>
  <c r="K487" i="38"/>
  <c r="Q487" i="38" s="1"/>
  <c r="G487" i="38"/>
  <c r="M486" i="38"/>
  <c r="G486" i="38"/>
  <c r="M485" i="38"/>
  <c r="G485" i="38"/>
  <c r="M484" i="38"/>
  <c r="L484" i="38"/>
  <c r="G484" i="38"/>
  <c r="M483" i="38"/>
  <c r="L483" i="38"/>
  <c r="G483" i="38"/>
  <c r="M482" i="38"/>
  <c r="L482" i="38"/>
  <c r="G482" i="38"/>
  <c r="M481" i="38"/>
  <c r="L481" i="38"/>
  <c r="G481" i="38"/>
  <c r="I479" i="38"/>
  <c r="O479" i="38" s="1"/>
  <c r="U479" i="38" s="1"/>
  <c r="O478" i="38"/>
  <c r="O486" i="38" s="1"/>
  <c r="I478" i="38"/>
  <c r="S477" i="38"/>
  <c r="R477" i="38"/>
  <c r="D486" i="38"/>
  <c r="K486" i="38" s="1"/>
  <c r="Q486" i="38" s="1"/>
  <c r="S476" i="38"/>
  <c r="S486" i="38"/>
  <c r="R476" i="38"/>
  <c r="S475" i="38"/>
  <c r="S485" i="38" s="1"/>
  <c r="R475" i="38"/>
  <c r="S474" i="38"/>
  <c r="S484" i="38" s="1"/>
  <c r="R474" i="38"/>
  <c r="R484" i="38"/>
  <c r="S473" i="38"/>
  <c r="S483" i="38" s="1"/>
  <c r="R473" i="38"/>
  <c r="R483" i="38" s="1"/>
  <c r="S472" i="38"/>
  <c r="S482" i="38" s="1"/>
  <c r="R472" i="38"/>
  <c r="R482" i="38" s="1"/>
  <c r="S471" i="38"/>
  <c r="R471" i="38"/>
  <c r="R481" i="38" s="1"/>
  <c r="S470" i="38"/>
  <c r="R470" i="38"/>
  <c r="O470" i="38"/>
  <c r="U470" i="38" s="1"/>
  <c r="Q469" i="38"/>
  <c r="K469" i="38"/>
  <c r="M466" i="38"/>
  <c r="K466" i="38"/>
  <c r="Q466" i="38" s="1"/>
  <c r="G466" i="38"/>
  <c r="M465" i="38"/>
  <c r="G465" i="38"/>
  <c r="M464" i="38"/>
  <c r="G464" i="38"/>
  <c r="M463" i="38"/>
  <c r="L463" i="38"/>
  <c r="G463" i="38"/>
  <c r="M462" i="38"/>
  <c r="L462" i="38"/>
  <c r="G462" i="38"/>
  <c r="M461" i="38"/>
  <c r="L461" i="38"/>
  <c r="G461" i="38"/>
  <c r="M460" i="38"/>
  <c r="L460" i="38"/>
  <c r="G460" i="38"/>
  <c r="O458" i="38"/>
  <c r="U458" i="38" s="1"/>
  <c r="O457" i="38"/>
  <c r="I457" i="38"/>
  <c r="S456" i="38"/>
  <c r="R456" i="38"/>
  <c r="H456" i="38"/>
  <c r="N456" i="38" s="1"/>
  <c r="S455" i="38"/>
  <c r="S465" i="38" s="1"/>
  <c r="R455" i="38"/>
  <c r="S454" i="38"/>
  <c r="S464" i="38" s="1"/>
  <c r="R454" i="38"/>
  <c r="S453" i="38"/>
  <c r="S463" i="38"/>
  <c r="R453" i="38"/>
  <c r="R463" i="38"/>
  <c r="S452" i="38"/>
  <c r="S462" i="38"/>
  <c r="R452" i="38"/>
  <c r="R462" i="38"/>
  <c r="S451" i="38"/>
  <c r="S461" i="38"/>
  <c r="R451" i="38"/>
  <c r="R461" i="38"/>
  <c r="S450" i="38"/>
  <c r="S460" i="38"/>
  <c r="R450" i="38"/>
  <c r="R460" i="38"/>
  <c r="U449" i="38"/>
  <c r="S449" i="38"/>
  <c r="R449" i="38"/>
  <c r="Q448" i="38"/>
  <c r="Q444" i="38"/>
  <c r="M444" i="38"/>
  <c r="K444" i="38"/>
  <c r="G444" i="38"/>
  <c r="M443" i="38"/>
  <c r="G443" i="38"/>
  <c r="M442" i="38"/>
  <c r="G442" i="38"/>
  <c r="M441" i="38"/>
  <c r="L441" i="38"/>
  <c r="G441" i="38"/>
  <c r="M440" i="38"/>
  <c r="L440" i="38"/>
  <c r="G440" i="38"/>
  <c r="M439" i="38"/>
  <c r="L439" i="38"/>
  <c r="G439" i="38"/>
  <c r="M438" i="38"/>
  <c r="L438" i="38"/>
  <c r="G438" i="38"/>
  <c r="I436" i="38"/>
  <c r="O436" i="38" s="1"/>
  <c r="U436" i="38" s="1"/>
  <c r="O435" i="38"/>
  <c r="O443" i="38" s="1"/>
  <c r="I435" i="38"/>
  <c r="S434" i="38"/>
  <c r="R434" i="38"/>
  <c r="H434" i="38"/>
  <c r="S433" i="38"/>
  <c r="S443" i="38" s="1"/>
  <c r="R433" i="38"/>
  <c r="S432" i="38"/>
  <c r="S442" i="38" s="1"/>
  <c r="R432" i="38"/>
  <c r="S431" i="38"/>
  <c r="S441" i="38" s="1"/>
  <c r="R431" i="38"/>
  <c r="R441" i="38"/>
  <c r="S430" i="38"/>
  <c r="S440" i="38" s="1"/>
  <c r="R430" i="38"/>
  <c r="R440" i="38" s="1"/>
  <c r="S429" i="38"/>
  <c r="S439" i="38" s="1"/>
  <c r="R429" i="38"/>
  <c r="R439" i="38" s="1"/>
  <c r="S428" i="38"/>
  <c r="S438" i="38" s="1"/>
  <c r="R428" i="38"/>
  <c r="R438" i="38" s="1"/>
  <c r="S427" i="38"/>
  <c r="R427" i="38"/>
  <c r="O427" i="38"/>
  <c r="U427" i="38" s="1"/>
  <c r="Q426" i="38"/>
  <c r="K426" i="38"/>
  <c r="M423" i="38"/>
  <c r="K423" i="38"/>
  <c r="Q423" i="38"/>
  <c r="M422" i="38"/>
  <c r="G422" i="38"/>
  <c r="G423" i="38"/>
  <c r="M421" i="38"/>
  <c r="G421" i="38"/>
  <c r="M420" i="38"/>
  <c r="L420" i="38"/>
  <c r="G420" i="38"/>
  <c r="M419" i="38"/>
  <c r="L419" i="38"/>
  <c r="G419" i="38"/>
  <c r="M418" i="38"/>
  <c r="L418" i="38"/>
  <c r="G418" i="38"/>
  <c r="M417" i="38"/>
  <c r="L417" i="38"/>
  <c r="G417" i="38"/>
  <c r="O415" i="38"/>
  <c r="U415" i="38" s="1"/>
  <c r="O414" i="38"/>
  <c r="I414" i="38"/>
  <c r="S413" i="38"/>
  <c r="R413" i="38"/>
  <c r="H413" i="38"/>
  <c r="S412" i="38"/>
  <c r="S422" i="38" s="1"/>
  <c r="R412" i="38"/>
  <c r="S411" i="38"/>
  <c r="S421" i="38"/>
  <c r="R411" i="38"/>
  <c r="S410" i="38"/>
  <c r="S420" i="38" s="1"/>
  <c r="R410" i="38"/>
  <c r="R420" i="38" s="1"/>
  <c r="S409" i="38"/>
  <c r="S419" i="38" s="1"/>
  <c r="R409" i="38"/>
  <c r="R419" i="38" s="1"/>
  <c r="S408" i="38"/>
  <c r="S418" i="38" s="1"/>
  <c r="R408" i="38"/>
  <c r="R418" i="38" s="1"/>
  <c r="S407" i="38"/>
  <c r="S417" i="38" s="1"/>
  <c r="R407" i="38"/>
  <c r="R417" i="38" s="1"/>
  <c r="U406" i="38"/>
  <c r="S406" i="38"/>
  <c r="R406" i="38"/>
  <c r="Q405" i="38"/>
  <c r="M401" i="38"/>
  <c r="K401" i="38"/>
  <c r="Q401" i="38" s="1"/>
  <c r="G401" i="38"/>
  <c r="M400" i="38"/>
  <c r="G400" i="38"/>
  <c r="M399" i="38"/>
  <c r="G399" i="38"/>
  <c r="M398" i="38"/>
  <c r="L398" i="38"/>
  <c r="G398" i="38"/>
  <c r="M397" i="38"/>
  <c r="L397" i="38"/>
  <c r="G397" i="38"/>
  <c r="M396" i="38"/>
  <c r="L396" i="38"/>
  <c r="G396" i="38"/>
  <c r="M395" i="38"/>
  <c r="L395" i="38"/>
  <c r="G395" i="38"/>
  <c r="U393" i="38"/>
  <c r="I393" i="38"/>
  <c r="O393" i="38" s="1"/>
  <c r="O392" i="38"/>
  <c r="I392" i="38"/>
  <c r="S391" i="38"/>
  <c r="R391" i="38"/>
  <c r="H391" i="38"/>
  <c r="S390" i="38"/>
  <c r="S400" i="38" s="1"/>
  <c r="R390" i="38"/>
  <c r="S389" i="38"/>
  <c r="S399" i="38"/>
  <c r="R389" i="38"/>
  <c r="S388" i="38"/>
  <c r="S398" i="38" s="1"/>
  <c r="R388" i="38"/>
  <c r="R398" i="38" s="1"/>
  <c r="S387" i="38"/>
  <c r="S397" i="38" s="1"/>
  <c r="R387" i="38"/>
  <c r="R397" i="38" s="1"/>
  <c r="S386" i="38"/>
  <c r="S396" i="38" s="1"/>
  <c r="R386" i="38"/>
  <c r="R396" i="38" s="1"/>
  <c r="S385" i="38"/>
  <c r="S395" i="38" s="1"/>
  <c r="R385" i="38"/>
  <c r="R395" i="38" s="1"/>
  <c r="S384" i="38"/>
  <c r="R384" i="38"/>
  <c r="O384" i="38"/>
  <c r="U384" i="38" s="1"/>
  <c r="Q383" i="38"/>
  <c r="K383" i="38"/>
  <c r="M380" i="38"/>
  <c r="K380" i="38"/>
  <c r="Q380" i="38" s="1"/>
  <c r="O379" i="38"/>
  <c r="M379" i="38"/>
  <c r="G379" i="38"/>
  <c r="G380" i="38"/>
  <c r="M378" i="38"/>
  <c r="G378" i="38"/>
  <c r="M377" i="38"/>
  <c r="L377" i="38"/>
  <c r="G377" i="38"/>
  <c r="M376" i="38"/>
  <c r="L376" i="38"/>
  <c r="G376" i="38"/>
  <c r="M375" i="38"/>
  <c r="L375" i="38"/>
  <c r="G375" i="38"/>
  <c r="M374" i="38"/>
  <c r="L374" i="38"/>
  <c r="G374" i="38"/>
  <c r="O372" i="38"/>
  <c r="U372" i="38" s="1"/>
  <c r="O371" i="38"/>
  <c r="I371" i="38"/>
  <c r="S370" i="38"/>
  <c r="R370" i="38"/>
  <c r="H370" i="38"/>
  <c r="N370" i="38" s="1"/>
  <c r="T370" i="38" s="1"/>
  <c r="U370" i="38" s="1"/>
  <c r="S369" i="38"/>
  <c r="S379" i="38" s="1"/>
  <c r="R369" i="38"/>
  <c r="S368" i="38"/>
  <c r="S378" i="38" s="1"/>
  <c r="R368" i="38"/>
  <c r="S367" i="38"/>
  <c r="S377" i="38" s="1"/>
  <c r="R367" i="38"/>
  <c r="R377" i="38" s="1"/>
  <c r="S366" i="38"/>
  <c r="S376" i="38" s="1"/>
  <c r="R366" i="38"/>
  <c r="R376" i="38" s="1"/>
  <c r="S365" i="38"/>
  <c r="S375" i="38" s="1"/>
  <c r="R365" i="38"/>
  <c r="R375" i="38" s="1"/>
  <c r="S364" i="38"/>
  <c r="S374" i="38" s="1"/>
  <c r="R364" i="38"/>
  <c r="R374" i="38" s="1"/>
  <c r="U363" i="38"/>
  <c r="S363" i="38"/>
  <c r="R363" i="38"/>
  <c r="Q362" i="38"/>
  <c r="M358" i="38"/>
  <c r="K358" i="38"/>
  <c r="Q358" i="38" s="1"/>
  <c r="G358" i="38"/>
  <c r="M357" i="38"/>
  <c r="G357" i="38"/>
  <c r="M356" i="38"/>
  <c r="G356" i="38"/>
  <c r="M355" i="38"/>
  <c r="L355" i="38"/>
  <c r="G355" i="38"/>
  <c r="M354" i="38"/>
  <c r="L354" i="38"/>
  <c r="G354" i="38"/>
  <c r="M353" i="38"/>
  <c r="L353" i="38"/>
  <c r="G353" i="38"/>
  <c r="M352" i="38"/>
  <c r="L352" i="38"/>
  <c r="G352" i="38"/>
  <c r="I350" i="38"/>
  <c r="O350" i="38" s="1"/>
  <c r="U350" i="38" s="1"/>
  <c r="O349" i="38"/>
  <c r="O357" i="38" s="1"/>
  <c r="I349" i="38"/>
  <c r="S348" i="38"/>
  <c r="R348" i="38"/>
  <c r="D357" i="38"/>
  <c r="K357" i="38" s="1"/>
  <c r="Q357" i="38" s="1"/>
  <c r="S347" i="38"/>
  <c r="S357" i="38" s="1"/>
  <c r="R347" i="38"/>
  <c r="S346" i="38"/>
  <c r="S356" i="38" s="1"/>
  <c r="R346" i="38"/>
  <c r="S345" i="38"/>
  <c r="S355" i="38" s="1"/>
  <c r="R345" i="38"/>
  <c r="R355" i="38" s="1"/>
  <c r="S344" i="38"/>
  <c r="S354" i="38" s="1"/>
  <c r="R344" i="38"/>
  <c r="R354" i="38" s="1"/>
  <c r="S343" i="38"/>
  <c r="S353" i="38"/>
  <c r="R343" i="38"/>
  <c r="R353" i="38" s="1"/>
  <c r="S342" i="38"/>
  <c r="S358" i="38" s="1"/>
  <c r="R342" i="38"/>
  <c r="R352" i="38" s="1"/>
  <c r="S341" i="38"/>
  <c r="R341" i="38"/>
  <c r="O341" i="38"/>
  <c r="U341" i="38" s="1"/>
  <c r="Q340" i="38"/>
  <c r="K340" i="38"/>
  <c r="M337" i="38"/>
  <c r="K337" i="38"/>
  <c r="Q337" i="38" s="1"/>
  <c r="M336" i="38"/>
  <c r="M335" i="38"/>
  <c r="M334" i="38"/>
  <c r="L334" i="38"/>
  <c r="M333" i="38"/>
  <c r="L333" i="38"/>
  <c r="M332" i="38"/>
  <c r="L332" i="38"/>
  <c r="M331" i="38"/>
  <c r="L331" i="38"/>
  <c r="O329" i="38"/>
  <c r="U329" i="38" s="1"/>
  <c r="O328" i="38"/>
  <c r="I328" i="38"/>
  <c r="D336" i="38"/>
  <c r="K336" i="38" s="1"/>
  <c r="Q336" i="38" s="1"/>
  <c r="U320" i="38"/>
  <c r="S320" i="38"/>
  <c r="R320" i="38"/>
  <c r="Q319" i="38"/>
  <c r="Q315" i="38"/>
  <c r="M315" i="38"/>
  <c r="K315" i="38"/>
  <c r="G315" i="38"/>
  <c r="M314" i="38"/>
  <c r="G314" i="38"/>
  <c r="M313" i="38"/>
  <c r="G313" i="38"/>
  <c r="M312" i="38"/>
  <c r="L312" i="38"/>
  <c r="G312" i="38"/>
  <c r="M311" i="38"/>
  <c r="L311" i="38"/>
  <c r="G311" i="38"/>
  <c r="M310" i="38"/>
  <c r="L310" i="38"/>
  <c r="G310" i="38"/>
  <c r="M309" i="38"/>
  <c r="L309" i="38"/>
  <c r="G309" i="38"/>
  <c r="I307" i="38"/>
  <c r="O307" i="38"/>
  <c r="U307" i="38" s="1"/>
  <c r="O306" i="38"/>
  <c r="I306" i="38"/>
  <c r="S305" i="38"/>
  <c r="R305" i="38"/>
  <c r="S304" i="38"/>
  <c r="S314" i="38" s="1"/>
  <c r="R304" i="38"/>
  <c r="S303" i="38"/>
  <c r="S313" i="38" s="1"/>
  <c r="R303" i="38"/>
  <c r="S302" i="38"/>
  <c r="S312" i="38" s="1"/>
  <c r="R302" i="38"/>
  <c r="R312" i="38" s="1"/>
  <c r="S301" i="38"/>
  <c r="S311" i="38" s="1"/>
  <c r="R301" i="38"/>
  <c r="R311" i="38" s="1"/>
  <c r="S300" i="38"/>
  <c r="S310" i="38"/>
  <c r="R300" i="38"/>
  <c r="R310" i="38" s="1"/>
  <c r="S299" i="38"/>
  <c r="S315" i="38" s="1"/>
  <c r="R299" i="38"/>
  <c r="R309" i="38" s="1"/>
  <c r="S298" i="38"/>
  <c r="R298" i="38"/>
  <c r="O298" i="38"/>
  <c r="U298" i="38" s="1"/>
  <c r="Q297" i="38"/>
  <c r="K297" i="38"/>
  <c r="M294" i="38"/>
  <c r="K294" i="38"/>
  <c r="Q294" i="38" s="1"/>
  <c r="M293" i="38"/>
  <c r="M292" i="38"/>
  <c r="M291" i="38"/>
  <c r="L291" i="38"/>
  <c r="M290" i="38"/>
  <c r="L290" i="38"/>
  <c r="M289" i="38"/>
  <c r="L289" i="38"/>
  <c r="M288" i="38"/>
  <c r="L288" i="38"/>
  <c r="O286" i="38"/>
  <c r="U286" i="38" s="1"/>
  <c r="O285" i="38"/>
  <c r="I285" i="38"/>
  <c r="H284" i="38"/>
  <c r="N284" i="38" s="1"/>
  <c r="N305" i="38" s="1"/>
  <c r="T305" i="38" s="1"/>
  <c r="U305" i="38" s="1"/>
  <c r="U277" i="38"/>
  <c r="S277" i="38"/>
  <c r="R277" i="38"/>
  <c r="Q276" i="38"/>
  <c r="B274" i="38"/>
  <c r="B317" i="38" s="1"/>
  <c r="B360" i="38" s="1"/>
  <c r="B403" i="38" s="1"/>
  <c r="B446" i="38" s="1"/>
  <c r="M272" i="38"/>
  <c r="K272" i="38"/>
  <c r="Q272" i="38" s="1"/>
  <c r="G272" i="38"/>
  <c r="M271" i="38"/>
  <c r="G271" i="38"/>
  <c r="M270" i="38"/>
  <c r="G270" i="38"/>
  <c r="M269" i="38"/>
  <c r="L269" i="38"/>
  <c r="G269" i="38"/>
  <c r="R268" i="38"/>
  <c r="M268" i="38"/>
  <c r="L268" i="38"/>
  <c r="G268" i="38"/>
  <c r="M267" i="38"/>
  <c r="L267" i="38"/>
  <c r="G267" i="38"/>
  <c r="M266" i="38"/>
  <c r="L266" i="38"/>
  <c r="G266" i="38"/>
  <c r="I264" i="38"/>
  <c r="O264" i="38" s="1"/>
  <c r="U264" i="38"/>
  <c r="O263" i="38"/>
  <c r="O271" i="38" s="1"/>
  <c r="I263" i="38"/>
  <c r="S262" i="38"/>
  <c r="R262" i="38"/>
  <c r="H262" i="38"/>
  <c r="S261" i="38"/>
  <c r="S271" i="38" s="1"/>
  <c r="R261" i="38"/>
  <c r="S260" i="38"/>
  <c r="S270" i="38" s="1"/>
  <c r="R260" i="38"/>
  <c r="S259" i="38"/>
  <c r="S269" i="38" s="1"/>
  <c r="R259" i="38"/>
  <c r="R269" i="38" s="1"/>
  <c r="S258" i="38"/>
  <c r="S268" i="38" s="1"/>
  <c r="R258" i="38"/>
  <c r="S257" i="38"/>
  <c r="S267" i="38" s="1"/>
  <c r="R257" i="38"/>
  <c r="R267" i="38" s="1"/>
  <c r="S256" i="38"/>
  <c r="S272" i="38" s="1"/>
  <c r="R256" i="38"/>
  <c r="R266" i="38" s="1"/>
  <c r="S255" i="38"/>
  <c r="R255" i="38"/>
  <c r="O255" i="38"/>
  <c r="U255" i="38"/>
  <c r="Q254" i="38"/>
  <c r="K254" i="38"/>
  <c r="M251" i="38"/>
  <c r="K251" i="38"/>
  <c r="Q251" i="38" s="1"/>
  <c r="M250" i="38"/>
  <c r="M249" i="38"/>
  <c r="M248" i="38"/>
  <c r="L248" i="38"/>
  <c r="M247" i="38"/>
  <c r="L247" i="38"/>
  <c r="M246" i="38"/>
  <c r="L246" i="38"/>
  <c r="M245" i="38"/>
  <c r="L245" i="38"/>
  <c r="O243" i="38"/>
  <c r="U243" i="38" s="1"/>
  <c r="O242" i="38"/>
  <c r="I242" i="38"/>
  <c r="H241" i="38"/>
  <c r="N241" i="38" s="1"/>
  <c r="T241" i="38" s="1"/>
  <c r="U241" i="38" s="1"/>
  <c r="S237" i="38"/>
  <c r="S247" i="38" s="1"/>
  <c r="U234" i="38"/>
  <c r="S234" i="38"/>
  <c r="R234" i="38"/>
  <c r="Q233" i="38"/>
  <c r="M229" i="38"/>
  <c r="K229" i="38"/>
  <c r="Q229" i="38" s="1"/>
  <c r="G229" i="38"/>
  <c r="M228" i="38"/>
  <c r="G228" i="38"/>
  <c r="M227" i="38"/>
  <c r="G227" i="38"/>
  <c r="M226" i="38"/>
  <c r="L226" i="38"/>
  <c r="G226" i="38"/>
  <c r="M225" i="38"/>
  <c r="L225" i="38"/>
  <c r="G225" i="38"/>
  <c r="M224" i="38"/>
  <c r="L224" i="38"/>
  <c r="G224" i="38"/>
  <c r="M223" i="38"/>
  <c r="L223" i="38"/>
  <c r="G223" i="38"/>
  <c r="I221" i="38"/>
  <c r="O221" i="38" s="1"/>
  <c r="U221" i="38" s="1"/>
  <c r="O220" i="38"/>
  <c r="O228" i="38" s="1"/>
  <c r="I220" i="38"/>
  <c r="S219" i="38"/>
  <c r="R219" i="38"/>
  <c r="H219" i="38"/>
  <c r="S218" i="38"/>
  <c r="S228" i="38" s="1"/>
  <c r="R218" i="38"/>
  <c r="S217" i="38"/>
  <c r="S227" i="38" s="1"/>
  <c r="R217" i="38"/>
  <c r="S216" i="38"/>
  <c r="S226" i="38" s="1"/>
  <c r="R216" i="38"/>
  <c r="R226" i="38" s="1"/>
  <c r="S215" i="38"/>
  <c r="S225" i="38"/>
  <c r="R215" i="38"/>
  <c r="R225" i="38" s="1"/>
  <c r="S214" i="38"/>
  <c r="S224" i="38" s="1"/>
  <c r="R214" i="38"/>
  <c r="R224" i="38" s="1"/>
  <c r="S213" i="38"/>
  <c r="S223" i="38" s="1"/>
  <c r="R213" i="38"/>
  <c r="R223" i="38" s="1"/>
  <c r="S212" i="38"/>
  <c r="R212" i="38"/>
  <c r="O212" i="38"/>
  <c r="U212" i="38" s="1"/>
  <c r="Q211" i="38"/>
  <c r="K211" i="38"/>
  <c r="K208" i="38"/>
  <c r="Q208" i="38" s="1"/>
  <c r="O200" i="38"/>
  <c r="U200" i="38" s="1"/>
  <c r="O199" i="38"/>
  <c r="I199" i="38"/>
  <c r="H198" i="38"/>
  <c r="U191" i="38"/>
  <c r="S191" i="38"/>
  <c r="R191" i="38"/>
  <c r="Q190" i="38"/>
  <c r="K186" i="38"/>
  <c r="Q186" i="38" s="1"/>
  <c r="G186" i="38"/>
  <c r="G185" i="38"/>
  <c r="G184" i="38"/>
  <c r="G183" i="38"/>
  <c r="G182" i="38"/>
  <c r="G181" i="38"/>
  <c r="G180" i="38"/>
  <c r="I178" i="38"/>
  <c r="O178" i="38" s="1"/>
  <c r="U178" i="38" s="1"/>
  <c r="O177" i="38"/>
  <c r="I177" i="38"/>
  <c r="S176" i="38"/>
  <c r="R176" i="38"/>
  <c r="H176" i="38"/>
  <c r="S175" i="38"/>
  <c r="S185" i="38" s="1"/>
  <c r="R175" i="38"/>
  <c r="S174" i="38"/>
  <c r="S184" i="38" s="1"/>
  <c r="R174" i="38"/>
  <c r="S173" i="38"/>
  <c r="S183" i="38" s="1"/>
  <c r="R173" i="38"/>
  <c r="R183" i="38" s="1"/>
  <c r="S172" i="38"/>
  <c r="S182" i="38" s="1"/>
  <c r="R172" i="38"/>
  <c r="R182" i="38" s="1"/>
  <c r="S171" i="38"/>
  <c r="S181" i="38" s="1"/>
  <c r="R171" i="38"/>
  <c r="R181" i="38" s="1"/>
  <c r="S170" i="38"/>
  <c r="S180" i="38" s="1"/>
  <c r="R170" i="38"/>
  <c r="R180" i="38" s="1"/>
  <c r="S169" i="38"/>
  <c r="R169" i="38"/>
  <c r="O169" i="38"/>
  <c r="U169" i="38"/>
  <c r="Q168" i="38"/>
  <c r="K168" i="38"/>
  <c r="K165" i="38"/>
  <c r="Q165" i="38" s="1"/>
  <c r="O157" i="38"/>
  <c r="U157" i="38" s="1"/>
  <c r="O156" i="38"/>
  <c r="I156" i="38"/>
  <c r="H155" i="38"/>
  <c r="N155" i="38" s="1"/>
  <c r="U148" i="38"/>
  <c r="S148" i="38"/>
  <c r="R148" i="38"/>
  <c r="Q147" i="38"/>
  <c r="M143" i="38"/>
  <c r="K143" i="38"/>
  <c r="Q143" i="38"/>
  <c r="G143" i="38"/>
  <c r="M142" i="38"/>
  <c r="G142" i="38"/>
  <c r="M141" i="38"/>
  <c r="G141" i="38"/>
  <c r="M140" i="38"/>
  <c r="L140" i="38"/>
  <c r="G140" i="38"/>
  <c r="M139" i="38"/>
  <c r="L139" i="38"/>
  <c r="G139" i="38"/>
  <c r="M138" i="38"/>
  <c r="L138" i="38"/>
  <c r="G138" i="38"/>
  <c r="M137" i="38"/>
  <c r="L137" i="38"/>
  <c r="G137" i="38"/>
  <c r="I135" i="38"/>
  <c r="O135" i="38" s="1"/>
  <c r="U135" i="38" s="1"/>
  <c r="O134" i="38"/>
  <c r="I134" i="38"/>
  <c r="I142" i="38"/>
  <c r="S133" i="38"/>
  <c r="R133" i="38"/>
  <c r="H133" i="38"/>
  <c r="S132" i="38"/>
  <c r="S142" i="38" s="1"/>
  <c r="R132" i="38"/>
  <c r="S131" i="38"/>
  <c r="S141" i="38" s="1"/>
  <c r="R131" i="38"/>
  <c r="S130" i="38"/>
  <c r="S140" i="38" s="1"/>
  <c r="R130" i="38"/>
  <c r="R140" i="38" s="1"/>
  <c r="S129" i="38"/>
  <c r="S139" i="38" s="1"/>
  <c r="R129" i="38"/>
  <c r="R139" i="38" s="1"/>
  <c r="S128" i="38"/>
  <c r="S138" i="38" s="1"/>
  <c r="R128" i="38"/>
  <c r="R138" i="38" s="1"/>
  <c r="S127" i="38"/>
  <c r="S137" i="38" s="1"/>
  <c r="R127" i="38"/>
  <c r="R137" i="38" s="1"/>
  <c r="S126" i="38"/>
  <c r="R126" i="38"/>
  <c r="O126" i="38"/>
  <c r="U126" i="38" s="1"/>
  <c r="Q125" i="38"/>
  <c r="K125" i="38"/>
  <c r="K122" i="38"/>
  <c r="Q122" i="38" s="1"/>
  <c r="O114" i="38"/>
  <c r="U114" i="38" s="1"/>
  <c r="O113" i="38"/>
  <c r="I113" i="38"/>
  <c r="H112" i="38"/>
  <c r="N112" i="38" s="1"/>
  <c r="T112" i="38" s="1"/>
  <c r="U112" i="38" s="1"/>
  <c r="U105" i="38"/>
  <c r="S105" i="38"/>
  <c r="R105" i="38"/>
  <c r="Q104" i="38"/>
  <c r="M100" i="38"/>
  <c r="K100" i="38"/>
  <c r="Q100" i="38" s="1"/>
  <c r="M99" i="38"/>
  <c r="G99" i="38"/>
  <c r="M98" i="38"/>
  <c r="G98" i="38"/>
  <c r="M97" i="38"/>
  <c r="L97" i="38"/>
  <c r="G97" i="38"/>
  <c r="M96" i="38"/>
  <c r="L96" i="38"/>
  <c r="G96" i="38"/>
  <c r="M95" i="38"/>
  <c r="L95" i="38"/>
  <c r="G95" i="38"/>
  <c r="M94" i="38"/>
  <c r="L94" i="38"/>
  <c r="G94" i="38"/>
  <c r="G100" i="38"/>
  <c r="I92" i="38"/>
  <c r="O92" i="38" s="1"/>
  <c r="U92" i="38" s="1"/>
  <c r="O91" i="38"/>
  <c r="I91" i="38"/>
  <c r="I99" i="38"/>
  <c r="S90" i="38"/>
  <c r="R90" i="38"/>
  <c r="H90" i="38"/>
  <c r="S89" i="38"/>
  <c r="S99" i="38" s="1"/>
  <c r="R89" i="38"/>
  <c r="D89" i="38"/>
  <c r="H89" i="38" s="1"/>
  <c r="S88" i="38"/>
  <c r="S98" i="38" s="1"/>
  <c r="R88" i="38"/>
  <c r="S87" i="38"/>
  <c r="S97" i="38" s="1"/>
  <c r="R87" i="38"/>
  <c r="R97" i="38" s="1"/>
  <c r="S86" i="38"/>
  <c r="S96" i="38" s="1"/>
  <c r="R86" i="38"/>
  <c r="R96" i="38" s="1"/>
  <c r="S85" i="38"/>
  <c r="S95" i="38" s="1"/>
  <c r="R85" i="38"/>
  <c r="R95" i="38" s="1"/>
  <c r="S84" i="38"/>
  <c r="S100" i="38" s="1"/>
  <c r="R84" i="38"/>
  <c r="R94" i="38" s="1"/>
  <c r="S83" i="38"/>
  <c r="R83" i="38"/>
  <c r="O83" i="38"/>
  <c r="U83" i="38" s="1"/>
  <c r="Q82" i="38"/>
  <c r="K82" i="38"/>
  <c r="K79" i="38"/>
  <c r="Q79" i="38" s="1"/>
  <c r="U71" i="38"/>
  <c r="O71" i="38"/>
  <c r="O70" i="38"/>
  <c r="I70" i="38"/>
  <c r="I78" i="38"/>
  <c r="F69" i="38"/>
  <c r="K69" i="38"/>
  <c r="K90" i="38" s="1"/>
  <c r="D78" i="38"/>
  <c r="K78" i="38" s="1"/>
  <c r="F68" i="38"/>
  <c r="K68" i="38" s="1"/>
  <c r="K89" i="38" s="1"/>
  <c r="F67" i="38"/>
  <c r="F110" i="38" s="1"/>
  <c r="F66" i="38"/>
  <c r="K66" i="38" s="1"/>
  <c r="K87" i="38" s="1"/>
  <c r="Q87" i="38" s="1"/>
  <c r="F65" i="38"/>
  <c r="F108" i="38"/>
  <c r="F129" i="38" s="1"/>
  <c r="F64" i="38"/>
  <c r="K64" i="38" s="1"/>
  <c r="K85" i="38" s="1"/>
  <c r="Q85" i="38" s="1"/>
  <c r="F63" i="38"/>
  <c r="F106" i="38" s="1"/>
  <c r="U62" i="38"/>
  <c r="S62" i="38"/>
  <c r="R62" i="38"/>
  <c r="Q61" i="38"/>
  <c r="K55" i="38"/>
  <c r="L54" i="38"/>
  <c r="L53" i="38"/>
  <c r="O46" i="38"/>
  <c r="D54" i="38"/>
  <c r="K54" i="38" s="1"/>
  <c r="N53" i="36"/>
  <c r="N44" i="36"/>
  <c r="N18" i="36"/>
  <c r="L53" i="36"/>
  <c r="J53" i="36"/>
  <c r="H53" i="36"/>
  <c r="F53" i="36"/>
  <c r="E53" i="36"/>
  <c r="D53" i="36"/>
  <c r="N69" i="36"/>
  <c r="L44" i="36"/>
  <c r="J44" i="36"/>
  <c r="L36" i="36"/>
  <c r="H44" i="36"/>
  <c r="L69" i="36"/>
  <c r="H69" i="36"/>
  <c r="F69" i="36"/>
  <c r="E69" i="36"/>
  <c r="H36" i="36"/>
  <c r="F64" i="36"/>
  <c r="F44" i="36"/>
  <c r="F36" i="36"/>
  <c r="E36" i="36"/>
  <c r="D44" i="36"/>
  <c r="J27" i="36"/>
  <c r="N27" i="36"/>
  <c r="N64" i="36"/>
  <c r="F27" i="36"/>
  <c r="E27" i="36"/>
  <c r="H68" i="36"/>
  <c r="F18" i="36"/>
  <c r="F68" i="36"/>
  <c r="H67" i="36"/>
  <c r="H21" i="32"/>
  <c r="I21" i="32"/>
  <c r="J21" i="32"/>
  <c r="L54" i="21"/>
  <c r="N56" i="21"/>
  <c r="P56" i="21" s="1"/>
  <c r="J135" i="27" s="1"/>
  <c r="N55" i="21"/>
  <c r="B14" i="21"/>
  <c r="H123" i="7"/>
  <c r="H135" i="7" s="1"/>
  <c r="H122" i="7"/>
  <c r="H134" i="7" s="1"/>
  <c r="H121" i="7"/>
  <c r="H133" i="7"/>
  <c r="H120" i="7"/>
  <c r="H119" i="7"/>
  <c r="H131" i="7" s="1"/>
  <c r="H118" i="7"/>
  <c r="H130" i="7" s="1"/>
  <c r="H117" i="7"/>
  <c r="H129" i="7"/>
  <c r="H116" i="7"/>
  <c r="H115" i="7"/>
  <c r="H127" i="7" s="1"/>
  <c r="C127" i="7" s="1"/>
  <c r="H114" i="7"/>
  <c r="H126" i="7" s="1"/>
  <c r="H113" i="7"/>
  <c r="H112" i="7"/>
  <c r="E112" i="7"/>
  <c r="E124" i="7" s="1"/>
  <c r="F112" i="7"/>
  <c r="F124" i="7" s="1"/>
  <c r="E113" i="7"/>
  <c r="E125" i="7" s="1"/>
  <c r="F113" i="7"/>
  <c r="E114" i="7"/>
  <c r="E126" i="7" s="1"/>
  <c r="F114" i="7"/>
  <c r="F126" i="7" s="1"/>
  <c r="E115" i="7"/>
  <c r="E127" i="7" s="1"/>
  <c r="F115" i="7"/>
  <c r="E116" i="7"/>
  <c r="E128" i="7" s="1"/>
  <c r="F116" i="7"/>
  <c r="E117" i="7"/>
  <c r="E129" i="7" s="1"/>
  <c r="F117" i="7"/>
  <c r="E118" i="7"/>
  <c r="E130" i="7" s="1"/>
  <c r="F118" i="7"/>
  <c r="E119" i="7"/>
  <c r="E131" i="7" s="1"/>
  <c r="F119" i="7"/>
  <c r="F131" i="7" s="1"/>
  <c r="E120" i="7"/>
  <c r="E132" i="7" s="1"/>
  <c r="F120" i="7"/>
  <c r="E121" i="7"/>
  <c r="E133" i="7" s="1"/>
  <c r="F121" i="7"/>
  <c r="F133" i="7" s="1"/>
  <c r="E122" i="7"/>
  <c r="E134" i="7" s="1"/>
  <c r="F122" i="7"/>
  <c r="F123" i="7"/>
  <c r="F135" i="7" s="1"/>
  <c r="F125" i="7"/>
  <c r="F127" i="7"/>
  <c r="F128" i="7"/>
  <c r="F130" i="7"/>
  <c r="F132" i="7"/>
  <c r="F134" i="7"/>
  <c r="D113" i="7"/>
  <c r="D125" i="7" s="1"/>
  <c r="D114" i="7"/>
  <c r="D126" i="7" s="1"/>
  <c r="D115" i="7"/>
  <c r="D127" i="7" s="1"/>
  <c r="D116" i="7"/>
  <c r="D117" i="7"/>
  <c r="D129" i="7" s="1"/>
  <c r="D118" i="7"/>
  <c r="D130" i="7" s="1"/>
  <c r="D119" i="7"/>
  <c r="D131" i="7" s="1"/>
  <c r="D120" i="7"/>
  <c r="D132" i="7" s="1"/>
  <c r="D121" i="7"/>
  <c r="D133" i="7" s="1"/>
  <c r="D122" i="7"/>
  <c r="D134" i="7" s="1"/>
  <c r="C123" i="7"/>
  <c r="D112" i="7"/>
  <c r="C111" i="7"/>
  <c r="C110" i="7"/>
  <c r="C109" i="7"/>
  <c r="C108" i="7"/>
  <c r="C107" i="7"/>
  <c r="C106" i="7"/>
  <c r="C105" i="7"/>
  <c r="C104" i="7"/>
  <c r="C103" i="7"/>
  <c r="C102" i="7"/>
  <c r="E13" i="21" s="1"/>
  <c r="C101" i="7"/>
  <c r="C100" i="7"/>
  <c r="C99" i="7"/>
  <c r="C98" i="7"/>
  <c r="C97" i="7"/>
  <c r="C96" i="7"/>
  <c r="C95" i="7"/>
  <c r="C94" i="7"/>
  <c r="C93" i="7"/>
  <c r="C92" i="7"/>
  <c r="C91" i="7"/>
  <c r="C90" i="7"/>
  <c r="E12" i="21" s="1"/>
  <c r="C89" i="7"/>
  <c r="C88" i="7"/>
  <c r="C87" i="7"/>
  <c r="C86" i="7"/>
  <c r="C85" i="7"/>
  <c r="C84" i="7"/>
  <c r="C83" i="7"/>
  <c r="C82" i="7"/>
  <c r="C81" i="7"/>
  <c r="C80" i="7"/>
  <c r="C79" i="7"/>
  <c r="C78" i="7"/>
  <c r="E11" i="21" s="1"/>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E8" i="21" s="1"/>
  <c r="C41" i="7"/>
  <c r="C40" i="7"/>
  <c r="C39" i="7"/>
  <c r="C38" i="7"/>
  <c r="C37" i="7"/>
  <c r="C36" i="7"/>
  <c r="C35" i="7"/>
  <c r="C34" i="7"/>
  <c r="C33" i="7"/>
  <c r="C32" i="7"/>
  <c r="C31" i="7"/>
  <c r="C30" i="7"/>
  <c r="E7" i="21" s="1"/>
  <c r="D23" i="35" s="1"/>
  <c r="C29" i="7"/>
  <c r="C28" i="7"/>
  <c r="C27" i="7"/>
  <c r="C26" i="7"/>
  <c r="C25" i="7"/>
  <c r="C24" i="7"/>
  <c r="C23" i="7"/>
  <c r="C22" i="7"/>
  <c r="C21" i="7"/>
  <c r="C20" i="7"/>
  <c r="C19" i="7"/>
  <c r="C18" i="7"/>
  <c r="C17" i="7"/>
  <c r="C16" i="7"/>
  <c r="C15" i="7"/>
  <c r="C14" i="7"/>
  <c r="C13" i="7"/>
  <c r="C12" i="7"/>
  <c r="C11" i="7"/>
  <c r="C10" i="7"/>
  <c r="C9" i="7"/>
  <c r="C8" i="7"/>
  <c r="C7" i="7"/>
  <c r="C6" i="7"/>
  <c r="E5" i="21" s="1"/>
  <c r="C5" i="7"/>
  <c r="C4" i="7"/>
  <c r="R14" i="16"/>
  <c r="R13" i="16"/>
  <c r="S13" i="16" s="1"/>
  <c r="R12" i="16"/>
  <c r="R11" i="16"/>
  <c r="R10" i="16"/>
  <c r="R9" i="16"/>
  <c r="R8" i="16"/>
  <c r="C107" i="27" s="1"/>
  <c r="R7" i="16"/>
  <c r="C106" i="27" s="1"/>
  <c r="R6" i="16"/>
  <c r="P14" i="16"/>
  <c r="G282" i="38" s="1"/>
  <c r="P13" i="16"/>
  <c r="G281" i="38" s="1"/>
  <c r="P12" i="16"/>
  <c r="E25" i="32" s="1"/>
  <c r="P11" i="16"/>
  <c r="P10" i="16"/>
  <c r="G278" i="38" s="1"/>
  <c r="P9" i="16"/>
  <c r="Q10" i="16"/>
  <c r="P8" i="16"/>
  <c r="P7" i="16"/>
  <c r="P6" i="16"/>
  <c r="N14" i="16"/>
  <c r="N13" i="16"/>
  <c r="N12" i="16"/>
  <c r="G237" i="38" s="1"/>
  <c r="N11" i="16"/>
  <c r="N10" i="16"/>
  <c r="G235" i="38" s="1"/>
  <c r="S235" i="38" s="1"/>
  <c r="S251" i="38" s="1"/>
  <c r="N9" i="16"/>
  <c r="N8" i="16"/>
  <c r="N7" i="16"/>
  <c r="N6" i="16"/>
  <c r="L14" i="16"/>
  <c r="L13" i="16"/>
  <c r="G195" i="38" s="1"/>
  <c r="L12" i="16"/>
  <c r="G194" i="38" s="1"/>
  <c r="L11" i="16"/>
  <c r="G193" i="38" s="1"/>
  <c r="L10" i="16"/>
  <c r="L9" i="16"/>
  <c r="L8" i="16"/>
  <c r="L7" i="16"/>
  <c r="L6" i="16"/>
  <c r="J14" i="16"/>
  <c r="J13" i="16"/>
  <c r="G152" i="38" s="1"/>
  <c r="J12" i="16"/>
  <c r="G151" i="38" s="1"/>
  <c r="J11" i="16"/>
  <c r="J10" i="16"/>
  <c r="G149" i="38" s="1"/>
  <c r="J9" i="16"/>
  <c r="J8" i="16"/>
  <c r="J7" i="16"/>
  <c r="J6" i="16"/>
  <c r="H14" i="16"/>
  <c r="G110" i="38" s="1"/>
  <c r="H13" i="16"/>
  <c r="G109" i="38" s="1"/>
  <c r="F9" i="32"/>
  <c r="H12" i="16"/>
  <c r="G108" i="38" s="1"/>
  <c r="H11" i="16"/>
  <c r="G107" i="38" s="1"/>
  <c r="H10" i="16"/>
  <c r="H9" i="16"/>
  <c r="I9" i="16" s="1"/>
  <c r="H8" i="16"/>
  <c r="H7" i="16"/>
  <c r="C24" i="27"/>
  <c r="H6" i="16"/>
  <c r="C23" i="27" s="1"/>
  <c r="G29" i="32"/>
  <c r="F14" i="16"/>
  <c r="G67" i="38" s="1"/>
  <c r="F13" i="16"/>
  <c r="F12" i="16"/>
  <c r="G65" i="38" s="1"/>
  <c r="F11" i="16"/>
  <c r="F10" i="16"/>
  <c r="G63" i="38" s="1"/>
  <c r="F9" i="16"/>
  <c r="F8" i="16"/>
  <c r="F7" i="16"/>
  <c r="F6" i="16"/>
  <c r="H5" i="19"/>
  <c r="H112" i="19"/>
  <c r="M5" i="21"/>
  <c r="Q14" i="16"/>
  <c r="O127" i="16"/>
  <c r="M31" i="21" s="1"/>
  <c r="G139" i="16"/>
  <c r="G138" i="16"/>
  <c r="G137" i="16"/>
  <c r="G136" i="16"/>
  <c r="G135" i="16"/>
  <c r="G134" i="16"/>
  <c r="G133" i="16"/>
  <c r="G132" i="16"/>
  <c r="G131" i="16"/>
  <c r="G130" i="16"/>
  <c r="G129" i="16"/>
  <c r="B13" i="21"/>
  <c r="G128" i="16"/>
  <c r="G127" i="16"/>
  <c r="G126" i="16"/>
  <c r="G125" i="16"/>
  <c r="G124" i="16"/>
  <c r="G123" i="16"/>
  <c r="G122" i="16"/>
  <c r="G121" i="16"/>
  <c r="G120" i="16"/>
  <c r="G119" i="16"/>
  <c r="G118" i="16"/>
  <c r="G117" i="16"/>
  <c r="B12" i="21" s="1"/>
  <c r="G116" i="16"/>
  <c r="G115" i="16"/>
  <c r="G114" i="16"/>
  <c r="G113" i="16"/>
  <c r="G112" i="16"/>
  <c r="G111" i="16"/>
  <c r="G110" i="16"/>
  <c r="G109" i="16"/>
  <c r="G108" i="16"/>
  <c r="G107" i="16"/>
  <c r="G106" i="16"/>
  <c r="G105" i="16"/>
  <c r="B11" i="21" s="1"/>
  <c r="G104" i="16"/>
  <c r="G103" i="16"/>
  <c r="G102" i="16"/>
  <c r="G101" i="16"/>
  <c r="G100" i="16"/>
  <c r="G99" i="16"/>
  <c r="G98" i="16"/>
  <c r="G97" i="16"/>
  <c r="G96" i="16"/>
  <c r="G95" i="16"/>
  <c r="G94" i="16"/>
  <c r="G93" i="16"/>
  <c r="G92" i="16"/>
  <c r="G91" i="16"/>
  <c r="G90" i="16"/>
  <c r="G89" i="16"/>
  <c r="G88" i="16"/>
  <c r="G87" i="16"/>
  <c r="G86" i="16"/>
  <c r="G85" i="16"/>
  <c r="G84" i="16"/>
  <c r="G83" i="16"/>
  <c r="G82" i="16"/>
  <c r="G81" i="16"/>
  <c r="G80" i="16"/>
  <c r="C147" i="16"/>
  <c r="C148" i="16"/>
  <c r="C149" i="16"/>
  <c r="C150" i="16"/>
  <c r="C151"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123" i="16"/>
  <c r="C124" i="16"/>
  <c r="C125" i="16"/>
  <c r="C126" i="16"/>
  <c r="C127" i="16"/>
  <c r="C128" i="16"/>
  <c r="C129" i="16"/>
  <c r="C130" i="16"/>
  <c r="C131" i="16"/>
  <c r="C132" i="16"/>
  <c r="C133" i="16"/>
  <c r="C134" i="16"/>
  <c r="C135" i="16"/>
  <c r="C136" i="16"/>
  <c r="C137" i="16"/>
  <c r="C138" i="16"/>
  <c r="C139" i="16"/>
  <c r="C140" i="16"/>
  <c r="C141" i="16"/>
  <c r="C142" i="16"/>
  <c r="C143" i="16"/>
  <c r="C144" i="16"/>
  <c r="C145" i="16"/>
  <c r="C146" i="16"/>
  <c r="C32" i="16"/>
  <c r="O18" i="24"/>
  <c r="J7" i="32"/>
  <c r="J8" i="32"/>
  <c r="J11" i="32"/>
  <c r="J12" i="32"/>
  <c r="J16" i="32"/>
  <c r="J20" i="32"/>
  <c r="J24" i="32"/>
  <c r="J28" i="32"/>
  <c r="E29" i="32"/>
  <c r="D29" i="32"/>
  <c r="G25" i="32"/>
  <c r="F25" i="32"/>
  <c r="B25" i="32"/>
  <c r="G21" i="32"/>
  <c r="E21" i="32"/>
  <c r="B21" i="32"/>
  <c r="B17" i="32"/>
  <c r="E13" i="32"/>
  <c r="B13" i="32"/>
  <c r="G9" i="32"/>
  <c r="B9" i="32"/>
  <c r="G5" i="32"/>
  <c r="E5" i="32"/>
  <c r="B5" i="32"/>
  <c r="D29" i="23"/>
  <c r="E29" i="23"/>
  <c r="D25" i="23"/>
  <c r="F25" i="23"/>
  <c r="G25" i="23"/>
  <c r="E21" i="23"/>
  <c r="G21" i="23"/>
  <c r="E13" i="23"/>
  <c r="E9" i="23"/>
  <c r="G9" i="23"/>
  <c r="D5" i="23"/>
  <c r="E5" i="23"/>
  <c r="G5" i="23"/>
  <c r="E4" i="23"/>
  <c r="N87" i="21"/>
  <c r="N88" i="21"/>
  <c r="N91" i="21"/>
  <c r="O91" i="21" s="1"/>
  <c r="M130" i="27" s="1"/>
  <c r="N92" i="21"/>
  <c r="M66" i="21"/>
  <c r="M67" i="21"/>
  <c r="M68" i="21"/>
  <c r="G91" i="27" s="1"/>
  <c r="M69" i="21"/>
  <c r="G92" i="27"/>
  <c r="H92" i="27" s="1"/>
  <c r="M70" i="21"/>
  <c r="M71" i="21"/>
  <c r="D27" i="32" s="1"/>
  <c r="M72" i="21"/>
  <c r="E27" i="32" s="1"/>
  <c r="M73" i="21"/>
  <c r="G96" i="27" s="1"/>
  <c r="M74" i="21"/>
  <c r="G27" i="32" s="1"/>
  <c r="L74" i="21"/>
  <c r="L73" i="21"/>
  <c r="F26" i="23" s="1"/>
  <c r="F26" i="32"/>
  <c r="L72" i="21"/>
  <c r="L71" i="21"/>
  <c r="L70" i="21"/>
  <c r="L69" i="21"/>
  <c r="L68" i="21"/>
  <c r="E91" i="27" s="1"/>
  <c r="L67" i="21"/>
  <c r="L66" i="21"/>
  <c r="E89" i="27" s="1"/>
  <c r="L53" i="21"/>
  <c r="E80" i="27" s="1"/>
  <c r="L52" i="21"/>
  <c r="L51" i="21"/>
  <c r="D22" i="32" s="1"/>
  <c r="L50" i="21"/>
  <c r="L49" i="21"/>
  <c r="L48" i="21"/>
  <c r="L47" i="21"/>
  <c r="L46" i="21"/>
  <c r="L86" i="21"/>
  <c r="M86" i="21"/>
  <c r="G105" i="27" s="1"/>
  <c r="L87" i="21"/>
  <c r="E106" i="27" s="1"/>
  <c r="M87" i="21"/>
  <c r="G106" i="27" s="1"/>
  <c r="H106" i="27" s="1"/>
  <c r="L88" i="21"/>
  <c r="E107" i="27" s="1"/>
  <c r="O88" i="21"/>
  <c r="M127" i="27" s="1"/>
  <c r="M88" i="21"/>
  <c r="L89" i="21"/>
  <c r="E108" i="27" s="1"/>
  <c r="F108" i="27" s="1"/>
  <c r="M89" i="21"/>
  <c r="G108" i="27" s="1"/>
  <c r="L90" i="21"/>
  <c r="E109" i="27" s="1"/>
  <c r="F109" i="27" s="1"/>
  <c r="M90" i="21"/>
  <c r="G109" i="27" s="1"/>
  <c r="H109" i="27" s="1"/>
  <c r="L91" i="21"/>
  <c r="M91" i="21"/>
  <c r="G110" i="27" s="1"/>
  <c r="H110" i="27" s="1"/>
  <c r="L92" i="21"/>
  <c r="M92" i="21"/>
  <c r="G111" i="27" s="1"/>
  <c r="H111" i="27" s="1"/>
  <c r="L93" i="21"/>
  <c r="M93" i="21"/>
  <c r="G112" i="27" s="1"/>
  <c r="H112" i="27" s="1"/>
  <c r="L94" i="21"/>
  <c r="Q94" i="21" s="1"/>
  <c r="Q99" i="21" s="1"/>
  <c r="M94" i="21"/>
  <c r="G113" i="27" s="1"/>
  <c r="H113" i="27" s="1"/>
  <c r="G31" i="32"/>
  <c r="K84" i="21"/>
  <c r="K97" i="21"/>
  <c r="O24" i="24"/>
  <c r="I10" i="24" s="1"/>
  <c r="B15" i="24"/>
  <c r="C15" i="24"/>
  <c r="D15" i="24"/>
  <c r="E15" i="24"/>
  <c r="B16" i="24"/>
  <c r="C16" i="24"/>
  <c r="D16" i="24"/>
  <c r="E16" i="24"/>
  <c r="E19" i="24" s="1"/>
  <c r="C17" i="24"/>
  <c r="D17" i="24"/>
  <c r="E17" i="24"/>
  <c r="C18" i="24"/>
  <c r="D18" i="24"/>
  <c r="E18" i="24"/>
  <c r="M32" i="21"/>
  <c r="G19" i="23" s="1"/>
  <c r="M30" i="21"/>
  <c r="G61" i="27" s="1"/>
  <c r="M29" i="21"/>
  <c r="M28" i="21"/>
  <c r="M27" i="21"/>
  <c r="N27" i="21" s="1"/>
  <c r="M26" i="21"/>
  <c r="G57" i="27" s="1"/>
  <c r="M25" i="21"/>
  <c r="M24" i="21"/>
  <c r="G55" i="27" s="1"/>
  <c r="B96" i="21"/>
  <c r="B95" i="21"/>
  <c r="E63" i="27" s="1"/>
  <c r="B94" i="21"/>
  <c r="L196" i="38" s="1"/>
  <c r="B93" i="21"/>
  <c r="L195" i="38" s="1"/>
  <c r="L205" i="38" s="1"/>
  <c r="B92" i="21"/>
  <c r="L194" i="38" s="1"/>
  <c r="B91" i="21"/>
  <c r="B90" i="21"/>
  <c r="L192" i="38" s="1"/>
  <c r="L27" i="21"/>
  <c r="B89" i="21"/>
  <c r="L26" i="21" s="1"/>
  <c r="B88" i="21"/>
  <c r="B87" i="21"/>
  <c r="E55" i="27" s="1"/>
  <c r="K22" i="21"/>
  <c r="A85" i="21"/>
  <c r="B108" i="21"/>
  <c r="A108" i="21"/>
  <c r="E98" i="21"/>
  <c r="A98" i="21"/>
  <c r="H6" i="19"/>
  <c r="H7" i="19"/>
  <c r="H8" i="19"/>
  <c r="H9" i="19"/>
  <c r="H10" i="19"/>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0" i="19"/>
  <c r="H51" i="19"/>
  <c r="H52" i="19"/>
  <c r="H53" i="19"/>
  <c r="H54" i="19"/>
  <c r="H55" i="19"/>
  <c r="H56" i="19"/>
  <c r="H57" i="19"/>
  <c r="H58" i="19"/>
  <c r="H59" i="19"/>
  <c r="H60" i="19"/>
  <c r="H61" i="19"/>
  <c r="H62" i="19"/>
  <c r="H63" i="19"/>
  <c r="H64" i="19"/>
  <c r="H65" i="19"/>
  <c r="H66" i="19"/>
  <c r="H67" i="19"/>
  <c r="H68" i="19"/>
  <c r="H69" i="19"/>
  <c r="H70" i="19"/>
  <c r="H71" i="19"/>
  <c r="H72" i="19"/>
  <c r="H73" i="19"/>
  <c r="H74" i="19"/>
  <c r="H75" i="19"/>
  <c r="H76" i="19"/>
  <c r="H77" i="19"/>
  <c r="H78" i="19"/>
  <c r="H79" i="19"/>
  <c r="H80" i="19"/>
  <c r="H81" i="19"/>
  <c r="H82" i="19"/>
  <c r="H83" i="19"/>
  <c r="H84" i="19"/>
  <c r="H85" i="19"/>
  <c r="H86" i="19"/>
  <c r="H87" i="19"/>
  <c r="H88" i="19"/>
  <c r="H89" i="19"/>
  <c r="H90" i="19"/>
  <c r="H91" i="19"/>
  <c r="H92" i="19"/>
  <c r="H93" i="19"/>
  <c r="H94" i="19"/>
  <c r="H95" i="19"/>
  <c r="H96" i="19"/>
  <c r="H97" i="19"/>
  <c r="H98" i="19"/>
  <c r="H99" i="19"/>
  <c r="H100" i="19"/>
  <c r="H101" i="19"/>
  <c r="H102" i="19"/>
  <c r="H103" i="19"/>
  <c r="H104" i="19"/>
  <c r="H105" i="19"/>
  <c r="H106" i="19"/>
  <c r="H107" i="19"/>
  <c r="H108" i="19"/>
  <c r="H109" i="19"/>
  <c r="H110" i="19"/>
  <c r="H111" i="19"/>
  <c r="C7" i="27"/>
  <c r="C8" i="27"/>
  <c r="C9" i="27"/>
  <c r="C11" i="27"/>
  <c r="C12" i="27"/>
  <c r="C13" i="27"/>
  <c r="C15" i="27"/>
  <c r="C25" i="27"/>
  <c r="C27" i="27"/>
  <c r="C29" i="27"/>
  <c r="C31" i="27"/>
  <c r="C39" i="27"/>
  <c r="C41" i="27"/>
  <c r="C42" i="27"/>
  <c r="C43" i="27"/>
  <c r="C45" i="27"/>
  <c r="D46" i="27" s="1"/>
  <c r="C46" i="27"/>
  <c r="C47" i="27"/>
  <c r="C56" i="27"/>
  <c r="C57" i="27"/>
  <c r="C60" i="27"/>
  <c r="C61" i="27"/>
  <c r="D62" i="27" s="1"/>
  <c r="C62" i="27"/>
  <c r="C73" i="27"/>
  <c r="C75" i="27"/>
  <c r="C77" i="27"/>
  <c r="C79" i="27"/>
  <c r="C80" i="27"/>
  <c r="G80" i="27"/>
  <c r="C81" i="27"/>
  <c r="C84" i="27"/>
  <c r="C89" i="27"/>
  <c r="C90" i="27"/>
  <c r="C92" i="27"/>
  <c r="C93" i="27"/>
  <c r="C95" i="27"/>
  <c r="C96" i="27"/>
  <c r="D96" i="27" s="1"/>
  <c r="C97" i="27"/>
  <c r="B136" i="27"/>
  <c r="B6" i="35"/>
  <c r="B7" i="35"/>
  <c r="C7" i="35" s="1"/>
  <c r="B8" i="35"/>
  <c r="B9" i="35"/>
  <c r="B10" i="35"/>
  <c r="L39" i="38" s="1"/>
  <c r="B25" i="35"/>
  <c r="B43" i="35" s="1"/>
  <c r="B11" i="35"/>
  <c r="C12" i="35" s="1"/>
  <c r="B12" i="35"/>
  <c r="L41" i="38" s="1"/>
  <c r="B13" i="35"/>
  <c r="B14" i="35"/>
  <c r="L43" i="38" s="1"/>
  <c r="B21" i="35"/>
  <c r="B39" i="35" s="1"/>
  <c r="B24" i="35"/>
  <c r="B5" i="23"/>
  <c r="B9" i="23"/>
  <c r="B13" i="23"/>
  <c r="B17" i="23"/>
  <c r="B21" i="23"/>
  <c r="B25" i="23"/>
  <c r="H18" i="24"/>
  <c r="H19" i="24"/>
  <c r="H20" i="24"/>
  <c r="H21" i="24"/>
  <c r="H22" i="24"/>
  <c r="H23" i="24"/>
  <c r="I24" i="24"/>
  <c r="J38" i="24"/>
  <c r="N38" i="24" s="1"/>
  <c r="K38" i="24"/>
  <c r="L38" i="24"/>
  <c r="A3" i="21"/>
  <c r="K3" i="21"/>
  <c r="B5" i="21"/>
  <c r="E7" i="27" s="1"/>
  <c r="B6" i="21"/>
  <c r="E8" i="27" s="1"/>
  <c r="M6" i="21"/>
  <c r="G40" i="27" s="1"/>
  <c r="B7" i="21"/>
  <c r="E9" i="27" s="1"/>
  <c r="M7" i="21"/>
  <c r="B8" i="21"/>
  <c r="E10" i="27"/>
  <c r="M8" i="21"/>
  <c r="G42" i="27" s="1"/>
  <c r="M9" i="21"/>
  <c r="G43" i="27" s="1"/>
  <c r="M10" i="21"/>
  <c r="M11" i="21"/>
  <c r="E15" i="23" s="1"/>
  <c r="E15" i="32"/>
  <c r="M12" i="21"/>
  <c r="N12" i="21" s="1"/>
  <c r="M13" i="21"/>
  <c r="G47" i="27" s="1"/>
  <c r="E16" i="21"/>
  <c r="E43" i="21" s="1"/>
  <c r="A30" i="21"/>
  <c r="B32" i="21"/>
  <c r="E23" i="27" s="1"/>
  <c r="B33" i="21"/>
  <c r="E24" i="27"/>
  <c r="F24" i="27" s="1"/>
  <c r="B34" i="21"/>
  <c r="E25" i="27" s="1"/>
  <c r="B35" i="21"/>
  <c r="B36" i="21"/>
  <c r="B37" i="21"/>
  <c r="L107" i="38" s="1"/>
  <c r="B38" i="21"/>
  <c r="B39" i="21"/>
  <c r="L109" i="38" s="1"/>
  <c r="B40" i="21"/>
  <c r="B41" i="21"/>
  <c r="K43" i="21"/>
  <c r="G73" i="27"/>
  <c r="H74" i="27"/>
  <c r="N46" i="21"/>
  <c r="P46" i="21" s="1"/>
  <c r="E74" i="27"/>
  <c r="G74" i="27"/>
  <c r="I127" i="27"/>
  <c r="G75" i="27"/>
  <c r="N48" i="21"/>
  <c r="O48" i="21" s="1"/>
  <c r="G77" i="27"/>
  <c r="N50" i="21"/>
  <c r="P50" i="21" s="1"/>
  <c r="J129" i="27" s="1"/>
  <c r="E78" i="27"/>
  <c r="N52" i="21"/>
  <c r="P52" i="21" s="1"/>
  <c r="J131" i="27" s="1"/>
  <c r="N53" i="21"/>
  <c r="P53" i="21" s="1"/>
  <c r="J132" i="27" s="1"/>
  <c r="N54" i="21"/>
  <c r="O54" i="21" s="1"/>
  <c r="A57" i="21"/>
  <c r="N57" i="21"/>
  <c r="L57" i="21" s="1"/>
  <c r="E84" i="27" s="1"/>
  <c r="B59" i="21"/>
  <c r="B60" i="21"/>
  <c r="B61" i="21"/>
  <c r="B62" i="21"/>
  <c r="B63" i="21"/>
  <c r="L149" i="38" s="1"/>
  <c r="L159" i="38" s="1"/>
  <c r="B64" i="21"/>
  <c r="L150" i="38" s="1"/>
  <c r="K64" i="21"/>
  <c r="B65" i="21"/>
  <c r="B66" i="21"/>
  <c r="L152" i="38" s="1"/>
  <c r="N66" i="21"/>
  <c r="O66" i="21" s="1"/>
  <c r="K125" i="27" s="1"/>
  <c r="B67" i="21"/>
  <c r="G90" i="27"/>
  <c r="N67" i="21"/>
  <c r="P67" i="21"/>
  <c r="L126" i="27" s="1"/>
  <c r="B68" i="21"/>
  <c r="H91" i="27"/>
  <c r="N69" i="21"/>
  <c r="G93" i="27"/>
  <c r="N70" i="21"/>
  <c r="G95" i="27"/>
  <c r="N72" i="21"/>
  <c r="P72" i="21" s="1"/>
  <c r="L131" i="27" s="1"/>
  <c r="N73" i="21"/>
  <c r="N74" i="21"/>
  <c r="B3" i="7"/>
  <c r="C3" i="7"/>
  <c r="BP2" i="3"/>
  <c r="C3" i="3"/>
  <c r="L3" i="3"/>
  <c r="BP3" i="3"/>
  <c r="G5" i="3"/>
  <c r="C7" i="3"/>
  <c r="I10" i="3"/>
  <c r="A5" i="19"/>
  <c r="H113" i="19"/>
  <c r="H114" i="19"/>
  <c r="H115" i="19"/>
  <c r="H116" i="19"/>
  <c r="H117" i="19"/>
  <c r="H118" i="19"/>
  <c r="H119" i="19"/>
  <c r="H120" i="19"/>
  <c r="H121" i="19"/>
  <c r="H122" i="19"/>
  <c r="H123" i="19"/>
  <c r="H124" i="19"/>
  <c r="F4" i="16"/>
  <c r="H4" i="16"/>
  <c r="J4" i="16"/>
  <c r="L4" i="16"/>
  <c r="N4" i="16"/>
  <c r="P4" i="16"/>
  <c r="R4" i="16"/>
  <c r="T4" i="16"/>
  <c r="V4" i="16"/>
  <c r="E6" i="16"/>
  <c r="A21" i="35" s="1"/>
  <c r="T6" i="16"/>
  <c r="V6" i="16"/>
  <c r="E7" i="16"/>
  <c r="Q7" i="16"/>
  <c r="T7" i="16"/>
  <c r="U7" i="16" s="1"/>
  <c r="U17" i="16" s="1"/>
  <c r="V7" i="16"/>
  <c r="E8" i="16"/>
  <c r="G8" i="16"/>
  <c r="M8" i="16"/>
  <c r="S8" i="16"/>
  <c r="T8" i="16"/>
  <c r="U8" i="16" s="1"/>
  <c r="V8" i="16"/>
  <c r="W8" i="16" s="1"/>
  <c r="E9" i="16"/>
  <c r="G9" i="16"/>
  <c r="K9" i="16"/>
  <c r="T9" i="16"/>
  <c r="U9" i="16" s="1"/>
  <c r="V9" i="16"/>
  <c r="E10" i="16"/>
  <c r="K10" i="16"/>
  <c r="T10" i="16"/>
  <c r="V10" i="16"/>
  <c r="E11" i="16"/>
  <c r="G11" i="16"/>
  <c r="M11" i="16"/>
  <c r="T11" i="16"/>
  <c r="V11" i="16"/>
  <c r="W12" i="16" s="1"/>
  <c r="E12" i="16"/>
  <c r="E4" i="32" s="1"/>
  <c r="G12" i="16"/>
  <c r="K12" i="16"/>
  <c r="M12" i="16"/>
  <c r="O12" i="16"/>
  <c r="S12" i="16"/>
  <c r="T12" i="16"/>
  <c r="U12" i="16" s="1"/>
  <c r="V12" i="16"/>
  <c r="E13" i="16"/>
  <c r="K13" i="16"/>
  <c r="M13" i="16"/>
  <c r="O13" i="16"/>
  <c r="Q13" i="16"/>
  <c r="T13" i="16"/>
  <c r="V13" i="16"/>
  <c r="W13" i="16" s="1"/>
  <c r="E14" i="16"/>
  <c r="I14" i="16"/>
  <c r="T14" i="16"/>
  <c r="V14" i="16"/>
  <c r="E19" i="16"/>
  <c r="E20" i="16"/>
  <c r="E24" i="16"/>
  <c r="E25" i="16"/>
  <c r="O25" i="16"/>
  <c r="G29" i="16"/>
  <c r="I29" i="16"/>
  <c r="K29" i="16"/>
  <c r="N29" i="16"/>
  <c r="V29" i="16"/>
  <c r="AA29" i="16"/>
  <c r="AC29" i="16"/>
  <c r="AE29" i="16"/>
  <c r="A32" i="16"/>
  <c r="AG32" i="16"/>
  <c r="A33" i="16"/>
  <c r="A6" i="19" s="1"/>
  <c r="AG33" i="16"/>
  <c r="A34" i="16"/>
  <c r="A7" i="19" s="1"/>
  <c r="AG34" i="16"/>
  <c r="A35" i="16"/>
  <c r="A8" i="19" s="1"/>
  <c r="AG35" i="16"/>
  <c r="A36" i="16"/>
  <c r="A9" i="19" s="1"/>
  <c r="AG36" i="16"/>
  <c r="A37" i="16"/>
  <c r="A10" i="19" s="1"/>
  <c r="AG37" i="16"/>
  <c r="A38" i="16"/>
  <c r="A11" i="19" s="1"/>
  <c r="AG38" i="16"/>
  <c r="A39" i="16"/>
  <c r="A12" i="19" s="1"/>
  <c r="AG39" i="16"/>
  <c r="A40" i="16"/>
  <c r="A13" i="19" s="1"/>
  <c r="AG40" i="16"/>
  <c r="A41" i="16"/>
  <c r="A14" i="19"/>
  <c r="AG41" i="16"/>
  <c r="A42" i="16"/>
  <c r="A15" i="19" s="1"/>
  <c r="AG42" i="16"/>
  <c r="A43" i="16"/>
  <c r="A16" i="19" s="1"/>
  <c r="AG43" i="16"/>
  <c r="A44" i="16"/>
  <c r="A17" i="19" s="1"/>
  <c r="AG44" i="16"/>
  <c r="A45" i="16"/>
  <c r="A18" i="19" s="1"/>
  <c r="AG45" i="16"/>
  <c r="A46" i="16"/>
  <c r="A19" i="19" s="1"/>
  <c r="AG46" i="16"/>
  <c r="A47" i="16"/>
  <c r="A20" i="19" s="1"/>
  <c r="AG47" i="16"/>
  <c r="A48" i="16"/>
  <c r="A21" i="19" s="1"/>
  <c r="AG48" i="16"/>
  <c r="A49" i="16"/>
  <c r="A22" i="19" s="1"/>
  <c r="AG49" i="16"/>
  <c r="A50" i="16"/>
  <c r="A23" i="19" s="1"/>
  <c r="AG50" i="16"/>
  <c r="A51" i="16"/>
  <c r="A24" i="19" s="1"/>
  <c r="AG51" i="16"/>
  <c r="A52" i="16"/>
  <c r="A25" i="19" s="1"/>
  <c r="AG52" i="16"/>
  <c r="A53" i="16"/>
  <c r="A26" i="19" s="1"/>
  <c r="AG53" i="16"/>
  <c r="A54" i="16"/>
  <c r="A27" i="19" s="1"/>
  <c r="AG54" i="16"/>
  <c r="A55" i="16"/>
  <c r="A28" i="19" s="1"/>
  <c r="AG55" i="16"/>
  <c r="A56" i="16"/>
  <c r="A29" i="19" s="1"/>
  <c r="AG56" i="16"/>
  <c r="A57" i="16"/>
  <c r="A30" i="19"/>
  <c r="AG57" i="16"/>
  <c r="A58" i="16"/>
  <c r="A31" i="19" s="1"/>
  <c r="AG58" i="16"/>
  <c r="A59" i="16"/>
  <c r="A32" i="19" s="1"/>
  <c r="AG59" i="16"/>
  <c r="A60" i="16"/>
  <c r="A33" i="19" s="1"/>
  <c r="AG60" i="16"/>
  <c r="A61" i="16"/>
  <c r="A34" i="19" s="1"/>
  <c r="AG61" i="16"/>
  <c r="A62" i="16"/>
  <c r="A35" i="19" s="1"/>
  <c r="AG62" i="16"/>
  <c r="A63" i="16"/>
  <c r="A36" i="19" s="1"/>
  <c r="AG63" i="16"/>
  <c r="A64" i="16"/>
  <c r="A37" i="19" s="1"/>
  <c r="AG64" i="16"/>
  <c r="A65" i="16"/>
  <c r="A38" i="19" s="1"/>
  <c r="AG65" i="16"/>
  <c r="A66" i="16"/>
  <c r="A39" i="19" s="1"/>
  <c r="AG66" i="16"/>
  <c r="A67" i="16"/>
  <c r="A40" i="19" s="1"/>
  <c r="AG67" i="16"/>
  <c r="A68" i="16"/>
  <c r="A41" i="19" s="1"/>
  <c r="AG68" i="16"/>
  <c r="A69" i="16"/>
  <c r="A42" i="19" s="1"/>
  <c r="AG69" i="16"/>
  <c r="A70" i="16"/>
  <c r="A43" i="19" s="1"/>
  <c r="AG70" i="16"/>
  <c r="A71" i="16"/>
  <c r="A44" i="19" s="1"/>
  <c r="AG71" i="16"/>
  <c r="A72" i="16"/>
  <c r="A45" i="19" s="1"/>
  <c r="AG72" i="16"/>
  <c r="A73" i="16"/>
  <c r="A46" i="19"/>
  <c r="AG73" i="16"/>
  <c r="A74" i="16"/>
  <c r="A47" i="19" s="1"/>
  <c r="AG74" i="16"/>
  <c r="A75" i="16"/>
  <c r="A48" i="19" s="1"/>
  <c r="AG75" i="16"/>
  <c r="A76" i="16"/>
  <c r="A49" i="19" s="1"/>
  <c r="AG76" i="16"/>
  <c r="A77" i="16"/>
  <c r="A50" i="19" s="1"/>
  <c r="AG77" i="16"/>
  <c r="A78" i="16"/>
  <c r="A51" i="19" s="1"/>
  <c r="AG78" i="16"/>
  <c r="A79" i="16"/>
  <c r="A52" i="19" s="1"/>
  <c r="AG79" i="16"/>
  <c r="A80" i="16"/>
  <c r="A53" i="19" s="1"/>
  <c r="AG80" i="16"/>
  <c r="A81" i="16"/>
  <c r="A54" i="19" s="1"/>
  <c r="AG81" i="16"/>
  <c r="A82" i="16"/>
  <c r="A55" i="19" s="1"/>
  <c r="AG82" i="16"/>
  <c r="A83" i="16"/>
  <c r="A56" i="19" s="1"/>
  <c r="AG83" i="16"/>
  <c r="A84" i="16"/>
  <c r="A57" i="19" s="1"/>
  <c r="AG84" i="16"/>
  <c r="A85" i="16"/>
  <c r="A58" i="19" s="1"/>
  <c r="AG85" i="16"/>
  <c r="A86" i="16"/>
  <c r="A59" i="19" s="1"/>
  <c r="AG86" i="16"/>
  <c r="A87" i="16"/>
  <c r="A60" i="19" s="1"/>
  <c r="AG87" i="16"/>
  <c r="A88" i="16"/>
  <c r="A61" i="19" s="1"/>
  <c r="AG88" i="16"/>
  <c r="A89" i="16"/>
  <c r="A62" i="19"/>
  <c r="AG89" i="16"/>
  <c r="A90" i="16"/>
  <c r="A63" i="19" s="1"/>
  <c r="AG90" i="16"/>
  <c r="A91" i="16"/>
  <c r="A64" i="19" s="1"/>
  <c r="AG91" i="16"/>
  <c r="A92" i="16"/>
  <c r="A65" i="19" s="1"/>
  <c r="AG92" i="16"/>
  <c r="A93" i="16"/>
  <c r="A66" i="19" s="1"/>
  <c r="AG93" i="16"/>
  <c r="A94" i="16"/>
  <c r="A67" i="19" s="1"/>
  <c r="AG94" i="16"/>
  <c r="A95" i="16"/>
  <c r="A68" i="19" s="1"/>
  <c r="AG95" i="16"/>
  <c r="A96" i="16"/>
  <c r="A69" i="19" s="1"/>
  <c r="AG96" i="16"/>
  <c r="A97" i="16"/>
  <c r="A70" i="19" s="1"/>
  <c r="AG97" i="16"/>
  <c r="A98" i="16"/>
  <c r="A71" i="19" s="1"/>
  <c r="AG98" i="16"/>
  <c r="A99" i="16"/>
  <c r="A72" i="19" s="1"/>
  <c r="AG99" i="16"/>
  <c r="A100" i="16"/>
  <c r="A73" i="19" s="1"/>
  <c r="AG100" i="16"/>
  <c r="A101" i="16"/>
  <c r="A74" i="19" s="1"/>
  <c r="AG101" i="16"/>
  <c r="A102" i="16"/>
  <c r="A75" i="19" s="1"/>
  <c r="AG102" i="16"/>
  <c r="A103" i="16"/>
  <c r="A76" i="19" s="1"/>
  <c r="AG103" i="16"/>
  <c r="A104" i="16"/>
  <c r="A77" i="19" s="1"/>
  <c r="AG104" i="16"/>
  <c r="A105" i="16"/>
  <c r="A78" i="19"/>
  <c r="AG105" i="16"/>
  <c r="A106" i="16"/>
  <c r="A79" i="19" s="1"/>
  <c r="AG106" i="16"/>
  <c r="A107" i="16"/>
  <c r="A80" i="19" s="1"/>
  <c r="AG107" i="16"/>
  <c r="A108" i="16"/>
  <c r="A81" i="19" s="1"/>
  <c r="AG108" i="16"/>
  <c r="A109" i="16"/>
  <c r="A82" i="19" s="1"/>
  <c r="AG109" i="16"/>
  <c r="A110" i="16"/>
  <c r="A83" i="19" s="1"/>
  <c r="AG110" i="16"/>
  <c r="A111" i="16"/>
  <c r="A84" i="19" s="1"/>
  <c r="AG111" i="16"/>
  <c r="A112" i="16"/>
  <c r="A85" i="19" s="1"/>
  <c r="AG112" i="16"/>
  <c r="A113" i="16"/>
  <c r="A86" i="19" s="1"/>
  <c r="AG113" i="16"/>
  <c r="A114" i="16"/>
  <c r="A87" i="19" s="1"/>
  <c r="AG114" i="16"/>
  <c r="A115" i="16"/>
  <c r="A88" i="19" s="1"/>
  <c r="AG115" i="16"/>
  <c r="A116" i="16"/>
  <c r="A89" i="19" s="1"/>
  <c r="AG116" i="16"/>
  <c r="A117" i="16"/>
  <c r="A90" i="19" s="1"/>
  <c r="AG117" i="16"/>
  <c r="A118" i="16"/>
  <c r="A91" i="19" s="1"/>
  <c r="AG118" i="16"/>
  <c r="A119" i="16"/>
  <c r="A92" i="19" s="1"/>
  <c r="AG119" i="16"/>
  <c r="A120" i="16"/>
  <c r="A93" i="19" s="1"/>
  <c r="AG120" i="16"/>
  <c r="A121" i="16"/>
  <c r="A94" i="19"/>
  <c r="AG121" i="16"/>
  <c r="A122" i="16"/>
  <c r="A95" i="19" s="1"/>
  <c r="AG122" i="16"/>
  <c r="A123" i="16"/>
  <c r="A96" i="19" s="1"/>
  <c r="AG123" i="16"/>
  <c r="A124" i="16"/>
  <c r="A97" i="19" s="1"/>
  <c r="AG124" i="16"/>
  <c r="A125" i="16"/>
  <c r="A98" i="19" s="1"/>
  <c r="AG125" i="16"/>
  <c r="A126" i="16"/>
  <c r="A99" i="19" s="1"/>
  <c r="AG126" i="16"/>
  <c r="A127" i="16"/>
  <c r="A100" i="19" s="1"/>
  <c r="AG127" i="16"/>
  <c r="A128" i="16"/>
  <c r="A101" i="19" s="1"/>
  <c r="AG128" i="16"/>
  <c r="A129" i="16"/>
  <c r="A102" i="19" s="1"/>
  <c r="AG129" i="16"/>
  <c r="A130" i="16"/>
  <c r="A103" i="19" s="1"/>
  <c r="AG130" i="16"/>
  <c r="A131" i="16"/>
  <c r="A104" i="19" s="1"/>
  <c r="AG131" i="16"/>
  <c r="A132" i="16"/>
  <c r="A105" i="19" s="1"/>
  <c r="AG132" i="16"/>
  <c r="A133" i="16"/>
  <c r="A106" i="19" s="1"/>
  <c r="AG133" i="16"/>
  <c r="A134" i="16"/>
  <c r="A107" i="19" s="1"/>
  <c r="AG134" i="16"/>
  <c r="A135" i="16"/>
  <c r="A108" i="19" s="1"/>
  <c r="AG135" i="16"/>
  <c r="A136" i="16"/>
  <c r="A109" i="19" s="1"/>
  <c r="AG136" i="16"/>
  <c r="A137" i="16"/>
  <c r="A110" i="19"/>
  <c r="AG137" i="16"/>
  <c r="A138" i="16"/>
  <c r="A111" i="19" s="1"/>
  <c r="AG138" i="16"/>
  <c r="A139" i="16"/>
  <c r="A112" i="19" s="1"/>
  <c r="AG139" i="16"/>
  <c r="A140" i="16"/>
  <c r="A113" i="19" s="1"/>
  <c r="AG140" i="16"/>
  <c r="A141" i="16"/>
  <c r="A114" i="19" s="1"/>
  <c r="AG141" i="16"/>
  <c r="A142" i="16"/>
  <c r="A115" i="19" s="1"/>
  <c r="AG142" i="16"/>
  <c r="A143" i="16"/>
  <c r="A116" i="19" s="1"/>
  <c r="AG143" i="16"/>
  <c r="A144" i="16"/>
  <c r="A117" i="19" s="1"/>
  <c r="AG144" i="16"/>
  <c r="A145" i="16"/>
  <c r="A118" i="19" s="1"/>
  <c r="AG145" i="16"/>
  <c r="A146" i="16"/>
  <c r="A119" i="19" s="1"/>
  <c r="AG146" i="16"/>
  <c r="A147" i="16"/>
  <c r="A120" i="19" s="1"/>
  <c r="AG147" i="16"/>
  <c r="A148" i="16"/>
  <c r="A121" i="19" s="1"/>
  <c r="AG148" i="16"/>
  <c r="A149" i="16"/>
  <c r="A122" i="19" s="1"/>
  <c r="AG149" i="16"/>
  <c r="A150" i="16"/>
  <c r="A123" i="19" s="1"/>
  <c r="AG150" i="16"/>
  <c r="A151" i="16"/>
  <c r="A124" i="19" s="1"/>
  <c r="AG151" i="16"/>
  <c r="G78" i="27"/>
  <c r="E44" i="27"/>
  <c r="E40" i="27"/>
  <c r="E46" i="27"/>
  <c r="Q51" i="21"/>
  <c r="O73" i="21"/>
  <c r="K132" i="27" s="1"/>
  <c r="L12" i="21"/>
  <c r="Q68" i="21"/>
  <c r="E93" i="27"/>
  <c r="Q70" i="21"/>
  <c r="E43" i="27"/>
  <c r="L9" i="21"/>
  <c r="N9" i="21" s="1"/>
  <c r="A27" i="35"/>
  <c r="D43" i="27"/>
  <c r="U13" i="16"/>
  <c r="U11" i="16"/>
  <c r="A11" i="35"/>
  <c r="A26" i="35"/>
  <c r="A10" i="21"/>
  <c r="B12" i="27" s="1"/>
  <c r="B28" i="27" s="1"/>
  <c r="B44" i="27" s="1"/>
  <c r="K10" i="21"/>
  <c r="K6" i="21"/>
  <c r="E81" i="27"/>
  <c r="Q54" i="21"/>
  <c r="E28" i="27"/>
  <c r="D19" i="24"/>
  <c r="A11" i="21"/>
  <c r="K11" i="21"/>
  <c r="A10" i="35"/>
  <c r="A8" i="35"/>
  <c r="A7" i="21"/>
  <c r="A34" i="21" s="1"/>
  <c r="A88" i="21" s="1"/>
  <c r="K7" i="21"/>
  <c r="K68" i="21" s="1"/>
  <c r="A23" i="35"/>
  <c r="O52" i="21"/>
  <c r="I131" i="27" s="1"/>
  <c r="C10" i="35"/>
  <c r="G94" i="27"/>
  <c r="Q49" i="21"/>
  <c r="Q47" i="21"/>
  <c r="A9" i="35"/>
  <c r="G76" i="27"/>
  <c r="K14" i="21"/>
  <c r="K75" i="21" s="1"/>
  <c r="G45" i="27"/>
  <c r="L6" i="21"/>
  <c r="F129" i="27"/>
  <c r="E95" i="27"/>
  <c r="E41" i="27"/>
  <c r="L7" i="21"/>
  <c r="G41" i="27"/>
  <c r="F127" i="27"/>
  <c r="F17" i="24"/>
  <c r="E96" i="27"/>
  <c r="A14" i="21"/>
  <c r="G97" i="27"/>
  <c r="O67" i="21"/>
  <c r="K126" i="27" s="1"/>
  <c r="E39" i="27"/>
  <c r="L5" i="21"/>
  <c r="G81" i="27"/>
  <c r="H81" i="27" s="1"/>
  <c r="G79" i="27"/>
  <c r="H80" i="27" s="1"/>
  <c r="E75" i="27"/>
  <c r="F75" i="27" s="1"/>
  <c r="Q48" i="21"/>
  <c r="E26" i="27"/>
  <c r="G39" i="27"/>
  <c r="F125" i="27"/>
  <c r="A5" i="21"/>
  <c r="F131" i="27"/>
  <c r="F128" i="27"/>
  <c r="G66" i="27"/>
  <c r="A64" i="21"/>
  <c r="A37" i="21"/>
  <c r="A91" i="21" s="1"/>
  <c r="B16" i="27"/>
  <c r="B32" i="27" s="1"/>
  <c r="B48" i="27" s="1"/>
  <c r="A68" i="21"/>
  <c r="A41" i="21"/>
  <c r="A95" i="21" s="1"/>
  <c r="K72" i="21"/>
  <c r="K52" i="21"/>
  <c r="K67" i="21"/>
  <c r="K47" i="21"/>
  <c r="K48" i="21"/>
  <c r="B13" i="27"/>
  <c r="B29" i="27" s="1"/>
  <c r="B45" i="27" s="1"/>
  <c r="B79" i="27" s="1"/>
  <c r="A38" i="21"/>
  <c r="A92" i="21" s="1"/>
  <c r="A65" i="21"/>
  <c r="B9" i="27"/>
  <c r="B25" i="27" s="1"/>
  <c r="B41" i="27" s="1"/>
  <c r="A61" i="21"/>
  <c r="K51" i="21"/>
  <c r="K71" i="21"/>
  <c r="E66" i="27"/>
  <c r="G82" i="27"/>
  <c r="G83" i="27"/>
  <c r="H95" i="27"/>
  <c r="P69" i="21"/>
  <c r="L128" i="27" s="1"/>
  <c r="Q67" i="21"/>
  <c r="E90" i="27"/>
  <c r="F90" i="27" s="1"/>
  <c r="M57" i="21"/>
  <c r="G84" i="27" s="1"/>
  <c r="K10" i="24"/>
  <c r="J10" i="24"/>
  <c r="Q36" i="24"/>
  <c r="N10" i="24"/>
  <c r="N11" i="24"/>
  <c r="E19" i="23"/>
  <c r="G31" i="23"/>
  <c r="B27" i="35"/>
  <c r="C12" i="21"/>
  <c r="C39" i="21" s="1"/>
  <c r="D12" i="35"/>
  <c r="C25" i="35"/>
  <c r="D9" i="35"/>
  <c r="F9" i="35" s="1"/>
  <c r="H132" i="7"/>
  <c r="H128" i="7"/>
  <c r="H124" i="7"/>
  <c r="E10" i="21"/>
  <c r="D26" i="35" s="1"/>
  <c r="E9" i="21"/>
  <c r="M39" i="38" s="1"/>
  <c r="E6" i="21"/>
  <c r="E33" i="21" s="1"/>
  <c r="D22" i="35"/>
  <c r="C40" i="35" s="1"/>
  <c r="P57" i="21"/>
  <c r="J136" i="27" s="1"/>
  <c r="F13" i="23"/>
  <c r="F13" i="32"/>
  <c r="I12" i="16"/>
  <c r="D9" i="32"/>
  <c r="I7" i="16"/>
  <c r="C28" i="27"/>
  <c r="P87" i="21"/>
  <c r="N126" i="27" s="1"/>
  <c r="N94" i="21"/>
  <c r="P94" i="21" s="1"/>
  <c r="S10" i="16"/>
  <c r="S9" i="16"/>
  <c r="N93" i="21"/>
  <c r="O93" i="21" s="1"/>
  <c r="M132" i="27" s="1"/>
  <c r="G29" i="23"/>
  <c r="I13" i="16"/>
  <c r="I10" i="16"/>
  <c r="I8" i="16"/>
  <c r="C30" i="27"/>
  <c r="C26" i="27"/>
  <c r="D26" i="27" s="1"/>
  <c r="F9" i="23"/>
  <c r="D9" i="23"/>
  <c r="D13" i="27"/>
  <c r="O72" i="21"/>
  <c r="K131" i="27" s="1"/>
  <c r="F15" i="24"/>
  <c r="B19" i="24"/>
  <c r="W14" i="16"/>
  <c r="H93" i="27"/>
  <c r="F27" i="23"/>
  <c r="W9" i="16"/>
  <c r="N7" i="21"/>
  <c r="F22" i="32"/>
  <c r="Q53" i="21"/>
  <c r="F22" i="23"/>
  <c r="E26" i="32"/>
  <c r="E26" i="23"/>
  <c r="Q72" i="21"/>
  <c r="K15" i="21"/>
  <c r="K16" i="21"/>
  <c r="I4" i="23"/>
  <c r="A12" i="35"/>
  <c r="D4" i="32"/>
  <c r="D4" i="23"/>
  <c r="H127" i="27"/>
  <c r="N26" i="21"/>
  <c r="D31" i="23"/>
  <c r="D31" i="32"/>
  <c r="H4" i="32"/>
  <c r="H4" i="23"/>
  <c r="O74" i="21"/>
  <c r="K133" i="27"/>
  <c r="N5" i="21"/>
  <c r="A6" i="35"/>
  <c r="K5" i="21"/>
  <c r="K46" i="21" s="1"/>
  <c r="F126" i="27"/>
  <c r="N6" i="21"/>
  <c r="K34" i="21"/>
  <c r="E56" i="27"/>
  <c r="L25" i="21"/>
  <c r="N25" i="21" s="1"/>
  <c r="E60" i="27"/>
  <c r="L29" i="21"/>
  <c r="N29" i="21" s="1"/>
  <c r="P66" i="21"/>
  <c r="L125" i="27" s="1"/>
  <c r="Q93" i="21"/>
  <c r="L24" i="21"/>
  <c r="N24" i="21" s="1"/>
  <c r="E19" i="32"/>
  <c r="E27" i="23"/>
  <c r="E30" i="23"/>
  <c r="D15" i="23"/>
  <c r="G15" i="32"/>
  <c r="E30" i="32"/>
  <c r="E31" i="32"/>
  <c r="E58" i="27"/>
  <c r="D19" i="23"/>
  <c r="D22" i="23"/>
  <c r="D30" i="23"/>
  <c r="G15" i="23"/>
  <c r="D15" i="32"/>
  <c r="G22" i="32"/>
  <c r="P74" i="21"/>
  <c r="L133" i="27" s="1"/>
  <c r="H130" i="27"/>
  <c r="G22" i="23"/>
  <c r="G26" i="23"/>
  <c r="G27" i="23"/>
  <c r="G30" i="23"/>
  <c r="G26" i="32"/>
  <c r="I133" i="27"/>
  <c r="P55" i="21"/>
  <c r="J134" i="27" s="1"/>
  <c r="K57" i="21"/>
  <c r="K77" i="21"/>
  <c r="K56" i="21"/>
  <c r="K76" i="21"/>
  <c r="E18" i="27"/>
  <c r="E34" i="27"/>
  <c r="L67" i="36"/>
  <c r="H18" i="36"/>
  <c r="F10" i="36"/>
  <c r="H64" i="36"/>
  <c r="H65" i="36" s="1"/>
  <c r="E64" i="36"/>
  <c r="F65" i="36" s="1"/>
  <c r="D10" i="36"/>
  <c r="J64" i="36"/>
  <c r="S186" i="38"/>
  <c r="R235" i="38"/>
  <c r="R245" i="38" s="1"/>
  <c r="R149" i="38"/>
  <c r="S423" i="38"/>
  <c r="S245" i="38"/>
  <c r="S94" i="38"/>
  <c r="L98" i="38"/>
  <c r="Q89" i="38"/>
  <c r="R98" i="38" s="1"/>
  <c r="Q69" i="38"/>
  <c r="R78" i="38"/>
  <c r="D164" i="38"/>
  <c r="K164" i="38" s="1"/>
  <c r="Q164" i="38" s="1"/>
  <c r="D154" i="38"/>
  <c r="H154" i="38" s="1"/>
  <c r="N154" i="38" s="1"/>
  <c r="K63" i="38"/>
  <c r="K84" i="38" s="1"/>
  <c r="Q84" i="38" s="1"/>
  <c r="Q64" i="38"/>
  <c r="K65" i="38"/>
  <c r="K86" i="38" s="1"/>
  <c r="Q66" i="38"/>
  <c r="K67" i="38"/>
  <c r="Q67" i="38" s="1"/>
  <c r="Q68" i="38"/>
  <c r="R77" i="38" s="1"/>
  <c r="F85" i="38"/>
  <c r="F87" i="38"/>
  <c r="F89" i="38"/>
  <c r="O142" i="38"/>
  <c r="F149" i="38"/>
  <c r="F170" i="38" s="1"/>
  <c r="F151" i="38"/>
  <c r="K151" i="38" s="1"/>
  <c r="F153" i="38"/>
  <c r="F196" i="38" s="1"/>
  <c r="F239" i="38" s="1"/>
  <c r="F282" i="38" s="1"/>
  <c r="D207" i="38"/>
  <c r="K207" i="38" s="1"/>
  <c r="N198" i="38"/>
  <c r="N219" i="38" s="1"/>
  <c r="T219" i="38" s="1"/>
  <c r="U219" i="38" s="1"/>
  <c r="D197" i="38"/>
  <c r="H197" i="38" s="1"/>
  <c r="S143" i="38"/>
  <c r="D185" i="38"/>
  <c r="K185" i="38" s="1"/>
  <c r="Q185" i="38" s="1"/>
  <c r="D175" i="38"/>
  <c r="D174" i="38" s="1"/>
  <c r="D173" i="38" s="1"/>
  <c r="F90" i="38"/>
  <c r="F112" i="38"/>
  <c r="L77" i="38"/>
  <c r="F84" i="38"/>
  <c r="F86" i="38"/>
  <c r="F88" i="38"/>
  <c r="O121" i="38"/>
  <c r="N391" i="38"/>
  <c r="T391" i="38" s="1"/>
  <c r="U391" i="38" s="1"/>
  <c r="D390" i="38"/>
  <c r="D399" i="38" s="1"/>
  <c r="K399" i="38" s="1"/>
  <c r="Q399" i="38" s="1"/>
  <c r="D400" i="38"/>
  <c r="K400" i="38" s="1"/>
  <c r="Q400" i="38" s="1"/>
  <c r="S401" i="38"/>
  <c r="S352" i="38"/>
  <c r="D422" i="38"/>
  <c r="K422" i="38" s="1"/>
  <c r="Q422" i="38" s="1"/>
  <c r="N413" i="38"/>
  <c r="N434" i="38" s="1"/>
  <c r="T434" i="38" s="1"/>
  <c r="U434" i="38" s="1"/>
  <c r="D412" i="38"/>
  <c r="H412" i="38" s="1"/>
  <c r="N412" i="38" s="1"/>
  <c r="O422" i="38"/>
  <c r="S380" i="38"/>
  <c r="O400" i="38"/>
  <c r="D443" i="38"/>
  <c r="K443" i="38" s="1"/>
  <c r="Q443" i="38" s="1"/>
  <c r="N477" i="38"/>
  <c r="T477" i="38" s="1"/>
  <c r="U477" i="38" s="1"/>
  <c r="T456" i="38"/>
  <c r="U456" i="38" s="1"/>
  <c r="I443" i="38"/>
  <c r="I486" i="38"/>
  <c r="S466" i="38"/>
  <c r="O465" i="38"/>
  <c r="F28" i="36"/>
  <c r="L10" i="36"/>
  <c r="D67" i="36"/>
  <c r="E18" i="36"/>
  <c r="J67" i="36"/>
  <c r="D411" i="38"/>
  <c r="H411" i="38" s="1"/>
  <c r="N411" i="38" s="1"/>
  <c r="Q65" i="38"/>
  <c r="Q86" i="38"/>
  <c r="F192" i="38"/>
  <c r="F235" i="38" s="1"/>
  <c r="K235" i="38" s="1"/>
  <c r="K256" i="38" s="1"/>
  <c r="Q256" i="38" s="1"/>
  <c r="K153" i="38"/>
  <c r="Q153" i="38" s="1"/>
  <c r="F174" i="38"/>
  <c r="F133" i="38"/>
  <c r="F155" i="38"/>
  <c r="K112" i="38"/>
  <c r="Q112" i="38" s="1"/>
  <c r="R121" i="38" s="1"/>
  <c r="N197" i="38"/>
  <c r="N218" i="38" s="1"/>
  <c r="T218" i="38" s="1"/>
  <c r="U218" i="38" s="1"/>
  <c r="K88" i="38"/>
  <c r="Q88" i="38" s="1"/>
  <c r="T155" i="38"/>
  <c r="U155" i="38" s="1"/>
  <c r="N176" i="38"/>
  <c r="T176" i="38" s="1"/>
  <c r="U176" i="38" s="1"/>
  <c r="F217" i="38"/>
  <c r="L121" i="38"/>
  <c r="F213" i="38"/>
  <c r="K155" i="38"/>
  <c r="Q155" i="38" s="1"/>
  <c r="R164" i="38" s="1"/>
  <c r="F198" i="38"/>
  <c r="F241" i="38" s="1"/>
  <c r="K241" i="38" s="1"/>
  <c r="F176" i="38"/>
  <c r="D410" i="38"/>
  <c r="H410" i="38" s="1"/>
  <c r="N410" i="38" s="1"/>
  <c r="L164" i="38"/>
  <c r="F256" i="38"/>
  <c r="K239" i="38"/>
  <c r="Q239" i="38" s="1"/>
  <c r="F260" i="38"/>
  <c r="E88" i="21" l="1"/>
  <c r="E60" i="21"/>
  <c r="L250" i="38"/>
  <c r="Q241" i="38"/>
  <c r="R250" i="38" s="1"/>
  <c r="K262" i="38"/>
  <c r="E32" i="21"/>
  <c r="D21" i="35"/>
  <c r="D24" i="35"/>
  <c r="E35" i="21"/>
  <c r="M41" i="38"/>
  <c r="E38" i="21"/>
  <c r="M43" i="38"/>
  <c r="D29" i="35"/>
  <c r="E40" i="21"/>
  <c r="L99" i="38"/>
  <c r="Q90" i="38"/>
  <c r="R99" i="38" s="1"/>
  <c r="F325" i="38"/>
  <c r="K282" i="38"/>
  <c r="F303" i="38"/>
  <c r="Q151" i="38"/>
  <c r="K172" i="38"/>
  <c r="Q172" i="38" s="1"/>
  <c r="P99" i="21"/>
  <c r="N133" i="27"/>
  <c r="F262" i="38"/>
  <c r="F219" i="38"/>
  <c r="E36" i="21"/>
  <c r="E63" i="21" s="1"/>
  <c r="G19" i="32"/>
  <c r="Q87" i="21"/>
  <c r="O87" i="21"/>
  <c r="M126" i="27" s="1"/>
  <c r="Q57" i="21"/>
  <c r="L151" i="38"/>
  <c r="L161" i="38" s="1"/>
  <c r="E45" i="27"/>
  <c r="F45" i="27" s="1"/>
  <c r="L11" i="21"/>
  <c r="N11" i="21" s="1"/>
  <c r="L108" i="38"/>
  <c r="E29" i="27"/>
  <c r="K106" i="38"/>
  <c r="F127" i="38"/>
  <c r="I336" i="38"/>
  <c r="Q235" i="38"/>
  <c r="F284" i="38"/>
  <c r="K198" i="38"/>
  <c r="K192" i="38"/>
  <c r="K196" i="38"/>
  <c r="F194" i="38"/>
  <c r="D163" i="38"/>
  <c r="K163" i="38" s="1"/>
  <c r="Q163" i="38" s="1"/>
  <c r="L78" i="38"/>
  <c r="G21" i="35"/>
  <c r="P91" i="21"/>
  <c r="N130" i="27" s="1"/>
  <c r="O53" i="21"/>
  <c r="I132" i="27" s="1"/>
  <c r="S14" i="16"/>
  <c r="K55" i="21"/>
  <c r="G56" i="27"/>
  <c r="H126" i="27"/>
  <c r="E105" i="27"/>
  <c r="Q86" i="21"/>
  <c r="E76" i="27"/>
  <c r="O49" i="21"/>
  <c r="I128" i="27" s="1"/>
  <c r="E92" i="27"/>
  <c r="O69" i="21"/>
  <c r="K128" i="27" s="1"/>
  <c r="Q69" i="21"/>
  <c r="G89" i="27"/>
  <c r="Q66" i="21"/>
  <c r="K8" i="16"/>
  <c r="K7" i="16"/>
  <c r="C40" i="27"/>
  <c r="D40" i="27" s="1"/>
  <c r="C44" i="27"/>
  <c r="K11" i="16"/>
  <c r="H125" i="27"/>
  <c r="C55" i="27"/>
  <c r="M7" i="16"/>
  <c r="G192" i="38"/>
  <c r="M10" i="16"/>
  <c r="C59" i="27"/>
  <c r="G196" i="38"/>
  <c r="G205" i="38" s="1"/>
  <c r="C63" i="27"/>
  <c r="D63" i="27" s="1"/>
  <c r="M14" i="16"/>
  <c r="C76" i="27"/>
  <c r="D77" i="27" s="1"/>
  <c r="O9" i="16"/>
  <c r="O10" i="16"/>
  <c r="N49" i="21"/>
  <c r="P49" i="21" s="1"/>
  <c r="J128" i="27" s="1"/>
  <c r="G238" i="38"/>
  <c r="S238" i="38" s="1"/>
  <c r="S248" i="38" s="1"/>
  <c r="F21" i="32"/>
  <c r="O14" i="16"/>
  <c r="C91" i="27"/>
  <c r="D91" i="27" s="1"/>
  <c r="N68" i="21"/>
  <c r="Q8" i="16"/>
  <c r="Q17" i="16" s="1"/>
  <c r="P19" i="16" s="1"/>
  <c r="Q9" i="16"/>
  <c r="G279" i="38"/>
  <c r="C94" i="27"/>
  <c r="D95" i="27" s="1"/>
  <c r="Q11" i="16"/>
  <c r="D25" i="32"/>
  <c r="N71" i="21"/>
  <c r="Q12" i="16"/>
  <c r="S7" i="16"/>
  <c r="C105" i="27"/>
  <c r="D106" i="27" s="1"/>
  <c r="N86" i="21"/>
  <c r="P86" i="21" s="1"/>
  <c r="N125" i="27" s="1"/>
  <c r="G321" i="38"/>
  <c r="C109" i="27"/>
  <c r="S11" i="16"/>
  <c r="N90" i="21"/>
  <c r="I293" i="38"/>
  <c r="S481" i="38"/>
  <c r="S487" i="38"/>
  <c r="G36" i="23"/>
  <c r="F172" i="38"/>
  <c r="G59" i="27"/>
  <c r="H129" i="27"/>
  <c r="E113" i="27"/>
  <c r="G30" i="32"/>
  <c r="O92" i="21"/>
  <c r="M131" i="27" s="1"/>
  <c r="E111" i="27"/>
  <c r="G324" i="38"/>
  <c r="C112" i="27"/>
  <c r="F29" i="23"/>
  <c r="F278" i="38"/>
  <c r="K133" i="38"/>
  <c r="Q63" i="38"/>
  <c r="O78" i="38"/>
  <c r="O94" i="21"/>
  <c r="Q90" i="21"/>
  <c r="F29" i="32"/>
  <c r="D25" i="35"/>
  <c r="F4" i="32"/>
  <c r="A13" i="35"/>
  <c r="K12" i="21"/>
  <c r="A28" i="35"/>
  <c r="A12" i="21"/>
  <c r="G44" i="27"/>
  <c r="F130" i="27"/>
  <c r="C10" i="27"/>
  <c r="G10" i="16"/>
  <c r="G66" i="38"/>
  <c r="G13" i="16"/>
  <c r="F5" i="32"/>
  <c r="F5" i="23"/>
  <c r="G14" i="16"/>
  <c r="C14" i="27"/>
  <c r="O250" i="38"/>
  <c r="F15" i="23"/>
  <c r="G46" i="27"/>
  <c r="F132" i="27"/>
  <c r="L40" i="38"/>
  <c r="L50" i="38" s="1"/>
  <c r="C11" i="35"/>
  <c r="B23" i="35"/>
  <c r="B41" i="35" s="1"/>
  <c r="C8" i="35"/>
  <c r="G63" i="27"/>
  <c r="H133" i="27"/>
  <c r="P88" i="21"/>
  <c r="N127" i="27" s="1"/>
  <c r="G107" i="27"/>
  <c r="H107" i="27" s="1"/>
  <c r="Q88" i="21"/>
  <c r="F106" i="27"/>
  <c r="H94" i="27"/>
  <c r="U10" i="16"/>
  <c r="L117" i="38"/>
  <c r="H43" i="27"/>
  <c r="F8" i="27"/>
  <c r="D92" i="27"/>
  <c r="D60" i="27"/>
  <c r="E62" i="27"/>
  <c r="H108" i="27"/>
  <c r="E36" i="32"/>
  <c r="G239" i="38"/>
  <c r="O24" i="16"/>
  <c r="G322" i="38"/>
  <c r="C110" i="27"/>
  <c r="D110" i="27" s="1"/>
  <c r="G325" i="38"/>
  <c r="C113" i="27"/>
  <c r="D113" i="27" s="1"/>
  <c r="C115" i="7"/>
  <c r="H45" i="36"/>
  <c r="O54" i="38"/>
  <c r="F107" i="38"/>
  <c r="F111" i="38"/>
  <c r="S266" i="38"/>
  <c r="O293" i="38"/>
  <c r="S309" i="38"/>
  <c r="O336" i="38"/>
  <c r="S444" i="38"/>
  <c r="I465" i="38"/>
  <c r="W7" i="16"/>
  <c r="W17" i="16" s="1"/>
  <c r="B29" i="35"/>
  <c r="B47" i="35" s="1"/>
  <c r="F30" i="23"/>
  <c r="E112" i="27"/>
  <c r="F112" i="27" s="1"/>
  <c r="D30" i="32"/>
  <c r="E110" i="27"/>
  <c r="F110" i="27" s="1"/>
  <c r="F107" i="27"/>
  <c r="P92" i="21"/>
  <c r="N131" i="27" s="1"/>
  <c r="B10" i="21"/>
  <c r="G7" i="16"/>
  <c r="G17" i="16" s="1"/>
  <c r="F19" i="16" s="1"/>
  <c r="R194" i="38"/>
  <c r="D107" i="27"/>
  <c r="G323" i="38"/>
  <c r="C111" i="27"/>
  <c r="D111" i="27" s="1"/>
  <c r="C112" i="7"/>
  <c r="D124" i="7"/>
  <c r="C116" i="7"/>
  <c r="D128" i="7"/>
  <c r="C128" i="7" s="1"/>
  <c r="F26" i="27"/>
  <c r="F41" i="27"/>
  <c r="H78" i="27"/>
  <c r="V19" i="16"/>
  <c r="C9" i="35"/>
  <c r="G118" i="38"/>
  <c r="N89" i="21"/>
  <c r="O89" i="21" s="1"/>
  <c r="M128" i="27" s="1"/>
  <c r="C108" i="27"/>
  <c r="D108" i="27" s="1"/>
  <c r="O185" i="38"/>
  <c r="H56" i="27"/>
  <c r="D47" i="27"/>
  <c r="D42" i="27"/>
  <c r="D12" i="27"/>
  <c r="D8" i="27"/>
  <c r="D56" i="27"/>
  <c r="F96" i="27"/>
  <c r="F81" i="27"/>
  <c r="H41" i="27"/>
  <c r="B61" i="27"/>
  <c r="H77" i="27"/>
  <c r="D94" i="27"/>
  <c r="D45" i="27"/>
  <c r="D80" i="27"/>
  <c r="D15" i="27"/>
  <c r="D11" i="27"/>
  <c r="H57" i="27"/>
  <c r="D25" i="27"/>
  <c r="H79" i="27"/>
  <c r="H84" i="27"/>
  <c r="H76" i="27"/>
  <c r="H75" i="27"/>
  <c r="D29" i="27"/>
  <c r="H96" i="27"/>
  <c r="D90" i="27"/>
  <c r="D76" i="27"/>
  <c r="D57" i="27"/>
  <c r="B57" i="27"/>
  <c r="B75" i="27"/>
  <c r="F91" i="27"/>
  <c r="H97" i="27"/>
  <c r="H40" i="27"/>
  <c r="H83" i="27"/>
  <c r="D28" i="27"/>
  <c r="F40" i="27"/>
  <c r="H90" i="27"/>
  <c r="H47" i="27"/>
  <c r="H42" i="27"/>
  <c r="D44" i="27"/>
  <c r="D14" i="27"/>
  <c r="F9" i="27"/>
  <c r="F76" i="27"/>
  <c r="F44" i="27"/>
  <c r="F29" i="27"/>
  <c r="F56" i="27"/>
  <c r="D93" i="27"/>
  <c r="D27" i="27"/>
  <c r="D41" i="27"/>
  <c r="F46" i="27"/>
  <c r="F10" i="27"/>
  <c r="D97" i="27"/>
  <c r="D81" i="27"/>
  <c r="D206" i="38"/>
  <c r="K206" i="38" s="1"/>
  <c r="Q206" i="38" s="1"/>
  <c r="D153" i="38"/>
  <c r="F70" i="36"/>
  <c r="N45" i="36"/>
  <c r="T197" i="38"/>
  <c r="U197" i="38" s="1"/>
  <c r="D196" i="38"/>
  <c r="D218" i="38"/>
  <c r="D217" i="38" s="1"/>
  <c r="D226" i="38" s="1"/>
  <c r="K226" i="38" s="1"/>
  <c r="Q226" i="38" s="1"/>
  <c r="D121" i="38"/>
  <c r="K121" i="38" s="1"/>
  <c r="Q121" i="38" s="1"/>
  <c r="N262" i="38"/>
  <c r="T262" i="38" s="1"/>
  <c r="U262" i="38" s="1"/>
  <c r="J65" i="36"/>
  <c r="D409" i="38"/>
  <c r="H409" i="38" s="1"/>
  <c r="N409" i="38" s="1"/>
  <c r="N430" i="38" s="1"/>
  <c r="T430" i="38" s="1"/>
  <c r="U430" i="38" s="1"/>
  <c r="H173" i="38"/>
  <c r="D172" i="38"/>
  <c r="T198" i="38"/>
  <c r="U198" i="38" s="1"/>
  <c r="T284" i="38"/>
  <c r="U284" i="38" s="1"/>
  <c r="D240" i="38"/>
  <c r="D369" i="38"/>
  <c r="H369" i="38" s="1"/>
  <c r="N369" i="38" s="1"/>
  <c r="D283" i="38"/>
  <c r="D455" i="38"/>
  <c r="H455" i="38" s="1"/>
  <c r="N455" i="38" s="1"/>
  <c r="F19" i="36"/>
  <c r="H19" i="36"/>
  <c r="N431" i="38"/>
  <c r="T431" i="38" s="1"/>
  <c r="U431" i="38" s="1"/>
  <c r="T410" i="38"/>
  <c r="U410" i="38" s="1"/>
  <c r="N432" i="38"/>
  <c r="T432" i="38" s="1"/>
  <c r="U432" i="38" s="1"/>
  <c r="T411" i="38"/>
  <c r="U411" i="38" s="1"/>
  <c r="D420" i="38"/>
  <c r="K420" i="38" s="1"/>
  <c r="Q420" i="38" s="1"/>
  <c r="T413" i="38"/>
  <c r="U413" i="38" s="1"/>
  <c r="N133" i="38"/>
  <c r="T133" i="38" s="1"/>
  <c r="U133" i="38" s="1"/>
  <c r="D239" i="38"/>
  <c r="D142" i="38"/>
  <c r="K142" i="38" s="1"/>
  <c r="Q142" i="38" s="1"/>
  <c r="D111" i="38"/>
  <c r="D68" i="38"/>
  <c r="D326" i="38"/>
  <c r="D347" i="38"/>
  <c r="D228" i="38"/>
  <c r="K228" i="38" s="1"/>
  <c r="Q228" i="38" s="1"/>
  <c r="D132" i="38"/>
  <c r="D379" i="38"/>
  <c r="K379" i="38" s="1"/>
  <c r="Q379" i="38" s="1"/>
  <c r="D88" i="38"/>
  <c r="D87" i="38" s="1"/>
  <c r="D99" i="38"/>
  <c r="K99" i="38" s="1"/>
  <c r="Q99" i="38" s="1"/>
  <c r="D98" i="38"/>
  <c r="K98" i="38" s="1"/>
  <c r="Q98" i="38" s="1"/>
  <c r="D433" i="38"/>
  <c r="T409" i="38"/>
  <c r="U409" i="38" s="1"/>
  <c r="F327" i="38"/>
  <c r="D171" i="38"/>
  <c r="F299" i="38"/>
  <c r="K260" i="38"/>
  <c r="Q260" i="38" s="1"/>
  <c r="D419" i="38"/>
  <c r="K419" i="38" s="1"/>
  <c r="Q419" i="38" s="1"/>
  <c r="D182" i="38"/>
  <c r="K182" i="38" s="1"/>
  <c r="Q182" i="38" s="1"/>
  <c r="K176" i="38"/>
  <c r="K174" i="38"/>
  <c r="Q174" i="38" s="1"/>
  <c r="H174" i="38"/>
  <c r="D183" i="38"/>
  <c r="K183" i="38" s="1"/>
  <c r="Q183" i="38" s="1"/>
  <c r="C41" i="35"/>
  <c r="G41" i="35" s="1"/>
  <c r="E24" i="35"/>
  <c r="G23" i="35"/>
  <c r="E23" i="35"/>
  <c r="F23" i="35"/>
  <c r="N175" i="38"/>
  <c r="T175" i="38" s="1"/>
  <c r="U175" i="38" s="1"/>
  <c r="T154" i="38"/>
  <c r="U154" i="38" s="1"/>
  <c r="K149" i="38"/>
  <c r="H175" i="38"/>
  <c r="D184" i="38"/>
  <c r="K184" i="38" s="1"/>
  <c r="Q184" i="38" s="1"/>
  <c r="E95" i="21"/>
  <c r="E67" i="21"/>
  <c r="C94" i="21"/>
  <c r="D94" i="21" s="1"/>
  <c r="D39" i="21"/>
  <c r="C66" i="21"/>
  <c r="D66" i="21" s="1"/>
  <c r="A32" i="21"/>
  <c r="A59" i="21"/>
  <c r="B7" i="27"/>
  <c r="B23" i="27" s="1"/>
  <c r="B39" i="27" s="1"/>
  <c r="E93" i="21"/>
  <c r="E65" i="21"/>
  <c r="E34" i="21"/>
  <c r="B64" i="27"/>
  <c r="B82" i="27"/>
  <c r="I16" i="24"/>
  <c r="F31" i="32"/>
  <c r="F31" i="23"/>
  <c r="P93" i="21"/>
  <c r="N132" i="27" s="1"/>
  <c r="P89" i="21"/>
  <c r="N128" i="27" s="1"/>
  <c r="Q89" i="21"/>
  <c r="Q46" i="21"/>
  <c r="E73" i="27"/>
  <c r="F74" i="27" s="1"/>
  <c r="O46" i="21"/>
  <c r="I125" i="27" s="1"/>
  <c r="O50" i="21"/>
  <c r="I129" i="27" s="1"/>
  <c r="Q50" i="21"/>
  <c r="E77" i="27"/>
  <c r="H390" i="38"/>
  <c r="D389" i="38"/>
  <c r="C44" i="35"/>
  <c r="E26" i="35"/>
  <c r="D30" i="27"/>
  <c r="D31" i="27"/>
  <c r="M42" i="38"/>
  <c r="M52" i="38" s="1"/>
  <c r="F12" i="21"/>
  <c r="D28" i="35"/>
  <c r="E39" i="21"/>
  <c r="B45" i="35"/>
  <c r="H45" i="27"/>
  <c r="H46" i="27"/>
  <c r="L65" i="38"/>
  <c r="E13" i="27"/>
  <c r="L66" i="38"/>
  <c r="D12" i="21"/>
  <c r="L67" i="38"/>
  <c r="E15" i="27"/>
  <c r="G62" i="27"/>
  <c r="F19" i="32"/>
  <c r="H132" i="27"/>
  <c r="F19" i="23"/>
  <c r="F36" i="23" s="1"/>
  <c r="C47" i="35"/>
  <c r="E47" i="35" s="1"/>
  <c r="G29" i="35"/>
  <c r="E90" i="21"/>
  <c r="E62" i="21"/>
  <c r="E91" i="21"/>
  <c r="C43" i="35"/>
  <c r="E43" i="35" s="1"/>
  <c r="F25" i="35"/>
  <c r="E25" i="35"/>
  <c r="U14" i="16"/>
  <c r="T19" i="16"/>
  <c r="A14" i="35"/>
  <c r="K13" i="21"/>
  <c r="A29" i="35"/>
  <c r="G4" i="23"/>
  <c r="A13" i="21"/>
  <c r="G4" i="32"/>
  <c r="W10" i="16"/>
  <c r="W11" i="16"/>
  <c r="C14" i="21"/>
  <c r="C41" i="21" s="1"/>
  <c r="L153" i="38"/>
  <c r="L13" i="21"/>
  <c r="N13" i="21" s="1"/>
  <c r="E47" i="27"/>
  <c r="F47" i="27" s="1"/>
  <c r="D10" i="27"/>
  <c r="D9" i="27"/>
  <c r="D14" i="35"/>
  <c r="C13" i="21"/>
  <c r="C40" i="21" s="1"/>
  <c r="D13" i="35"/>
  <c r="C11" i="21"/>
  <c r="C38" i="21" s="1"/>
  <c r="D11" i="35"/>
  <c r="E12" i="35" s="1"/>
  <c r="C10" i="21"/>
  <c r="D10" i="35"/>
  <c r="C9" i="21"/>
  <c r="C36" i="21" s="1"/>
  <c r="C8" i="21"/>
  <c r="C7" i="21"/>
  <c r="D8" i="35"/>
  <c r="D7" i="35"/>
  <c r="C6" i="21"/>
  <c r="D6" i="35"/>
  <c r="C5" i="21"/>
  <c r="L193" i="38"/>
  <c r="L203" i="38" s="1"/>
  <c r="E59" i="27"/>
  <c r="F59" i="27" s="1"/>
  <c r="L28" i="21"/>
  <c r="N28" i="21" s="1"/>
  <c r="G68" i="38"/>
  <c r="F24" i="16"/>
  <c r="G24" i="16" s="1"/>
  <c r="F12" i="35"/>
  <c r="B42" i="35"/>
  <c r="C24" i="35"/>
  <c r="F24" i="35"/>
  <c r="C122" i="7"/>
  <c r="C134" i="7"/>
  <c r="C130" i="7"/>
  <c r="C118" i="7"/>
  <c r="C126" i="7"/>
  <c r="C114" i="7"/>
  <c r="C132" i="7"/>
  <c r="C117" i="7"/>
  <c r="F129" i="7"/>
  <c r="C129" i="7" s="1"/>
  <c r="E29" i="35"/>
  <c r="G25" i="35"/>
  <c r="G36" i="32"/>
  <c r="M40" i="38"/>
  <c r="M50" i="38" s="1"/>
  <c r="E37" i="21"/>
  <c r="E9" i="35"/>
  <c r="D13" i="21"/>
  <c r="F13" i="21" s="1"/>
  <c r="L10" i="24"/>
  <c r="E14" i="27"/>
  <c r="F14" i="27" s="1"/>
  <c r="L110" i="38"/>
  <c r="L119" i="38" s="1"/>
  <c r="E31" i="27"/>
  <c r="D40" i="21"/>
  <c r="F40" i="21" s="1"/>
  <c r="E70" i="21"/>
  <c r="K66" i="21"/>
  <c r="M49" i="38"/>
  <c r="B60" i="27"/>
  <c r="B78" i="27"/>
  <c r="F93" i="27"/>
  <c r="F92" i="27"/>
  <c r="I4" i="32"/>
  <c r="A15" i="21"/>
  <c r="A16" i="21"/>
  <c r="A24" i="35"/>
  <c r="K8" i="21"/>
  <c r="A8" i="21"/>
  <c r="L8" i="21"/>
  <c r="N8" i="21" s="1"/>
  <c r="E42" i="27"/>
  <c r="F42" i="27" s="1"/>
  <c r="L106" i="38"/>
  <c r="L116" i="38" s="1"/>
  <c r="E27" i="27"/>
  <c r="F27" i="27" s="1"/>
  <c r="D41" i="35"/>
  <c r="F41" i="35" s="1"/>
  <c r="E41" i="35"/>
  <c r="D26" i="32"/>
  <c r="D26" i="23"/>
  <c r="E94" i="27"/>
  <c r="F94" i="27" s="1"/>
  <c r="Q74" i="21"/>
  <c r="E97" i="27"/>
  <c r="F97" i="27" s="1"/>
  <c r="D27" i="23"/>
  <c r="D36" i="23" s="1"/>
  <c r="Q71" i="21"/>
  <c r="G47" i="35"/>
  <c r="D47" i="35"/>
  <c r="F47" i="35" s="1"/>
  <c r="O57" i="21"/>
  <c r="I136" i="27" s="1"/>
  <c r="D27" i="35"/>
  <c r="H82" i="27"/>
  <c r="K9" i="21"/>
  <c r="A9" i="21"/>
  <c r="A25" i="35"/>
  <c r="H44" i="27"/>
  <c r="D43" i="35"/>
  <c r="F43" i="35" s="1"/>
  <c r="G43" i="35"/>
  <c r="D61" i="27"/>
  <c r="F16" i="24"/>
  <c r="E31" i="23"/>
  <c r="E36" i="23" s="1"/>
  <c r="Q92" i="21"/>
  <c r="P90" i="21"/>
  <c r="N129" i="27" s="1"/>
  <c r="E22" i="32"/>
  <c r="E22" i="23"/>
  <c r="E79" i="27"/>
  <c r="Q52" i="21"/>
  <c r="M51" i="38"/>
  <c r="A22" i="35"/>
  <c r="A7" i="35"/>
  <c r="A6" i="21"/>
  <c r="P70" i="21"/>
  <c r="O70" i="21"/>
  <c r="J125" i="27"/>
  <c r="F25" i="27"/>
  <c r="L42" i="38"/>
  <c r="L52" i="38" s="1"/>
  <c r="C14" i="35"/>
  <c r="B28" i="35"/>
  <c r="C13" i="35"/>
  <c r="L202" i="38"/>
  <c r="F63" i="27"/>
  <c r="D19" i="32"/>
  <c r="D36" i="32" s="1"/>
  <c r="G60" i="27"/>
  <c r="H60" i="27" s="1"/>
  <c r="C19" i="24"/>
  <c r="F18" i="24"/>
  <c r="O90" i="21"/>
  <c r="M129" i="27" s="1"/>
  <c r="F27" i="32"/>
  <c r="Q73" i="21"/>
  <c r="P73" i="21"/>
  <c r="L132" i="27" s="1"/>
  <c r="G153" i="38"/>
  <c r="K14" i="16"/>
  <c r="K17" i="16" s="1"/>
  <c r="J19" i="16" s="1"/>
  <c r="G13" i="23"/>
  <c r="F133" i="27"/>
  <c r="G13" i="32"/>
  <c r="C58" i="27"/>
  <c r="M9" i="16"/>
  <c r="M17" i="16" s="1"/>
  <c r="L19" i="16" s="1"/>
  <c r="N47" i="21"/>
  <c r="O8" i="16"/>
  <c r="C74" i="27"/>
  <c r="O7" i="16"/>
  <c r="G236" i="38"/>
  <c r="D21" i="32"/>
  <c r="N51" i="21"/>
  <c r="D21" i="23"/>
  <c r="C78" i="27"/>
  <c r="O11" i="16"/>
  <c r="F4" i="23"/>
  <c r="L10" i="21"/>
  <c r="N10" i="21" s="1"/>
  <c r="P48" i="21"/>
  <c r="J127" i="27" s="1"/>
  <c r="E30" i="27"/>
  <c r="F30" i="27" s="1"/>
  <c r="L118" i="38"/>
  <c r="L174" i="38"/>
  <c r="M174" i="38"/>
  <c r="L172" i="38"/>
  <c r="M172" i="38"/>
  <c r="M171" i="38"/>
  <c r="L171" i="38"/>
  <c r="B22" i="35"/>
  <c r="L51" i="38"/>
  <c r="L49" i="38"/>
  <c r="L204" i="38"/>
  <c r="L31" i="21"/>
  <c r="N31" i="21" s="1"/>
  <c r="G58" i="27"/>
  <c r="H58" i="27" s="1"/>
  <c r="H128" i="27"/>
  <c r="H131" i="27"/>
  <c r="F30" i="32"/>
  <c r="G150" i="38"/>
  <c r="D13" i="23"/>
  <c r="D13" i="32"/>
  <c r="C135" i="7"/>
  <c r="C133" i="7"/>
  <c r="C121" i="7"/>
  <c r="H27" i="36"/>
  <c r="H28" i="36" s="1"/>
  <c r="L45" i="36"/>
  <c r="J36" i="36"/>
  <c r="R107" i="38"/>
  <c r="L162" i="38"/>
  <c r="L160" i="38"/>
  <c r="P54" i="21"/>
  <c r="J133" i="27" s="1"/>
  <c r="B26" i="35"/>
  <c r="F26" i="35" s="1"/>
  <c r="E57" i="27"/>
  <c r="F57" i="27" s="1"/>
  <c r="E61" i="27"/>
  <c r="F61" i="27" s="1"/>
  <c r="L32" i="21"/>
  <c r="N32" i="21" s="1"/>
  <c r="L30" i="21"/>
  <c r="N30" i="21" s="1"/>
  <c r="B9" i="21"/>
  <c r="D24" i="27"/>
  <c r="G106" i="38"/>
  <c r="I11" i="16"/>
  <c r="I17" i="16" s="1"/>
  <c r="H19" i="16" s="1"/>
  <c r="R193" i="38"/>
  <c r="R203" i="38" s="1"/>
  <c r="C120" i="7"/>
  <c r="H125" i="7"/>
  <c r="C125" i="7" s="1"/>
  <c r="C113" i="7"/>
  <c r="D68" i="36"/>
  <c r="J45" i="36"/>
  <c r="I164" i="38"/>
  <c r="M173" i="38"/>
  <c r="M183" i="38" s="1"/>
  <c r="L173" i="38"/>
  <c r="L183" i="38" s="1"/>
  <c r="F15" i="32"/>
  <c r="F36" i="32" s="1"/>
  <c r="L170" i="38"/>
  <c r="M170" i="38"/>
  <c r="Q91" i="21"/>
  <c r="O19" i="24"/>
  <c r="G64" i="38"/>
  <c r="D5" i="32"/>
  <c r="R152" i="38"/>
  <c r="G280" i="38"/>
  <c r="E25" i="23"/>
  <c r="C119" i="7"/>
  <c r="L68" i="36"/>
  <c r="N45" i="38"/>
  <c r="D44" i="38"/>
  <c r="S281" i="38"/>
  <c r="S291" i="38" s="1"/>
  <c r="G291" i="38"/>
  <c r="R281" i="38"/>
  <c r="R291" i="38" s="1"/>
  <c r="R65" i="38"/>
  <c r="R109" i="38"/>
  <c r="G119" i="38"/>
  <c r="G161" i="38"/>
  <c r="R151" i="38"/>
  <c r="R192" i="38"/>
  <c r="R202" i="38" s="1"/>
  <c r="G202" i="38"/>
  <c r="R237" i="38"/>
  <c r="R247" i="38" s="1"/>
  <c r="G247" i="38"/>
  <c r="S321" i="38"/>
  <c r="R321" i="38"/>
  <c r="R331" i="38" s="1"/>
  <c r="G331" i="38"/>
  <c r="C124" i="7"/>
  <c r="N68" i="36"/>
  <c r="E44" i="36"/>
  <c r="E45" i="36" s="1"/>
  <c r="L64" i="36"/>
  <c r="L65" i="36" s="1"/>
  <c r="K110" i="38"/>
  <c r="F131" i="38"/>
  <c r="O99" i="38"/>
  <c r="K108" i="38"/>
  <c r="E9" i="32"/>
  <c r="G76" i="38"/>
  <c r="R66" i="38"/>
  <c r="G117" i="38"/>
  <c r="G203" i="38"/>
  <c r="F21" i="23"/>
  <c r="S278" i="38"/>
  <c r="R278" i="38"/>
  <c r="R288" i="38" s="1"/>
  <c r="G288" i="38"/>
  <c r="S282" i="38"/>
  <c r="S292" i="38" s="1"/>
  <c r="R282" i="38"/>
  <c r="S322" i="38"/>
  <c r="S332" i="38" s="1"/>
  <c r="G332" i="38"/>
  <c r="R322" i="38"/>
  <c r="R332" i="38" s="1"/>
  <c r="S325" i="38"/>
  <c r="S335" i="38" s="1"/>
  <c r="R325" i="38"/>
  <c r="C131" i="7"/>
  <c r="E67" i="36"/>
  <c r="L27" i="36"/>
  <c r="L28" i="36" s="1"/>
  <c r="J68" i="36"/>
  <c r="J10" i="36"/>
  <c r="D36" i="36"/>
  <c r="D64" i="36"/>
  <c r="E65" i="36" s="1"/>
  <c r="N67" i="36"/>
  <c r="N36" i="36"/>
  <c r="O207" i="38"/>
  <c r="G73" i="38"/>
  <c r="G77" i="38"/>
  <c r="R67" i="38"/>
  <c r="R108" i="38"/>
  <c r="R118" i="38" s="1"/>
  <c r="G204" i="38"/>
  <c r="G245" i="38"/>
  <c r="G248" i="38"/>
  <c r="R238" i="38"/>
  <c r="R248" i="38" s="1"/>
  <c r="G289" i="38"/>
  <c r="S279" i="38"/>
  <c r="S289" i="38" s="1"/>
  <c r="R279" i="38"/>
  <c r="R289" i="38" s="1"/>
  <c r="S323" i="38"/>
  <c r="S333" i="38" s="1"/>
  <c r="G333" i="38"/>
  <c r="R323" i="38"/>
  <c r="R333" i="38" s="1"/>
  <c r="E68" i="36"/>
  <c r="D18" i="36"/>
  <c r="E19" i="36" s="1"/>
  <c r="L18" i="36"/>
  <c r="N65" i="36"/>
  <c r="D69" i="36"/>
  <c r="J18" i="36"/>
  <c r="J19" i="36" s="1"/>
  <c r="G75" i="38"/>
  <c r="R110" i="38"/>
  <c r="I185" i="38"/>
  <c r="R195" i="38"/>
  <c r="R204" i="38" s="1"/>
  <c r="R196" i="38"/>
  <c r="I207" i="38"/>
  <c r="I228" i="38"/>
  <c r="S229" i="38"/>
  <c r="D261" i="38"/>
  <c r="I271" i="38"/>
  <c r="O314" i="38"/>
  <c r="F109" i="38"/>
  <c r="I121" i="38"/>
  <c r="O164" i="38"/>
  <c r="I250" i="38"/>
  <c r="D271" i="38"/>
  <c r="K271" i="38" s="1"/>
  <c r="Q271" i="38" s="1"/>
  <c r="D250" i="38"/>
  <c r="K250" i="38" s="1"/>
  <c r="Q250" i="38" s="1"/>
  <c r="I400" i="38"/>
  <c r="I422" i="38"/>
  <c r="I314" i="38"/>
  <c r="I357" i="38"/>
  <c r="I379" i="38"/>
  <c r="Q78" i="38"/>
  <c r="T412" i="38"/>
  <c r="U412" i="38" s="1"/>
  <c r="N433" i="38"/>
  <c r="T433" i="38" s="1"/>
  <c r="U433" i="38" s="1"/>
  <c r="D421" i="38"/>
  <c r="K421" i="38" s="1"/>
  <c r="Q421" i="38" s="1"/>
  <c r="F67" i="36"/>
  <c r="J28" i="36"/>
  <c r="Q207" i="38"/>
  <c r="J69" i="36"/>
  <c r="D304" i="38"/>
  <c r="H305" i="38"/>
  <c r="D314" i="38"/>
  <c r="K314" i="38" s="1"/>
  <c r="Q314" i="38" s="1"/>
  <c r="D465" i="38"/>
  <c r="K465" i="38" s="1"/>
  <c r="Q465" i="38" s="1"/>
  <c r="H477" i="38"/>
  <c r="D476" i="38"/>
  <c r="H69" i="38"/>
  <c r="N69" i="38" s="1"/>
  <c r="H327" i="38"/>
  <c r="N327" i="38" s="1"/>
  <c r="H10" i="36"/>
  <c r="E10" i="36"/>
  <c r="D27" i="36"/>
  <c r="E28" i="36" s="1"/>
  <c r="D293" i="38"/>
  <c r="K293" i="38" s="1"/>
  <c r="Q293" i="38" s="1"/>
  <c r="H348" i="38"/>
  <c r="N10" i="36"/>
  <c r="P20" i="16" l="1"/>
  <c r="H25" i="23"/>
  <c r="C98" i="27"/>
  <c r="G283" i="38"/>
  <c r="G292" i="38" s="1"/>
  <c r="P24" i="16"/>
  <c r="Q24" i="16" s="1"/>
  <c r="L76" i="38"/>
  <c r="F20" i="16"/>
  <c r="H5" i="23"/>
  <c r="F132" i="38"/>
  <c r="F154" i="38"/>
  <c r="K111" i="38"/>
  <c r="K53" i="21"/>
  <c r="K73" i="21"/>
  <c r="K219" i="38"/>
  <c r="L207" i="38"/>
  <c r="Q198" i="38"/>
  <c r="R207" i="38" s="1"/>
  <c r="C39" i="35"/>
  <c r="F21" i="35"/>
  <c r="F19" i="24"/>
  <c r="B94" i="27"/>
  <c r="B130" i="27" s="1"/>
  <c r="B110" i="27"/>
  <c r="D11" i="21"/>
  <c r="F11" i="21" s="1"/>
  <c r="B98" i="27"/>
  <c r="B134" i="27" s="1"/>
  <c r="B114" i="27"/>
  <c r="B91" i="27"/>
  <c r="B127" i="27" s="1"/>
  <c r="B107" i="27"/>
  <c r="L64" i="38"/>
  <c r="L74" i="38" s="1"/>
  <c r="E12" i="27"/>
  <c r="F150" i="38"/>
  <c r="K107" i="38"/>
  <c r="F128" i="38"/>
  <c r="D112" i="27"/>
  <c r="D109" i="27"/>
  <c r="S17" i="16"/>
  <c r="R19" i="16" s="1"/>
  <c r="O86" i="21"/>
  <c r="M125" i="27" s="1"/>
  <c r="F237" i="38"/>
  <c r="K194" i="38"/>
  <c r="F215" i="38"/>
  <c r="F305" i="38"/>
  <c r="K284" i="38"/>
  <c r="E22" i="35"/>
  <c r="Q282" i="38"/>
  <c r="K303" i="38"/>
  <c r="Q303" i="38" s="1"/>
  <c r="E59" i="21"/>
  <c r="E87" i="21"/>
  <c r="F13" i="27"/>
  <c r="S239" i="38"/>
  <c r="S249" i="38" s="1"/>
  <c r="R239" i="38"/>
  <c r="A39" i="21"/>
  <c r="A93" i="21" s="1"/>
  <c r="B14" i="27"/>
  <c r="B30" i="27" s="1"/>
  <c r="B46" i="27" s="1"/>
  <c r="A66" i="21"/>
  <c r="Q133" i="38"/>
  <c r="R142" i="38" s="1"/>
  <c r="L142" i="38"/>
  <c r="S324" i="38"/>
  <c r="S334" i="38" s="1"/>
  <c r="R324" i="38"/>
  <c r="R334" i="38" s="1"/>
  <c r="G334" i="38"/>
  <c r="F113" i="27"/>
  <c r="P68" i="21"/>
  <c r="L127" i="27" s="1"/>
  <c r="O68" i="21"/>
  <c r="K127" i="27" s="1"/>
  <c r="Q196" i="38"/>
  <c r="K217" i="38"/>
  <c r="Q217" i="38" s="1"/>
  <c r="Q106" i="38"/>
  <c r="K127" i="38"/>
  <c r="Q127" i="38" s="1"/>
  <c r="F346" i="38"/>
  <c r="K325" i="38"/>
  <c r="F368" i="38"/>
  <c r="F29" i="35"/>
  <c r="L271" i="38"/>
  <c r="Q262" i="38"/>
  <c r="R271" i="38" s="1"/>
  <c r="E14" i="21"/>
  <c r="N18" i="21"/>
  <c r="N37" i="21"/>
  <c r="B95" i="27"/>
  <c r="B131" i="27" s="1"/>
  <c r="B111" i="27"/>
  <c r="V20" i="16"/>
  <c r="V25" i="16" s="1"/>
  <c r="W25" i="16" s="1"/>
  <c r="V24" i="16"/>
  <c r="W24" i="16" s="1"/>
  <c r="M133" i="27"/>
  <c r="O99" i="21"/>
  <c r="F321" i="38"/>
  <c r="K278" i="38"/>
  <c r="F111" i="27"/>
  <c r="O71" i="21"/>
  <c r="K130" i="27" s="1"/>
  <c r="P71" i="21"/>
  <c r="L130" i="27" s="1"/>
  <c r="K213" i="38"/>
  <c r="Q213" i="38" s="1"/>
  <c r="Q192" i="38"/>
  <c r="C42" i="35"/>
  <c r="G24" i="35"/>
  <c r="D418" i="38"/>
  <c r="K418" i="38" s="1"/>
  <c r="Q418" i="38" s="1"/>
  <c r="D97" i="38"/>
  <c r="K97" i="38" s="1"/>
  <c r="Q97" i="38" s="1"/>
  <c r="D408" i="38"/>
  <c r="H408" i="38" s="1"/>
  <c r="N408" i="38" s="1"/>
  <c r="F60" i="27"/>
  <c r="H61" i="27"/>
  <c r="F62" i="27"/>
  <c r="H218" i="38"/>
  <c r="D227" i="38"/>
  <c r="K227" i="38" s="1"/>
  <c r="Q227" i="38" s="1"/>
  <c r="H196" i="38"/>
  <c r="N196" i="38" s="1"/>
  <c r="D205" i="38"/>
  <c r="K205" i="38" s="1"/>
  <c r="Q205" i="38" s="1"/>
  <c r="D195" i="38"/>
  <c r="H153" i="38"/>
  <c r="N153" i="38" s="1"/>
  <c r="D162" i="38"/>
  <c r="K162" i="38" s="1"/>
  <c r="Q162" i="38" s="1"/>
  <c r="D152" i="38"/>
  <c r="H240" i="38"/>
  <c r="N240" i="38" s="1"/>
  <c r="D249" i="38"/>
  <c r="K249" i="38" s="1"/>
  <c r="Q249" i="38" s="1"/>
  <c r="D464" i="38"/>
  <c r="K464" i="38" s="1"/>
  <c r="Q464" i="38" s="1"/>
  <c r="D454" i="38"/>
  <c r="H283" i="38"/>
  <c r="N283" i="38" s="1"/>
  <c r="D292" i="38"/>
  <c r="K292" i="38" s="1"/>
  <c r="Q292" i="38" s="1"/>
  <c r="D282" i="38"/>
  <c r="H172" i="38"/>
  <c r="D181" i="38"/>
  <c r="K181" i="38" s="1"/>
  <c r="Q181" i="38" s="1"/>
  <c r="H88" i="38"/>
  <c r="D378" i="38"/>
  <c r="K378" i="38" s="1"/>
  <c r="Q378" i="38" s="1"/>
  <c r="D368" i="38"/>
  <c r="D432" i="38"/>
  <c r="D442" i="38"/>
  <c r="K442" i="38" s="1"/>
  <c r="Q442" i="38" s="1"/>
  <c r="H347" i="38"/>
  <c r="D346" i="38"/>
  <c r="D356" i="38"/>
  <c r="K356" i="38" s="1"/>
  <c r="Q356" i="38" s="1"/>
  <c r="H132" i="38"/>
  <c r="D131" i="38"/>
  <c r="D141" i="38"/>
  <c r="K141" i="38" s="1"/>
  <c r="Q141" i="38" s="1"/>
  <c r="H326" i="38"/>
  <c r="N326" i="38" s="1"/>
  <c r="D325" i="38"/>
  <c r="D335" i="38"/>
  <c r="K335" i="38" s="1"/>
  <c r="Q335" i="38" s="1"/>
  <c r="H433" i="38"/>
  <c r="H68" i="38"/>
  <c r="N68" i="38" s="1"/>
  <c r="D77" i="38"/>
  <c r="K77" i="38" s="1"/>
  <c r="Q77" i="38" s="1"/>
  <c r="D67" i="38"/>
  <c r="H239" i="38"/>
  <c r="N239" i="38" s="1"/>
  <c r="D248" i="38"/>
  <c r="K248" i="38" s="1"/>
  <c r="Q248" i="38" s="1"/>
  <c r="D238" i="38"/>
  <c r="H111" i="38"/>
  <c r="N111" i="38" s="1"/>
  <c r="D110" i="38"/>
  <c r="D120" i="38"/>
  <c r="K120" i="38" s="1"/>
  <c r="Q120" i="38" s="1"/>
  <c r="H217" i="38"/>
  <c r="D216" i="38"/>
  <c r="M44" i="38"/>
  <c r="E41" i="21"/>
  <c r="M110" i="38"/>
  <c r="G10" i="23"/>
  <c r="G10" i="32"/>
  <c r="G40" i="21"/>
  <c r="D133" i="27" s="1"/>
  <c r="M67" i="38"/>
  <c r="G6" i="23"/>
  <c r="G13" i="21"/>
  <c r="C133" i="27" s="1"/>
  <c r="G6" i="32"/>
  <c r="L19" i="36"/>
  <c r="N19" i="36"/>
  <c r="R161" i="38"/>
  <c r="S280" i="38"/>
  <c r="S290" i="38" s="1"/>
  <c r="R280" i="38"/>
  <c r="R290" i="38" s="1"/>
  <c r="G290" i="38"/>
  <c r="G74" i="38"/>
  <c r="R64" i="38"/>
  <c r="R74" i="38" s="1"/>
  <c r="M180" i="38"/>
  <c r="R117" i="38"/>
  <c r="L181" i="38"/>
  <c r="D78" i="27"/>
  <c r="D79" i="27"/>
  <c r="G246" i="38"/>
  <c r="R236" i="38"/>
  <c r="R246" i="38" s="1"/>
  <c r="S236" i="38"/>
  <c r="S246" i="38" s="1"/>
  <c r="O47" i="21"/>
  <c r="I126" i="27" s="1"/>
  <c r="P47" i="21"/>
  <c r="O79" i="21"/>
  <c r="K129" i="27"/>
  <c r="H59" i="27"/>
  <c r="B18" i="27"/>
  <c r="B34" i="27" s="1"/>
  <c r="B50" i="27" s="1"/>
  <c r="A70" i="21"/>
  <c r="A43" i="21"/>
  <c r="A97" i="21" s="1"/>
  <c r="M10" i="24"/>
  <c r="E7" i="35"/>
  <c r="F7" i="35"/>
  <c r="D36" i="21"/>
  <c r="F36" i="21" s="1"/>
  <c r="C63" i="21"/>
  <c r="D63" i="21" s="1"/>
  <c r="F63" i="21" s="1"/>
  <c r="C91" i="21"/>
  <c r="D91" i="21" s="1"/>
  <c r="C93" i="21"/>
  <c r="D93" i="21" s="1"/>
  <c r="C65" i="21"/>
  <c r="D65" i="21" s="1"/>
  <c r="F65" i="21" s="1"/>
  <c r="D38" i="21"/>
  <c r="F38" i="21" s="1"/>
  <c r="N75" i="21"/>
  <c r="H25" i="32"/>
  <c r="K74" i="21"/>
  <c r="K54" i="21"/>
  <c r="F77" i="27"/>
  <c r="F78" i="27"/>
  <c r="E61" i="21"/>
  <c r="E89" i="21"/>
  <c r="L70" i="36"/>
  <c r="Q176" i="38"/>
  <c r="R185" i="38" s="1"/>
  <c r="L185" i="38"/>
  <c r="H171" i="38"/>
  <c r="D180" i="38"/>
  <c r="K180" i="38" s="1"/>
  <c r="Q180" i="38" s="1"/>
  <c r="D170" i="38"/>
  <c r="K109" i="38"/>
  <c r="F130" i="38"/>
  <c r="F152" i="38"/>
  <c r="F45" i="36"/>
  <c r="R119" i="38"/>
  <c r="N20" i="24"/>
  <c r="L180" i="38"/>
  <c r="G111" i="38"/>
  <c r="H24" i="16"/>
  <c r="I24" i="16" s="1"/>
  <c r="H20" i="16"/>
  <c r="H9" i="23"/>
  <c r="L63" i="38"/>
  <c r="E11" i="27"/>
  <c r="D9" i="21"/>
  <c r="F9" i="21" s="1"/>
  <c r="M181" i="38"/>
  <c r="O17" i="16"/>
  <c r="N19" i="16" s="1"/>
  <c r="G197" i="38"/>
  <c r="L24" i="16"/>
  <c r="M24" i="16" s="1"/>
  <c r="E17" i="32"/>
  <c r="E34" i="32" s="1"/>
  <c r="C64" i="27"/>
  <c r="D64" i="27" s="1"/>
  <c r="D17" i="23"/>
  <c r="D34" i="23" s="1"/>
  <c r="G17" i="32"/>
  <c r="H17" i="23"/>
  <c r="F17" i="32"/>
  <c r="F34" i="32" s="1"/>
  <c r="D17" i="32"/>
  <c r="E17" i="23"/>
  <c r="E34" i="23" s="1"/>
  <c r="F17" i="23"/>
  <c r="F34" i="23" s="1"/>
  <c r="G17" i="23"/>
  <c r="G34" i="23" s="1"/>
  <c r="L20" i="16"/>
  <c r="L129" i="27"/>
  <c r="P79" i="21"/>
  <c r="F28" i="27"/>
  <c r="F79" i="27"/>
  <c r="F80" i="27"/>
  <c r="C45" i="35"/>
  <c r="D45" i="35" s="1"/>
  <c r="F45" i="35" s="1"/>
  <c r="F27" i="35"/>
  <c r="E27" i="35"/>
  <c r="B10" i="27"/>
  <c r="B26" i="27" s="1"/>
  <c r="B42" i="27" s="1"/>
  <c r="A62" i="21"/>
  <c r="A35" i="21"/>
  <c r="A89" i="21" s="1"/>
  <c r="B17" i="27"/>
  <c r="B33" i="27" s="1"/>
  <c r="B49" i="27" s="1"/>
  <c r="A69" i="21"/>
  <c r="A42" i="21"/>
  <c r="A96" i="21" s="1"/>
  <c r="F31" i="27"/>
  <c r="D42" i="35"/>
  <c r="F42" i="35" s="1"/>
  <c r="G42" i="35"/>
  <c r="E42" i="35"/>
  <c r="C32" i="21"/>
  <c r="D5" i="21"/>
  <c r="E8" i="35"/>
  <c r="F8" i="35"/>
  <c r="E10" i="35"/>
  <c r="F10" i="35"/>
  <c r="F13" i="35"/>
  <c r="E13" i="35"/>
  <c r="S283" i="38"/>
  <c r="S293" i="38" s="1"/>
  <c r="R283" i="38"/>
  <c r="A40" i="21"/>
  <c r="A94" i="21" s="1"/>
  <c r="B15" i="27"/>
  <c r="B31" i="27" s="1"/>
  <c r="B47" i="27" s="1"/>
  <c r="A67" i="21"/>
  <c r="L75" i="38"/>
  <c r="F95" i="27"/>
  <c r="E94" i="21"/>
  <c r="F94" i="21" s="1"/>
  <c r="F39" i="21"/>
  <c r="E66" i="21"/>
  <c r="F66" i="21" s="1"/>
  <c r="Q58" i="21"/>
  <c r="F58" i="27"/>
  <c r="F93" i="21"/>
  <c r="H87" i="38"/>
  <c r="D96" i="38"/>
  <c r="K96" i="38" s="1"/>
  <c r="Q96" i="38" s="1"/>
  <c r="D86" i="38"/>
  <c r="Q149" i="38"/>
  <c r="K170" i="38"/>
  <c r="Q170" i="38" s="1"/>
  <c r="H261" i="38"/>
  <c r="D270" i="38"/>
  <c r="K270" i="38" s="1"/>
  <c r="Q270" i="38" s="1"/>
  <c r="D260" i="38"/>
  <c r="J70" i="36"/>
  <c r="L11" i="36"/>
  <c r="S294" i="38"/>
  <c r="S288" i="38"/>
  <c r="Q108" i="38"/>
  <c r="K129" i="38"/>
  <c r="Q129" i="38" s="1"/>
  <c r="Q110" i="38"/>
  <c r="K131" i="38"/>
  <c r="Q131" i="38" s="1"/>
  <c r="S337" i="38"/>
  <c r="S331" i="38"/>
  <c r="M11" i="24"/>
  <c r="G116" i="38"/>
  <c r="R106" i="38"/>
  <c r="R116" i="38" s="1"/>
  <c r="G160" i="38"/>
  <c r="R150" i="38"/>
  <c r="G159" i="38"/>
  <c r="M182" i="38"/>
  <c r="P51" i="21"/>
  <c r="J130" i="27" s="1"/>
  <c r="O51" i="21"/>
  <c r="O58" i="21" s="1"/>
  <c r="D74" i="27"/>
  <c r="D75" i="27"/>
  <c r="D58" i="27"/>
  <c r="D59" i="27"/>
  <c r="G154" i="38"/>
  <c r="J24" i="16"/>
  <c r="K24" i="16" s="1"/>
  <c r="J20" i="16"/>
  <c r="H13" i="23"/>
  <c r="B46" i="35"/>
  <c r="C29" i="35"/>
  <c r="C28" i="35"/>
  <c r="G28" i="35"/>
  <c r="A60" i="21"/>
  <c r="B8" i="27"/>
  <c r="B24" i="27" s="1"/>
  <c r="B40" i="27" s="1"/>
  <c r="A33" i="21"/>
  <c r="A87" i="21" s="1"/>
  <c r="B11" i="27"/>
  <c r="B27" i="27" s="1"/>
  <c r="B43" i="27" s="1"/>
  <c r="A36" i="21"/>
  <c r="A90" i="21" s="1"/>
  <c r="A63" i="21"/>
  <c r="K69" i="21"/>
  <c r="K49" i="21"/>
  <c r="E92" i="21"/>
  <c r="E64" i="21"/>
  <c r="H5" i="32"/>
  <c r="F6" i="35"/>
  <c r="C34" i="21"/>
  <c r="D7" i="21"/>
  <c r="F7" i="21" s="1"/>
  <c r="G7" i="21" s="1"/>
  <c r="C127" i="27" s="1"/>
  <c r="C37" i="21"/>
  <c r="D10" i="21"/>
  <c r="F10" i="21" s="1"/>
  <c r="C95" i="21"/>
  <c r="D95" i="21" s="1"/>
  <c r="F95" i="21" s="1"/>
  <c r="C67" i="21"/>
  <c r="D67" i="21" s="1"/>
  <c r="F67" i="21" s="1"/>
  <c r="C96" i="21"/>
  <c r="C68" i="21"/>
  <c r="T20" i="16"/>
  <c r="T25" i="16" s="1"/>
  <c r="U25" i="16" s="1"/>
  <c r="T24" i="16"/>
  <c r="U24" i="16" s="1"/>
  <c r="F91" i="21"/>
  <c r="H62" i="27"/>
  <c r="H63" i="27"/>
  <c r="F43" i="27"/>
  <c r="G27" i="35"/>
  <c r="C46" i="35"/>
  <c r="E28" i="35"/>
  <c r="F28" i="35"/>
  <c r="H389" i="38"/>
  <c r="D388" i="38"/>
  <c r="D398" i="38"/>
  <c r="K398" i="38" s="1"/>
  <c r="Q398" i="38" s="1"/>
  <c r="R205" i="38"/>
  <c r="R76" i="38"/>
  <c r="E15" i="21"/>
  <c r="R75" i="38"/>
  <c r="N44" i="38"/>
  <c r="D43" i="38"/>
  <c r="D53" i="38"/>
  <c r="K53" i="38" s="1"/>
  <c r="D34" i="32"/>
  <c r="B44" i="35"/>
  <c r="C26" i="35"/>
  <c r="G26" i="35"/>
  <c r="N28" i="36"/>
  <c r="B40" i="35"/>
  <c r="C22" i="35"/>
  <c r="C23" i="35"/>
  <c r="G22" i="35"/>
  <c r="F22" i="35"/>
  <c r="L182" i="38"/>
  <c r="G34" i="32"/>
  <c r="R153" i="38"/>
  <c r="R162" i="38" s="1"/>
  <c r="G162" i="38"/>
  <c r="G163" i="38"/>
  <c r="B9" i="24"/>
  <c r="E10" i="24"/>
  <c r="E12" i="24"/>
  <c r="F12" i="24" s="1"/>
  <c r="D11" i="24"/>
  <c r="C9" i="24"/>
  <c r="C10" i="24"/>
  <c r="D9" i="24"/>
  <c r="E11" i="24"/>
  <c r="E9" i="24"/>
  <c r="D10" i="24"/>
  <c r="K70" i="21"/>
  <c r="K50" i="21"/>
  <c r="M65" i="38"/>
  <c r="G11" i="21"/>
  <c r="C131" i="27" s="1"/>
  <c r="E6" i="32"/>
  <c r="E6" i="23"/>
  <c r="Q79" i="21"/>
  <c r="R68" i="38"/>
  <c r="D6" i="21"/>
  <c r="F6" i="21" s="1"/>
  <c r="G6" i="21" s="1"/>
  <c r="C126" i="27" s="1"/>
  <c r="C33" i="21"/>
  <c r="D8" i="21"/>
  <c r="F8" i="21" s="1"/>
  <c r="G8" i="21" s="1"/>
  <c r="C128" i="27" s="1"/>
  <c r="C35" i="21"/>
  <c r="F11" i="35"/>
  <c r="E11" i="35"/>
  <c r="F14" i="35"/>
  <c r="E14" i="35"/>
  <c r="F15" i="27"/>
  <c r="C27" i="35"/>
  <c r="M66" i="38"/>
  <c r="F6" i="23"/>
  <c r="F6" i="32"/>
  <c r="G12" i="21"/>
  <c r="C132" i="27" s="1"/>
  <c r="O10" i="24"/>
  <c r="B73" i="27"/>
  <c r="B55" i="27"/>
  <c r="D417" i="38"/>
  <c r="K417" i="38" s="1"/>
  <c r="Q417" i="38" s="1"/>
  <c r="K327" i="38"/>
  <c r="F348" i="38"/>
  <c r="F370" i="38"/>
  <c r="N70" i="36"/>
  <c r="N11" i="36"/>
  <c r="N390" i="38"/>
  <c r="T390" i="38" s="1"/>
  <c r="U390" i="38" s="1"/>
  <c r="T369" i="38"/>
  <c r="U369" i="38" s="1"/>
  <c r="E11" i="36"/>
  <c r="F11" i="36"/>
  <c r="E70" i="36"/>
  <c r="N90" i="38"/>
  <c r="T90" i="38" s="1"/>
  <c r="U90" i="38" s="1"/>
  <c r="T69" i="38"/>
  <c r="U69" i="38" s="1"/>
  <c r="T455" i="38"/>
  <c r="U455" i="38" s="1"/>
  <c r="N476" i="38"/>
  <c r="T476" i="38" s="1"/>
  <c r="U476" i="38" s="1"/>
  <c r="H11" i="36"/>
  <c r="H70" i="36"/>
  <c r="H476" i="38"/>
  <c r="D475" i="38"/>
  <c r="D485" i="38"/>
  <c r="K485" i="38" s="1"/>
  <c r="Q485" i="38" s="1"/>
  <c r="J11" i="36"/>
  <c r="H304" i="38"/>
  <c r="D313" i="38"/>
  <c r="K313" i="38" s="1"/>
  <c r="Q313" i="38" s="1"/>
  <c r="D303" i="38"/>
  <c r="D70" i="36"/>
  <c r="T327" i="38"/>
  <c r="U327" i="38" s="1"/>
  <c r="N348" i="38"/>
  <c r="T348" i="38" s="1"/>
  <c r="U348" i="38" s="1"/>
  <c r="B89" i="27" l="1"/>
  <c r="B125" i="27" s="1"/>
  <c r="B105" i="27"/>
  <c r="Q278" i="38"/>
  <c r="K299" i="38"/>
  <c r="Q299" i="38" s="1"/>
  <c r="L293" i="38"/>
  <c r="K305" i="38"/>
  <c r="Q284" i="38"/>
  <c r="R293" i="38" s="1"/>
  <c r="K237" i="38"/>
  <c r="F280" i="38"/>
  <c r="F258" i="38"/>
  <c r="F342" i="38"/>
  <c r="K321" i="38"/>
  <c r="F364" i="38"/>
  <c r="L120" i="38"/>
  <c r="Q111" i="38"/>
  <c r="R120" i="38" s="1"/>
  <c r="K132" i="38"/>
  <c r="G69" i="38"/>
  <c r="F25" i="16"/>
  <c r="I5" i="23"/>
  <c r="F411" i="38"/>
  <c r="F389" i="38"/>
  <c r="K368" i="38"/>
  <c r="B80" i="27"/>
  <c r="B62" i="27"/>
  <c r="R24" i="16"/>
  <c r="R20" i="16"/>
  <c r="G326" i="38"/>
  <c r="H29" i="23"/>
  <c r="K128" i="38"/>
  <c r="Q128" i="38" s="1"/>
  <c r="Q107" i="38"/>
  <c r="Q219" i="38"/>
  <c r="R228" i="38" s="1"/>
  <c r="L228" i="38"/>
  <c r="F197" i="38"/>
  <c r="K154" i="38"/>
  <c r="F175" i="38"/>
  <c r="F11" i="24"/>
  <c r="K346" i="38"/>
  <c r="Q346" i="38" s="1"/>
  <c r="Q325" i="38"/>
  <c r="K215" i="38"/>
  <c r="Q215" i="38" s="1"/>
  <c r="Q194" i="38"/>
  <c r="F193" i="38"/>
  <c r="K150" i="38"/>
  <c r="F171" i="38"/>
  <c r="D39" i="35"/>
  <c r="F39" i="35" s="1"/>
  <c r="E39" i="35"/>
  <c r="G39" i="35"/>
  <c r="I25" i="23"/>
  <c r="C99" i="27"/>
  <c r="G284" i="38"/>
  <c r="P25" i="16"/>
  <c r="D407" i="38"/>
  <c r="D151" i="38"/>
  <c r="D161" i="38"/>
  <c r="K161" i="38" s="1"/>
  <c r="Q161" i="38" s="1"/>
  <c r="H152" i="38"/>
  <c r="N152" i="38" s="1"/>
  <c r="T196" i="38"/>
  <c r="U196" i="38" s="1"/>
  <c r="N217" i="38"/>
  <c r="T217" i="38" s="1"/>
  <c r="U217" i="38" s="1"/>
  <c r="N174" i="38"/>
  <c r="T174" i="38" s="1"/>
  <c r="U174" i="38" s="1"/>
  <c r="T153" i="38"/>
  <c r="U153" i="38" s="1"/>
  <c r="H195" i="38"/>
  <c r="N195" i="38" s="1"/>
  <c r="D194" i="38"/>
  <c r="D204" i="38"/>
  <c r="K204" i="38" s="1"/>
  <c r="Q204" i="38" s="1"/>
  <c r="H454" i="38"/>
  <c r="N454" i="38" s="1"/>
  <c r="D453" i="38"/>
  <c r="D463" i="38"/>
  <c r="K463" i="38" s="1"/>
  <c r="Q463" i="38" s="1"/>
  <c r="T283" i="38"/>
  <c r="U283" i="38" s="1"/>
  <c r="N304" i="38"/>
  <c r="T304" i="38" s="1"/>
  <c r="U304" i="38" s="1"/>
  <c r="H368" i="38"/>
  <c r="N368" i="38" s="1"/>
  <c r="D377" i="38"/>
  <c r="K377" i="38" s="1"/>
  <c r="Q377" i="38" s="1"/>
  <c r="D367" i="38"/>
  <c r="H282" i="38"/>
  <c r="N282" i="38" s="1"/>
  <c r="D291" i="38"/>
  <c r="K291" i="38" s="1"/>
  <c r="Q291" i="38" s="1"/>
  <c r="D281" i="38"/>
  <c r="T240" i="38"/>
  <c r="U240" i="38" s="1"/>
  <c r="N261" i="38"/>
  <c r="T261" i="38" s="1"/>
  <c r="U261" i="38" s="1"/>
  <c r="H216" i="38"/>
  <c r="D225" i="38"/>
  <c r="K225" i="38" s="1"/>
  <c r="Q225" i="38" s="1"/>
  <c r="D215" i="38"/>
  <c r="N89" i="38"/>
  <c r="T89" i="38" s="1"/>
  <c r="U89" i="38" s="1"/>
  <c r="T68" i="38"/>
  <c r="U68" i="38" s="1"/>
  <c r="H131" i="38"/>
  <c r="D130" i="38"/>
  <c r="D140" i="38"/>
  <c r="K140" i="38" s="1"/>
  <c r="Q140" i="38" s="1"/>
  <c r="T111" i="38"/>
  <c r="U111" i="38" s="1"/>
  <c r="N132" i="38"/>
  <c r="T132" i="38" s="1"/>
  <c r="U132" i="38" s="1"/>
  <c r="H238" i="38"/>
  <c r="N238" i="38" s="1"/>
  <c r="D237" i="38"/>
  <c r="D247" i="38"/>
  <c r="K247" i="38" s="1"/>
  <c r="Q247" i="38" s="1"/>
  <c r="H346" i="38"/>
  <c r="D355" i="38"/>
  <c r="K355" i="38" s="1"/>
  <c r="Q355" i="38" s="1"/>
  <c r="D345" i="38"/>
  <c r="N260" i="38"/>
  <c r="T260" i="38" s="1"/>
  <c r="U260" i="38" s="1"/>
  <c r="T239" i="38"/>
  <c r="U239" i="38" s="1"/>
  <c r="H325" i="38"/>
  <c r="N325" i="38" s="1"/>
  <c r="D334" i="38"/>
  <c r="K334" i="38" s="1"/>
  <c r="Q334" i="38" s="1"/>
  <c r="D324" i="38"/>
  <c r="H110" i="38"/>
  <c r="N110" i="38" s="1"/>
  <c r="D119" i="38"/>
  <c r="K119" i="38" s="1"/>
  <c r="Q119" i="38" s="1"/>
  <c r="D109" i="38"/>
  <c r="H67" i="38"/>
  <c r="N67" i="38" s="1"/>
  <c r="D66" i="38"/>
  <c r="D76" i="38"/>
  <c r="K76" i="38" s="1"/>
  <c r="Q76" i="38" s="1"/>
  <c r="N347" i="38"/>
  <c r="T347" i="38" s="1"/>
  <c r="U347" i="38" s="1"/>
  <c r="T326" i="38"/>
  <c r="U326" i="38" s="1"/>
  <c r="H432" i="38"/>
  <c r="D441" i="38"/>
  <c r="K441" i="38" s="1"/>
  <c r="Q441" i="38" s="1"/>
  <c r="D431" i="38"/>
  <c r="M153" i="38"/>
  <c r="G14" i="23"/>
  <c r="G67" i="21"/>
  <c r="E133" i="27" s="1"/>
  <c r="G14" i="32"/>
  <c r="M151" i="38"/>
  <c r="E14" i="32"/>
  <c r="E14" i="23"/>
  <c r="G65" i="21"/>
  <c r="E131" i="27" s="1"/>
  <c r="M197" i="38"/>
  <c r="G95" i="21"/>
  <c r="G133" i="27" s="1"/>
  <c r="G18" i="23"/>
  <c r="G18" i="32"/>
  <c r="C90" i="21"/>
  <c r="D90" i="21" s="1"/>
  <c r="F90" i="21" s="1"/>
  <c r="D35" i="21"/>
  <c r="F35" i="21" s="1"/>
  <c r="G35" i="21" s="1"/>
  <c r="D128" i="27" s="1"/>
  <c r="C62" i="21"/>
  <c r="D62" i="21" s="1"/>
  <c r="F62" i="21" s="1"/>
  <c r="G62" i="21" s="1"/>
  <c r="E128" i="27" s="1"/>
  <c r="D13" i="24"/>
  <c r="F413" i="38"/>
  <c r="F391" i="38"/>
  <c r="K370" i="38"/>
  <c r="H407" i="38"/>
  <c r="N407" i="38" s="1"/>
  <c r="D416" i="38"/>
  <c r="K416" i="38" s="1"/>
  <c r="Q416" i="38" s="1"/>
  <c r="M76" i="38"/>
  <c r="S66" i="38"/>
  <c r="F10" i="24"/>
  <c r="G40" i="35"/>
  <c r="E40" i="35"/>
  <c r="D40" i="35"/>
  <c r="G44" i="35"/>
  <c r="E44" i="35"/>
  <c r="D44" i="35"/>
  <c r="F44" i="35" s="1"/>
  <c r="M193" i="38"/>
  <c r="G91" i="21"/>
  <c r="G129" i="27" s="1"/>
  <c r="C64" i="21"/>
  <c r="D64" i="21" s="1"/>
  <c r="C92" i="21"/>
  <c r="D92" i="21" s="1"/>
  <c r="D37" i="21"/>
  <c r="F37" i="21" s="1"/>
  <c r="F92" i="21"/>
  <c r="E46" i="35"/>
  <c r="G46" i="35"/>
  <c r="D46" i="35"/>
  <c r="F46" i="35" s="1"/>
  <c r="R154" i="38"/>
  <c r="C59" i="21"/>
  <c r="D59" i="21" s="1"/>
  <c r="C87" i="21"/>
  <c r="D87" i="21" s="1"/>
  <c r="D32" i="21"/>
  <c r="B65" i="27"/>
  <c r="B83" i="27"/>
  <c r="H17" i="32"/>
  <c r="M63" i="38"/>
  <c r="G9" i="21"/>
  <c r="C129" i="27" s="1"/>
  <c r="G112" i="38"/>
  <c r="H25" i="16"/>
  <c r="I9" i="23"/>
  <c r="G45" i="35"/>
  <c r="M75" i="21"/>
  <c r="L75" i="21"/>
  <c r="S67" i="38"/>
  <c r="S110" i="38"/>
  <c r="Q327" i="38"/>
  <c r="R336" i="38" s="1"/>
  <c r="K348" i="38"/>
  <c r="L336" i="38"/>
  <c r="T408" i="38"/>
  <c r="U408" i="38" s="1"/>
  <c r="N429" i="38"/>
  <c r="T429" i="38" s="1"/>
  <c r="U429" i="38" s="1"/>
  <c r="C88" i="21"/>
  <c r="D88" i="21" s="1"/>
  <c r="F88" i="21" s="1"/>
  <c r="G88" i="21" s="1"/>
  <c r="G126" i="27" s="1"/>
  <c r="D33" i="21"/>
  <c r="F33" i="21" s="1"/>
  <c r="G33" i="21" s="1"/>
  <c r="D126" i="27" s="1"/>
  <c r="C60" i="21"/>
  <c r="D60" i="21" s="1"/>
  <c r="F60" i="21" s="1"/>
  <c r="G60" i="21" s="1"/>
  <c r="E126" i="27" s="1"/>
  <c r="M75" i="38"/>
  <c r="S65" i="38"/>
  <c r="S75" i="38" s="1"/>
  <c r="E13" i="24"/>
  <c r="C13" i="24"/>
  <c r="B13" i="24"/>
  <c r="F9" i="24"/>
  <c r="G30" i="35"/>
  <c r="G31" i="35"/>
  <c r="C16" i="27"/>
  <c r="D16" i="27" s="1"/>
  <c r="B59" i="27"/>
  <c r="B77" i="27"/>
  <c r="I130" i="27"/>
  <c r="R160" i="38"/>
  <c r="R159" i="38"/>
  <c r="L11" i="24"/>
  <c r="M152" i="38"/>
  <c r="F14" i="23"/>
  <c r="F14" i="32"/>
  <c r="G66" i="21"/>
  <c r="E132" i="27" s="1"/>
  <c r="G198" i="38"/>
  <c r="L25" i="16"/>
  <c r="C65" i="27"/>
  <c r="D65" i="27" s="1"/>
  <c r="G136" i="27"/>
  <c r="I17" i="23"/>
  <c r="H136" i="27"/>
  <c r="S197" i="38"/>
  <c r="R197" i="38"/>
  <c r="G207" i="38"/>
  <c r="G206" i="38"/>
  <c r="F11" i="27"/>
  <c r="F12" i="27"/>
  <c r="H9" i="32"/>
  <c r="C32" i="27" s="1"/>
  <c r="D32" i="27" s="1"/>
  <c r="K130" i="38"/>
  <c r="Q130" i="38" s="1"/>
  <c r="Q109" i="38"/>
  <c r="M108" i="38"/>
  <c r="E10" i="23"/>
  <c r="G38" i="21"/>
  <c r="D131" i="27" s="1"/>
  <c r="E10" i="32"/>
  <c r="M149" i="38"/>
  <c r="G63" i="21"/>
  <c r="E129" i="27" s="1"/>
  <c r="G35" i="32"/>
  <c r="M45" i="38"/>
  <c r="M54" i="38" s="1"/>
  <c r="E42" i="21"/>
  <c r="C61" i="21"/>
  <c r="D61" i="21" s="1"/>
  <c r="C89" i="21"/>
  <c r="D89" i="21" s="1"/>
  <c r="F89" i="21" s="1"/>
  <c r="G89" i="21" s="1"/>
  <c r="G127" i="27" s="1"/>
  <c r="D34" i="21"/>
  <c r="F34" i="21" s="1"/>
  <c r="G34" i="21" s="1"/>
  <c r="D127" i="27" s="1"/>
  <c r="G155" i="38"/>
  <c r="J25" i="16"/>
  <c r="I13" i="23"/>
  <c r="H260" i="38"/>
  <c r="D269" i="38"/>
  <c r="K269" i="38" s="1"/>
  <c r="Q269" i="38" s="1"/>
  <c r="D259" i="38"/>
  <c r="H86" i="38"/>
  <c r="D95" i="38"/>
  <c r="K95" i="38" s="1"/>
  <c r="Q95" i="38" s="1"/>
  <c r="D85" i="38"/>
  <c r="M195" i="38"/>
  <c r="G93" i="21"/>
  <c r="G131" i="27" s="1"/>
  <c r="E18" i="23"/>
  <c r="E18" i="32"/>
  <c r="M109" i="38"/>
  <c r="G39" i="21"/>
  <c r="D132" i="27" s="1"/>
  <c r="F10" i="23"/>
  <c r="F35" i="23" s="1"/>
  <c r="F10" i="32"/>
  <c r="B81" i="27"/>
  <c r="B63" i="27"/>
  <c r="G240" i="38"/>
  <c r="N20" i="16"/>
  <c r="D82" i="27"/>
  <c r="H34" i="23"/>
  <c r="L73" i="38"/>
  <c r="R63" i="38"/>
  <c r="R73" i="38" s="1"/>
  <c r="G121" i="38"/>
  <c r="R111" i="38"/>
  <c r="G120" i="38"/>
  <c r="G122" i="38" s="1"/>
  <c r="O20" i="24"/>
  <c r="N12" i="24"/>
  <c r="M20" i="24"/>
  <c r="H170" i="38"/>
  <c r="D179" i="38"/>
  <c r="K179" i="38" s="1"/>
  <c r="Q179" i="38" s="1"/>
  <c r="E45" i="35"/>
  <c r="M106" i="38"/>
  <c r="G36" i="21"/>
  <c r="D129" i="27" s="1"/>
  <c r="E96" i="21"/>
  <c r="E68" i="21"/>
  <c r="E35" i="23"/>
  <c r="N43" i="38"/>
  <c r="D42" i="38"/>
  <c r="D52" i="38"/>
  <c r="K52" i="38" s="1"/>
  <c r="H388" i="38"/>
  <c r="D387" i="38"/>
  <c r="D397" i="38"/>
  <c r="K397" i="38" s="1"/>
  <c r="Q397" i="38" s="1"/>
  <c r="M64" i="38"/>
  <c r="D6" i="23"/>
  <c r="G10" i="21"/>
  <c r="C130" i="27" s="1"/>
  <c r="D6" i="32"/>
  <c r="F64" i="21"/>
  <c r="B74" i="27"/>
  <c r="B56" i="27"/>
  <c r="H13" i="32"/>
  <c r="C48" i="27" s="1"/>
  <c r="D48" i="27" s="1"/>
  <c r="M196" i="38"/>
  <c r="F18" i="32"/>
  <c r="F18" i="23"/>
  <c r="G94" i="21"/>
  <c r="G132" i="27" s="1"/>
  <c r="D14" i="21"/>
  <c r="F14" i="21" s="1"/>
  <c r="F5" i="21"/>
  <c r="G5" i="21" s="1"/>
  <c r="C125" i="27" s="1"/>
  <c r="B76" i="27"/>
  <c r="B58" i="27"/>
  <c r="F195" i="38"/>
  <c r="K152" i="38"/>
  <c r="F173" i="38"/>
  <c r="F61" i="21"/>
  <c r="G61" i="21" s="1"/>
  <c r="E127" i="27" s="1"/>
  <c r="B66" i="27"/>
  <c r="B84" i="27"/>
  <c r="J126" i="27"/>
  <c r="P58" i="21"/>
  <c r="G35" i="23"/>
  <c r="M53" i="38"/>
  <c r="H475" i="38"/>
  <c r="D484" i="38"/>
  <c r="K484" i="38" s="1"/>
  <c r="Q484" i="38" s="1"/>
  <c r="D474" i="38"/>
  <c r="H303" i="38"/>
  <c r="D312" i="38"/>
  <c r="K312" i="38" s="1"/>
  <c r="Q312" i="38" s="1"/>
  <c r="D302" i="38"/>
  <c r="B92" i="27" l="1"/>
  <c r="B128" i="27" s="1"/>
  <c r="B108" i="27"/>
  <c r="G335" i="38"/>
  <c r="S326" i="38"/>
  <c r="S336" i="38" s="1"/>
  <c r="R326" i="38"/>
  <c r="B90" i="27"/>
  <c r="B126" i="27" s="1"/>
  <c r="B106" i="27"/>
  <c r="B100" i="27"/>
  <c r="B116" i="27"/>
  <c r="B97" i="27"/>
  <c r="B133" i="27" s="1"/>
  <c r="B113" i="27"/>
  <c r="G208" i="38"/>
  <c r="F13" i="24"/>
  <c r="C116" i="27"/>
  <c r="N77" i="21"/>
  <c r="N76" i="21"/>
  <c r="Q25" i="16"/>
  <c r="J25" i="32"/>
  <c r="C100" i="27"/>
  <c r="I25" i="32"/>
  <c r="N97" i="21"/>
  <c r="K171" i="38"/>
  <c r="Q171" i="38" s="1"/>
  <c r="Q150" i="38"/>
  <c r="K175" i="38"/>
  <c r="L163" i="38"/>
  <c r="Q154" i="38"/>
  <c r="R163" i="38" s="1"/>
  <c r="I29" i="23"/>
  <c r="G327" i="38"/>
  <c r="R25" i="16"/>
  <c r="K389" i="38"/>
  <c r="Q389" i="38" s="1"/>
  <c r="Q368" i="38"/>
  <c r="G25" i="16"/>
  <c r="I5" i="32"/>
  <c r="C17" i="27" s="1"/>
  <c r="J5" i="32"/>
  <c r="C18" i="27"/>
  <c r="D18" i="27" s="1"/>
  <c r="L314" i="38"/>
  <c r="Q305" i="38"/>
  <c r="R314" i="38" s="1"/>
  <c r="B93" i="27"/>
  <c r="B129" i="27" s="1"/>
  <c r="B109" i="27"/>
  <c r="S76" i="38"/>
  <c r="G293" i="38"/>
  <c r="G294" i="38" s="1"/>
  <c r="S284" i="38"/>
  <c r="R284" i="38"/>
  <c r="F214" i="38"/>
  <c r="F236" i="38"/>
  <c r="K193" i="38"/>
  <c r="F218" i="38"/>
  <c r="K197" i="38"/>
  <c r="F240" i="38"/>
  <c r="S24" i="16"/>
  <c r="C114" i="27"/>
  <c r="D114" i="27" s="1"/>
  <c r="H29" i="32"/>
  <c r="N95" i="21"/>
  <c r="R69" i="38"/>
  <c r="G78" i="38"/>
  <c r="G79" i="38" s="1"/>
  <c r="F385" i="38"/>
  <c r="K364" i="38"/>
  <c r="F407" i="38"/>
  <c r="K280" i="38"/>
  <c r="F323" i="38"/>
  <c r="F301" i="38"/>
  <c r="F35" i="32"/>
  <c r="E35" i="32"/>
  <c r="B99" i="27"/>
  <c r="B135" i="27" s="1"/>
  <c r="B115" i="27"/>
  <c r="B96" i="27"/>
  <c r="B132" i="27" s="1"/>
  <c r="B112" i="27"/>
  <c r="F454" i="38"/>
  <c r="F432" i="38"/>
  <c r="K411" i="38"/>
  <c r="L141" i="38"/>
  <c r="Q132" i="38"/>
  <c r="R141" i="38" s="1"/>
  <c r="Q321" i="38"/>
  <c r="K342" i="38"/>
  <c r="Q342" i="38" s="1"/>
  <c r="Q237" i="38"/>
  <c r="K258" i="38"/>
  <c r="Q258" i="38" s="1"/>
  <c r="D17" i="27"/>
  <c r="N173" i="38"/>
  <c r="T173" i="38" s="1"/>
  <c r="U173" i="38" s="1"/>
  <c r="T152" i="38"/>
  <c r="U152" i="38" s="1"/>
  <c r="T195" i="38"/>
  <c r="U195" i="38" s="1"/>
  <c r="N216" i="38"/>
  <c r="T216" i="38" s="1"/>
  <c r="U216" i="38" s="1"/>
  <c r="H194" i="38"/>
  <c r="N194" i="38" s="1"/>
  <c r="D203" i="38"/>
  <c r="K203" i="38" s="1"/>
  <c r="Q203" i="38" s="1"/>
  <c r="D193" i="38"/>
  <c r="D150" i="38"/>
  <c r="H151" i="38"/>
  <c r="N151" i="38" s="1"/>
  <c r="D160" i="38"/>
  <c r="K160" i="38" s="1"/>
  <c r="Q160" i="38" s="1"/>
  <c r="H367" i="38"/>
  <c r="N367" i="38" s="1"/>
  <c r="D376" i="38"/>
  <c r="K376" i="38" s="1"/>
  <c r="Q376" i="38" s="1"/>
  <c r="D366" i="38"/>
  <c r="H281" i="38"/>
  <c r="N281" i="38" s="1"/>
  <c r="D290" i="38"/>
  <c r="K290" i="38" s="1"/>
  <c r="Q290" i="38" s="1"/>
  <c r="D280" i="38"/>
  <c r="T368" i="38"/>
  <c r="U368" i="38" s="1"/>
  <c r="N389" i="38"/>
  <c r="T389" i="38" s="1"/>
  <c r="U389" i="38" s="1"/>
  <c r="H453" i="38"/>
  <c r="N453" i="38" s="1"/>
  <c r="D452" i="38"/>
  <c r="D462" i="38"/>
  <c r="K462" i="38" s="1"/>
  <c r="Q462" i="38" s="1"/>
  <c r="N303" i="38"/>
  <c r="T303" i="38" s="1"/>
  <c r="U303" i="38" s="1"/>
  <c r="T282" i="38"/>
  <c r="U282" i="38" s="1"/>
  <c r="N475" i="38"/>
  <c r="T475" i="38" s="1"/>
  <c r="U475" i="38" s="1"/>
  <c r="T454" i="38"/>
  <c r="U454" i="38" s="1"/>
  <c r="H66" i="38"/>
  <c r="N66" i="38" s="1"/>
  <c r="D75" i="38"/>
  <c r="K75" i="38" s="1"/>
  <c r="Q75" i="38" s="1"/>
  <c r="D65" i="38"/>
  <c r="H109" i="38"/>
  <c r="N109" i="38" s="1"/>
  <c r="D118" i="38"/>
  <c r="K118" i="38" s="1"/>
  <c r="Q118" i="38" s="1"/>
  <c r="D108" i="38"/>
  <c r="H345" i="38"/>
  <c r="D344" i="38"/>
  <c r="D354" i="38"/>
  <c r="K354" i="38" s="1"/>
  <c r="Q354" i="38" s="1"/>
  <c r="H237" i="38"/>
  <c r="N237" i="38" s="1"/>
  <c r="D246" i="38"/>
  <c r="K246" i="38" s="1"/>
  <c r="Q246" i="38" s="1"/>
  <c r="D236" i="38"/>
  <c r="H215" i="38"/>
  <c r="D224" i="38"/>
  <c r="K224" i="38" s="1"/>
  <c r="Q224" i="38" s="1"/>
  <c r="D214" i="38"/>
  <c r="D323" i="38"/>
  <c r="H324" i="38"/>
  <c r="N324" i="38" s="1"/>
  <c r="D333" i="38"/>
  <c r="K333" i="38" s="1"/>
  <c r="Q333" i="38" s="1"/>
  <c r="N88" i="38"/>
  <c r="T88" i="38" s="1"/>
  <c r="U88" i="38" s="1"/>
  <c r="T67" i="38"/>
  <c r="U67" i="38" s="1"/>
  <c r="T325" i="38"/>
  <c r="U325" i="38" s="1"/>
  <c r="N346" i="38"/>
  <c r="T346" i="38" s="1"/>
  <c r="U346" i="38" s="1"/>
  <c r="N259" i="38"/>
  <c r="T259" i="38" s="1"/>
  <c r="U259" i="38" s="1"/>
  <c r="T238" i="38"/>
  <c r="U238" i="38" s="1"/>
  <c r="H130" i="38"/>
  <c r="D139" i="38"/>
  <c r="K139" i="38" s="1"/>
  <c r="Q139" i="38" s="1"/>
  <c r="D129" i="38"/>
  <c r="D430" i="38"/>
  <c r="D440" i="38"/>
  <c r="K440" i="38" s="1"/>
  <c r="Q440" i="38" s="1"/>
  <c r="H431" i="38"/>
  <c r="N131" i="38"/>
  <c r="T131" i="38" s="1"/>
  <c r="U131" i="38" s="1"/>
  <c r="T110" i="38"/>
  <c r="U110" i="38" s="1"/>
  <c r="K173" i="38"/>
  <c r="Q173" i="38" s="1"/>
  <c r="Q152" i="38"/>
  <c r="N42" i="38"/>
  <c r="D41" i="38"/>
  <c r="D51" i="38"/>
  <c r="K51" i="38" s="1"/>
  <c r="S106" i="38"/>
  <c r="F238" i="38"/>
  <c r="K195" i="38"/>
  <c r="F216" i="38"/>
  <c r="L20" i="24"/>
  <c r="M12" i="24"/>
  <c r="G241" i="38"/>
  <c r="D84" i="38"/>
  <c r="D94" i="38"/>
  <c r="K94" i="38" s="1"/>
  <c r="Q94" i="38" s="1"/>
  <c r="H85" i="38"/>
  <c r="R198" i="38"/>
  <c r="M162" i="38"/>
  <c r="S152" i="38"/>
  <c r="L55" i="21"/>
  <c r="L56" i="21"/>
  <c r="O75" i="21"/>
  <c r="K134" i="27" s="1"/>
  <c r="H26" i="32"/>
  <c r="H26" i="23"/>
  <c r="E98" i="27"/>
  <c r="F98" i="27" s="1"/>
  <c r="I9" i="32"/>
  <c r="C34" i="27"/>
  <c r="I25" i="16"/>
  <c r="J9" i="32"/>
  <c r="D41" i="21"/>
  <c r="F41" i="21" s="1"/>
  <c r="F32" i="21"/>
  <c r="G32" i="21" s="1"/>
  <c r="D125" i="27" s="1"/>
  <c r="T407" i="38"/>
  <c r="U407" i="38" s="1"/>
  <c r="U414" i="38" s="1"/>
  <c r="N428" i="38"/>
  <c r="T428" i="38" s="1"/>
  <c r="U428" i="38" s="1"/>
  <c r="U435" i="38" s="1"/>
  <c r="M206" i="38"/>
  <c r="S196" i="38"/>
  <c r="S206" i="38" s="1"/>
  <c r="D15" i="21"/>
  <c r="M74" i="38"/>
  <c r="S64" i="38"/>
  <c r="S74" i="38" s="1"/>
  <c r="S240" i="38"/>
  <c r="S250" i="38" s="1"/>
  <c r="G250" i="38"/>
  <c r="R240" i="38"/>
  <c r="G249" i="38"/>
  <c r="K11" i="24"/>
  <c r="L357" i="38"/>
  <c r="Q348" i="38"/>
  <c r="R357" i="38" s="1"/>
  <c r="H27" i="23"/>
  <c r="P75" i="21"/>
  <c r="L134" i="27" s="1"/>
  <c r="H27" i="32"/>
  <c r="G98" i="27"/>
  <c r="H98" i="27" s="1"/>
  <c r="Q75" i="21"/>
  <c r="R112" i="38"/>
  <c r="D96" i="21"/>
  <c r="F96" i="21" s="1"/>
  <c r="F87" i="21"/>
  <c r="G87" i="21" s="1"/>
  <c r="G125" i="27" s="1"/>
  <c r="F40" i="35"/>
  <c r="F49" i="35" s="1"/>
  <c r="D49" i="35"/>
  <c r="L379" i="38"/>
  <c r="Q370" i="38"/>
  <c r="R379" i="38" s="1"/>
  <c r="K391" i="38"/>
  <c r="M161" i="38"/>
  <c r="S151" i="38"/>
  <c r="S161" i="38" s="1"/>
  <c r="M68" i="38"/>
  <c r="G14" i="21"/>
  <c r="C134" i="27" s="1"/>
  <c r="H6" i="32"/>
  <c r="E16" i="27"/>
  <c r="F16" i="27" s="1"/>
  <c r="H6" i="23"/>
  <c r="M150" i="38"/>
  <c r="D14" i="32"/>
  <c r="D14" i="23"/>
  <c r="G64" i="21"/>
  <c r="E130" i="27" s="1"/>
  <c r="H387" i="38"/>
  <c r="D386" i="38"/>
  <c r="D396" i="38"/>
  <c r="K396" i="38" s="1"/>
  <c r="Q396" i="38" s="1"/>
  <c r="H259" i="38"/>
  <c r="D268" i="38"/>
  <c r="K268" i="38" s="1"/>
  <c r="Q268" i="38" s="1"/>
  <c r="D258" i="38"/>
  <c r="J13" i="32"/>
  <c r="I13" i="32"/>
  <c r="C49" i="27" s="1"/>
  <c r="D49" i="27" s="1"/>
  <c r="C50" i="27"/>
  <c r="K25" i="16"/>
  <c r="E69" i="21"/>
  <c r="E97" i="21"/>
  <c r="M159" i="38"/>
  <c r="S149" i="38"/>
  <c r="M118" i="38"/>
  <c r="S108" i="38"/>
  <c r="F59" i="21"/>
  <c r="G59" i="21" s="1"/>
  <c r="E125" i="27" s="1"/>
  <c r="D68" i="21"/>
  <c r="D69" i="21" s="1"/>
  <c r="D70" i="21" s="1"/>
  <c r="F70" i="21" s="1"/>
  <c r="M107" i="38"/>
  <c r="M116" i="38" s="1"/>
  <c r="D10" i="32"/>
  <c r="G37" i="21"/>
  <c r="D130" i="27" s="1"/>
  <c r="D10" i="23"/>
  <c r="S193" i="38"/>
  <c r="E49" i="35"/>
  <c r="S153" i="38"/>
  <c r="N21" i="24"/>
  <c r="M119" i="38"/>
  <c r="S109" i="38"/>
  <c r="S119" i="38" s="1"/>
  <c r="M205" i="38"/>
  <c r="S195" i="38"/>
  <c r="R155" i="38"/>
  <c r="J17" i="32"/>
  <c r="I17" i="32"/>
  <c r="C66" i="27"/>
  <c r="D66" i="27" s="1"/>
  <c r="M25" i="16"/>
  <c r="N42" i="24"/>
  <c r="H34" i="32"/>
  <c r="I34" i="23"/>
  <c r="M73" i="38"/>
  <c r="S63" i="38"/>
  <c r="G164" i="38"/>
  <c r="G165" i="38" s="1"/>
  <c r="M194" i="38"/>
  <c r="M203" i="38" s="1"/>
  <c r="D18" i="23"/>
  <c r="D35" i="23" s="1"/>
  <c r="G92" i="21"/>
  <c r="G130" i="27" s="1"/>
  <c r="D18" i="32"/>
  <c r="G49" i="35"/>
  <c r="F434" i="38"/>
  <c r="K413" i="38"/>
  <c r="F456" i="38"/>
  <c r="M192" i="38"/>
  <c r="G90" i="21"/>
  <c r="G128" i="27" s="1"/>
  <c r="H302" i="38"/>
  <c r="D301" i="38"/>
  <c r="D311" i="38"/>
  <c r="K311" i="38" s="1"/>
  <c r="Q311" i="38" s="1"/>
  <c r="H474" i="38"/>
  <c r="D483" i="38"/>
  <c r="K483" i="38" s="1"/>
  <c r="Q483" i="38" s="1"/>
  <c r="D473" i="38"/>
  <c r="D42" i="21" l="1"/>
  <c r="K454" i="38"/>
  <c r="F475" i="38"/>
  <c r="F366" i="38"/>
  <c r="F344" i="38"/>
  <c r="K323" i="38"/>
  <c r="K218" i="38"/>
  <c r="L206" i="38"/>
  <c r="Q197" i="38"/>
  <c r="R206" i="38" s="1"/>
  <c r="S327" i="38"/>
  <c r="G336" i="38"/>
  <c r="G337" i="38" s="1"/>
  <c r="R327" i="38"/>
  <c r="Q175" i="38"/>
  <c r="R184" i="38" s="1"/>
  <c r="L184" i="38"/>
  <c r="L76" i="21"/>
  <c r="M76" i="21"/>
  <c r="Q280" i="38"/>
  <c r="K301" i="38"/>
  <c r="Q301" i="38" s="1"/>
  <c r="D100" i="27"/>
  <c r="D116" i="27"/>
  <c r="M77" i="21"/>
  <c r="L77" i="21"/>
  <c r="D35" i="32"/>
  <c r="Q411" i="38"/>
  <c r="K432" i="38"/>
  <c r="Q432" i="38" s="1"/>
  <c r="K407" i="38"/>
  <c r="F450" i="38"/>
  <c r="F428" i="38"/>
  <c r="K214" i="38"/>
  <c r="Q214" i="38" s="1"/>
  <c r="Q193" i="38"/>
  <c r="D97" i="21"/>
  <c r="D98" i="21" s="1"/>
  <c r="F98" i="21" s="1"/>
  <c r="K385" i="38"/>
  <c r="Q385" i="38" s="1"/>
  <c r="Q364" i="38"/>
  <c r="M95" i="21"/>
  <c r="L95" i="21"/>
  <c r="F261" i="38"/>
  <c r="F283" i="38"/>
  <c r="K240" i="38"/>
  <c r="K236" i="38"/>
  <c r="F279" i="38"/>
  <c r="F257" i="38"/>
  <c r="C115" i="27"/>
  <c r="D115" i="27" s="1"/>
  <c r="N96" i="21"/>
  <c r="S25" i="16"/>
  <c r="J29" i="32"/>
  <c r="I29" i="32"/>
  <c r="D50" i="27"/>
  <c r="D159" i="38"/>
  <c r="K159" i="38" s="1"/>
  <c r="Q159" i="38" s="1"/>
  <c r="D149" i="38"/>
  <c r="H150" i="38"/>
  <c r="N150" i="38" s="1"/>
  <c r="D202" i="38"/>
  <c r="K202" i="38" s="1"/>
  <c r="Q202" i="38" s="1"/>
  <c r="H193" i="38"/>
  <c r="N193" i="38" s="1"/>
  <c r="D192" i="38"/>
  <c r="N172" i="38"/>
  <c r="T172" i="38" s="1"/>
  <c r="U172" i="38" s="1"/>
  <c r="T151" i="38"/>
  <c r="U151" i="38" s="1"/>
  <c r="T194" i="38"/>
  <c r="U194" i="38" s="1"/>
  <c r="N215" i="38"/>
  <c r="T215" i="38" s="1"/>
  <c r="U215" i="38" s="1"/>
  <c r="N302" i="38"/>
  <c r="T302" i="38" s="1"/>
  <c r="U302" i="38" s="1"/>
  <c r="T281" i="38"/>
  <c r="U281" i="38" s="1"/>
  <c r="H366" i="38"/>
  <c r="N366" i="38" s="1"/>
  <c r="D365" i="38"/>
  <c r="D375" i="38"/>
  <c r="K375" i="38" s="1"/>
  <c r="Q375" i="38" s="1"/>
  <c r="D461" i="38"/>
  <c r="K461" i="38" s="1"/>
  <c r="Q461" i="38" s="1"/>
  <c r="H452" i="38"/>
  <c r="N452" i="38" s="1"/>
  <c r="D451" i="38"/>
  <c r="H280" i="38"/>
  <c r="N280" i="38" s="1"/>
  <c r="D289" i="38"/>
  <c r="K289" i="38" s="1"/>
  <c r="Q289" i="38" s="1"/>
  <c r="D279" i="38"/>
  <c r="T453" i="38"/>
  <c r="U453" i="38" s="1"/>
  <c r="N474" i="38"/>
  <c r="T474" i="38" s="1"/>
  <c r="U474" i="38" s="1"/>
  <c r="T367" i="38"/>
  <c r="U367" i="38" s="1"/>
  <c r="N388" i="38"/>
  <c r="T388" i="38" s="1"/>
  <c r="U388" i="38" s="1"/>
  <c r="H323" i="38"/>
  <c r="N323" i="38" s="1"/>
  <c r="D322" i="38"/>
  <c r="D332" i="38"/>
  <c r="K332" i="38" s="1"/>
  <c r="Q332" i="38" s="1"/>
  <c r="H236" i="38"/>
  <c r="N236" i="38" s="1"/>
  <c r="D245" i="38"/>
  <c r="K245" i="38" s="1"/>
  <c r="Q245" i="38" s="1"/>
  <c r="D235" i="38"/>
  <c r="D353" i="38"/>
  <c r="K353" i="38" s="1"/>
  <c r="Q353" i="38" s="1"/>
  <c r="H344" i="38"/>
  <c r="D343" i="38"/>
  <c r="T109" i="38"/>
  <c r="U109" i="38" s="1"/>
  <c r="N130" i="38"/>
  <c r="T130" i="38" s="1"/>
  <c r="U130" i="38" s="1"/>
  <c r="H214" i="38"/>
  <c r="D213" i="38"/>
  <c r="D223" i="38"/>
  <c r="K223" i="38" s="1"/>
  <c r="Q223" i="38" s="1"/>
  <c r="D64" i="38"/>
  <c r="D74" i="38"/>
  <c r="K74" i="38" s="1"/>
  <c r="Q74" i="38" s="1"/>
  <c r="H65" i="38"/>
  <c r="N65" i="38" s="1"/>
  <c r="H430" i="38"/>
  <c r="D439" i="38"/>
  <c r="K439" i="38" s="1"/>
  <c r="Q439" i="38" s="1"/>
  <c r="D429" i="38"/>
  <c r="N258" i="38"/>
  <c r="T258" i="38" s="1"/>
  <c r="U258" i="38" s="1"/>
  <c r="T237" i="38"/>
  <c r="U237" i="38" s="1"/>
  <c r="H108" i="38"/>
  <c r="N108" i="38" s="1"/>
  <c r="D117" i="38"/>
  <c r="K117" i="38" s="1"/>
  <c r="Q117" i="38" s="1"/>
  <c r="D107" i="38"/>
  <c r="H129" i="38"/>
  <c r="D138" i="38"/>
  <c r="K138" i="38" s="1"/>
  <c r="Q138" i="38" s="1"/>
  <c r="D128" i="38"/>
  <c r="T324" i="38"/>
  <c r="U324" i="38" s="1"/>
  <c r="N345" i="38"/>
  <c r="T345" i="38" s="1"/>
  <c r="U345" i="38" s="1"/>
  <c r="N87" i="38"/>
  <c r="T87" i="38" s="1"/>
  <c r="U87" i="38" s="1"/>
  <c r="T66" i="38"/>
  <c r="U66" i="38" s="1"/>
  <c r="L35" i="21"/>
  <c r="E50" i="27"/>
  <c r="L16" i="21"/>
  <c r="G70" i="21"/>
  <c r="E136" i="27" s="1"/>
  <c r="M198" i="38"/>
  <c r="G96" i="21"/>
  <c r="G134" i="27" s="1"/>
  <c r="E64" i="27"/>
  <c r="F64" i="27" s="1"/>
  <c r="L33" i="21"/>
  <c r="M33" i="21" s="1"/>
  <c r="H134" i="27" s="1"/>
  <c r="H18" i="23"/>
  <c r="H18" i="32"/>
  <c r="H386" i="38"/>
  <c r="D395" i="38"/>
  <c r="K395" i="38" s="1"/>
  <c r="Q395" i="38" s="1"/>
  <c r="D385" i="38"/>
  <c r="S118" i="38"/>
  <c r="M202" i="38"/>
  <c r="S192" i="38"/>
  <c r="S205" i="38"/>
  <c r="F69" i="21"/>
  <c r="S68" i="38"/>
  <c r="M77" i="38"/>
  <c r="F68" i="21"/>
  <c r="J34" i="32"/>
  <c r="I22" i="32"/>
  <c r="O56" i="21"/>
  <c r="I135" i="27" s="1"/>
  <c r="Q56" i="21"/>
  <c r="E83" i="27"/>
  <c r="I22" i="23"/>
  <c r="H84" i="38"/>
  <c r="D93" i="38"/>
  <c r="K93" i="38" s="1"/>
  <c r="Q93" i="38" s="1"/>
  <c r="Q195" i="38"/>
  <c r="K216" i="38"/>
  <c r="Q216" i="38" s="1"/>
  <c r="F477" i="38"/>
  <c r="K456" i="38"/>
  <c r="S73" i="38"/>
  <c r="H258" i="38"/>
  <c r="D257" i="38"/>
  <c r="D267" i="38"/>
  <c r="K267" i="38" s="1"/>
  <c r="Q267" i="38" s="1"/>
  <c r="G251" i="38"/>
  <c r="Q55" i="21"/>
  <c r="O55" i="21"/>
  <c r="I134" i="27" s="1"/>
  <c r="H22" i="23"/>
  <c r="H22" i="32"/>
  <c r="E82" i="27"/>
  <c r="F82" i="27" s="1"/>
  <c r="D84" i="27"/>
  <c r="D83" i="27"/>
  <c r="F281" i="38"/>
  <c r="F259" i="38"/>
  <c r="K238" i="38"/>
  <c r="M117" i="38"/>
  <c r="S107" i="38"/>
  <c r="S117" i="38" s="1"/>
  <c r="G98" i="21"/>
  <c r="C108" i="21" s="1"/>
  <c r="D108" i="21" s="1"/>
  <c r="G108" i="21" s="1"/>
  <c r="J24" i="24"/>
  <c r="J11" i="24"/>
  <c r="U443" i="38"/>
  <c r="K20" i="24"/>
  <c r="L12" i="24"/>
  <c r="S116" i="38"/>
  <c r="N41" i="38"/>
  <c r="D40" i="38"/>
  <c r="D50" i="38"/>
  <c r="K50" i="38" s="1"/>
  <c r="K434" i="38"/>
  <c r="L422" i="38"/>
  <c r="Q413" i="38"/>
  <c r="R422" i="38" s="1"/>
  <c r="O21" i="24"/>
  <c r="N13" i="24"/>
  <c r="M21" i="24"/>
  <c r="Q391" i="38"/>
  <c r="R400" i="38" s="1"/>
  <c r="L400" i="38"/>
  <c r="M204" i="38"/>
  <c r="S194" i="38"/>
  <c r="S204" i="38" s="1"/>
  <c r="M160" i="38"/>
  <c r="S150" i="38"/>
  <c r="S160" i="38" s="1"/>
  <c r="D16" i="21"/>
  <c r="F16" i="21" s="1"/>
  <c r="G16" i="21" s="1"/>
  <c r="C136" i="27" s="1"/>
  <c r="F15" i="21"/>
  <c r="U422" i="38"/>
  <c r="M111" i="38"/>
  <c r="E32" i="27"/>
  <c r="F32" i="27" s="1"/>
  <c r="H10" i="32"/>
  <c r="G41" i="21"/>
  <c r="D134" i="27" s="1"/>
  <c r="H10" i="23"/>
  <c r="C33" i="27"/>
  <c r="D33" i="27" s="1"/>
  <c r="I34" i="32"/>
  <c r="S162" i="38"/>
  <c r="S241" i="38"/>
  <c r="R241" i="38"/>
  <c r="H301" i="38"/>
  <c r="D300" i="38"/>
  <c r="D310" i="38"/>
  <c r="K310" i="38" s="1"/>
  <c r="Q310" i="38" s="1"/>
  <c r="H473" i="38"/>
  <c r="D472" i="38"/>
  <c r="D482" i="38"/>
  <c r="K482" i="38" s="1"/>
  <c r="Q482" i="38" s="1"/>
  <c r="L96" i="21" l="1"/>
  <c r="M96" i="21"/>
  <c r="Q236" i="38"/>
  <c r="K257" i="38"/>
  <c r="Q257" i="38" s="1"/>
  <c r="E114" i="27"/>
  <c r="F114" i="27" s="1"/>
  <c r="H30" i="23"/>
  <c r="H30" i="32"/>
  <c r="O95" i="21"/>
  <c r="M134" i="27" s="1"/>
  <c r="I27" i="32"/>
  <c r="P76" i="21"/>
  <c r="L135" i="27" s="1"/>
  <c r="I27" i="23"/>
  <c r="Q76" i="21"/>
  <c r="G99" i="27"/>
  <c r="H99" i="27" s="1"/>
  <c r="F387" i="38"/>
  <c r="F409" i="38"/>
  <c r="K366" i="38"/>
  <c r="L249" i="38"/>
  <c r="K261" i="38"/>
  <c r="Q240" i="38"/>
  <c r="R249" i="38" s="1"/>
  <c r="P95" i="21"/>
  <c r="N134" i="27" s="1"/>
  <c r="G114" i="27"/>
  <c r="H114" i="27" s="1"/>
  <c r="Q95" i="21"/>
  <c r="H31" i="23"/>
  <c r="H31" i="32"/>
  <c r="F97" i="21"/>
  <c r="F471" i="38"/>
  <c r="K450" i="38"/>
  <c r="I26" i="23"/>
  <c r="O76" i="21"/>
  <c r="K135" i="27" s="1"/>
  <c r="E99" i="27"/>
  <c r="F99" i="27" s="1"/>
  <c r="I26" i="32"/>
  <c r="Q218" i="38"/>
  <c r="R227" i="38" s="1"/>
  <c r="L227" i="38"/>
  <c r="F326" i="38"/>
  <c r="K283" i="38"/>
  <c r="F304" i="38"/>
  <c r="Q407" i="38"/>
  <c r="K428" i="38"/>
  <c r="Q428" i="38" s="1"/>
  <c r="E116" i="27"/>
  <c r="O77" i="21"/>
  <c r="O97" i="21"/>
  <c r="E100" i="27"/>
  <c r="K344" i="38"/>
  <c r="Q344" i="38" s="1"/>
  <c r="Q323" i="38"/>
  <c r="Q454" i="38"/>
  <c r="K475" i="38"/>
  <c r="Q475" i="38" s="1"/>
  <c r="F300" i="38"/>
  <c r="K279" i="38"/>
  <c r="F322" i="38"/>
  <c r="G116" i="27"/>
  <c r="P77" i="21"/>
  <c r="Q77" i="21"/>
  <c r="G100" i="27"/>
  <c r="P97" i="21"/>
  <c r="Q97" i="21"/>
  <c r="D43" i="21"/>
  <c r="F43" i="21" s="1"/>
  <c r="G43" i="21" s="1"/>
  <c r="D136" i="27" s="1"/>
  <c r="F42" i="21"/>
  <c r="N171" i="38"/>
  <c r="T171" i="38" s="1"/>
  <c r="U171" i="38" s="1"/>
  <c r="T150" i="38"/>
  <c r="U150" i="38" s="1"/>
  <c r="H192" i="38"/>
  <c r="N192" i="38" s="1"/>
  <c r="D201" i="38"/>
  <c r="K201" i="38" s="1"/>
  <c r="Q201" i="38" s="1"/>
  <c r="D158" i="38"/>
  <c r="K158" i="38" s="1"/>
  <c r="Q158" i="38" s="1"/>
  <c r="H149" i="38"/>
  <c r="N149" i="38" s="1"/>
  <c r="T193" i="38"/>
  <c r="U193" i="38" s="1"/>
  <c r="N214" i="38"/>
  <c r="T214" i="38" s="1"/>
  <c r="U214" i="38" s="1"/>
  <c r="D460" i="38"/>
  <c r="K460" i="38" s="1"/>
  <c r="Q460" i="38" s="1"/>
  <c r="H451" i="38"/>
  <c r="N451" i="38" s="1"/>
  <c r="D450" i="38"/>
  <c r="H365" i="38"/>
  <c r="N365" i="38" s="1"/>
  <c r="D374" i="38"/>
  <c r="K374" i="38" s="1"/>
  <c r="Q374" i="38" s="1"/>
  <c r="D364" i="38"/>
  <c r="H279" i="38"/>
  <c r="N279" i="38" s="1"/>
  <c r="D278" i="38"/>
  <c r="D288" i="38"/>
  <c r="K288" i="38" s="1"/>
  <c r="Q288" i="38" s="1"/>
  <c r="N473" i="38"/>
  <c r="T473" i="38" s="1"/>
  <c r="U473" i="38" s="1"/>
  <c r="T452" i="38"/>
  <c r="U452" i="38" s="1"/>
  <c r="T366" i="38"/>
  <c r="U366" i="38" s="1"/>
  <c r="N387" i="38"/>
  <c r="T387" i="38" s="1"/>
  <c r="U387" i="38" s="1"/>
  <c r="T280" i="38"/>
  <c r="U280" i="38" s="1"/>
  <c r="N301" i="38"/>
  <c r="T301" i="38" s="1"/>
  <c r="U301" i="38" s="1"/>
  <c r="T236" i="38"/>
  <c r="U236" i="38" s="1"/>
  <c r="N257" i="38"/>
  <c r="T257" i="38" s="1"/>
  <c r="U257" i="38" s="1"/>
  <c r="D116" i="38"/>
  <c r="K116" i="38" s="1"/>
  <c r="Q116" i="38" s="1"/>
  <c r="H107" i="38"/>
  <c r="N107" i="38" s="1"/>
  <c r="D106" i="38"/>
  <c r="N86" i="38"/>
  <c r="T86" i="38" s="1"/>
  <c r="U86" i="38" s="1"/>
  <c r="T65" i="38"/>
  <c r="U65" i="38" s="1"/>
  <c r="H213" i="38"/>
  <c r="D222" i="38"/>
  <c r="K222" i="38" s="1"/>
  <c r="Q222" i="38" s="1"/>
  <c r="H128" i="38"/>
  <c r="D137" i="38"/>
  <c r="K137" i="38" s="1"/>
  <c r="Q137" i="38" s="1"/>
  <c r="D127" i="38"/>
  <c r="H429" i="38"/>
  <c r="D428" i="38"/>
  <c r="D438" i="38"/>
  <c r="K438" i="38" s="1"/>
  <c r="Q438" i="38" s="1"/>
  <c r="D244" i="38"/>
  <c r="K244" i="38" s="1"/>
  <c r="Q244" i="38" s="1"/>
  <c r="H235" i="38"/>
  <c r="N235" i="38" s="1"/>
  <c r="H322" i="38"/>
  <c r="N322" i="38" s="1"/>
  <c r="D331" i="38"/>
  <c r="K331" i="38" s="1"/>
  <c r="Q331" i="38" s="1"/>
  <c r="D321" i="38"/>
  <c r="N129" i="38"/>
  <c r="T129" i="38" s="1"/>
  <c r="U129" i="38" s="1"/>
  <c r="T108" i="38"/>
  <c r="U108" i="38" s="1"/>
  <c r="H64" i="38"/>
  <c r="N64" i="38" s="1"/>
  <c r="D73" i="38"/>
  <c r="K73" i="38" s="1"/>
  <c r="Q73" i="38" s="1"/>
  <c r="D63" i="38"/>
  <c r="D342" i="38"/>
  <c r="H343" i="38"/>
  <c r="D352" i="38"/>
  <c r="K352" i="38" s="1"/>
  <c r="Q352" i="38" s="1"/>
  <c r="T323" i="38"/>
  <c r="U323" i="38" s="1"/>
  <c r="N344" i="38"/>
  <c r="T344" i="38" s="1"/>
  <c r="U344" i="38" s="1"/>
  <c r="O11" i="24"/>
  <c r="J16" i="24"/>
  <c r="D34" i="27"/>
  <c r="N22" i="24"/>
  <c r="K12" i="24"/>
  <c r="K24" i="24"/>
  <c r="K259" i="38"/>
  <c r="Q259" i="38" s="1"/>
  <c r="Q238" i="38"/>
  <c r="S203" i="38"/>
  <c r="K477" i="38"/>
  <c r="L465" i="38"/>
  <c r="Q456" i="38"/>
  <c r="R465" i="38" s="1"/>
  <c r="M155" i="38"/>
  <c r="I14" i="32"/>
  <c r="E49" i="27"/>
  <c r="L15" i="21"/>
  <c r="M15" i="21" s="1"/>
  <c r="F135" i="27" s="1"/>
  <c r="I14" i="23"/>
  <c r="G69" i="21"/>
  <c r="E135" i="27" s="1"/>
  <c r="G64" i="27"/>
  <c r="H64" i="27" s="1"/>
  <c r="H19" i="23"/>
  <c r="N33" i="21"/>
  <c r="H19" i="32"/>
  <c r="L21" i="24"/>
  <c r="M13" i="24"/>
  <c r="L443" i="38"/>
  <c r="Q434" i="38"/>
  <c r="R443" i="38" s="1"/>
  <c r="N40" i="38"/>
  <c r="D39" i="38"/>
  <c r="D49" i="38"/>
  <c r="K49" i="38" s="1"/>
  <c r="S77" i="38"/>
  <c r="S202" i="38"/>
  <c r="M35" i="21"/>
  <c r="M16" i="21"/>
  <c r="F324" i="38"/>
  <c r="F302" i="38"/>
  <c r="K281" i="38"/>
  <c r="H257" i="38"/>
  <c r="D256" i="38"/>
  <c r="D266" i="38"/>
  <c r="K266" i="38" s="1"/>
  <c r="Q266" i="38" s="1"/>
  <c r="H385" i="38"/>
  <c r="D394" i="38"/>
  <c r="K394" i="38" s="1"/>
  <c r="Q394" i="38" s="1"/>
  <c r="F50" i="27"/>
  <c r="M69" i="38"/>
  <c r="I6" i="32"/>
  <c r="G15" i="21"/>
  <c r="C135" i="27" s="1"/>
  <c r="E17" i="27"/>
  <c r="I6" i="23"/>
  <c r="O42" i="24"/>
  <c r="S111" i="38"/>
  <c r="M120" i="38"/>
  <c r="F83" i="27"/>
  <c r="F84" i="27"/>
  <c r="M154" i="38"/>
  <c r="G68" i="21"/>
  <c r="E134" i="27" s="1"/>
  <c r="E48" i="27"/>
  <c r="F48" i="27" s="1"/>
  <c r="H14" i="23"/>
  <c r="H35" i="23" s="1"/>
  <c r="L14" i="21"/>
  <c r="M14" i="21" s="1"/>
  <c r="F134" i="27" s="1"/>
  <c r="H14" i="32"/>
  <c r="H35" i="32" s="1"/>
  <c r="S159" i="38"/>
  <c r="S198" i="38"/>
  <c r="S207" i="38" s="1"/>
  <c r="M207" i="38"/>
  <c r="H300" i="38"/>
  <c r="D309" i="38"/>
  <c r="K309" i="38" s="1"/>
  <c r="Q309" i="38" s="1"/>
  <c r="D299" i="38"/>
  <c r="H472" i="38"/>
  <c r="D471" i="38"/>
  <c r="D481" i="38"/>
  <c r="K481" i="38" s="1"/>
  <c r="Q481" i="38" s="1"/>
  <c r="M136" i="27" l="1"/>
  <c r="N136" i="27"/>
  <c r="Q279" i="38"/>
  <c r="K300" i="38"/>
  <c r="Q300" i="38" s="1"/>
  <c r="K136" i="27"/>
  <c r="L136" i="27"/>
  <c r="K387" i="38"/>
  <c r="Q387" i="38" s="1"/>
  <c r="Q366" i="38"/>
  <c r="L292" i="38"/>
  <c r="K304" i="38"/>
  <c r="Q283" i="38"/>
  <c r="R292" i="38" s="1"/>
  <c r="Q450" i="38"/>
  <c r="K471" i="38"/>
  <c r="Q471" i="38" s="1"/>
  <c r="F452" i="38"/>
  <c r="F430" i="38"/>
  <c r="K409" i="38"/>
  <c r="F116" i="27"/>
  <c r="F100" i="27"/>
  <c r="F347" i="38"/>
  <c r="K326" i="38"/>
  <c r="F369" i="38"/>
  <c r="Q261" i="38"/>
  <c r="R270" i="38" s="1"/>
  <c r="L270" i="38"/>
  <c r="P96" i="21"/>
  <c r="N135" i="27" s="1"/>
  <c r="G115" i="27"/>
  <c r="H115" i="27" s="1"/>
  <c r="I31" i="32"/>
  <c r="I31" i="23"/>
  <c r="Q96" i="21"/>
  <c r="I10" i="32"/>
  <c r="I35" i="32" s="1"/>
  <c r="G42" i="21"/>
  <c r="D135" i="27" s="1"/>
  <c r="M112" i="38"/>
  <c r="I10" i="23"/>
  <c r="E33" i="27"/>
  <c r="H100" i="27"/>
  <c r="H116" i="27"/>
  <c r="K322" i="38"/>
  <c r="F365" i="38"/>
  <c r="F343" i="38"/>
  <c r="L34" i="21"/>
  <c r="M34" i="21" s="1"/>
  <c r="E65" i="27"/>
  <c r="I18" i="32"/>
  <c r="I18" i="23"/>
  <c r="G97" i="21"/>
  <c r="G135" i="27" s="1"/>
  <c r="E115" i="27"/>
  <c r="F115" i="27" s="1"/>
  <c r="I30" i="32"/>
  <c r="I30" i="23"/>
  <c r="O96" i="21"/>
  <c r="M135" i="27" s="1"/>
  <c r="T192" i="38"/>
  <c r="U192" i="38" s="1"/>
  <c r="U199" i="38" s="1"/>
  <c r="N213" i="38"/>
  <c r="T213" i="38" s="1"/>
  <c r="U213" i="38" s="1"/>
  <c r="U220" i="38" s="1"/>
  <c r="T149" i="38"/>
  <c r="U149" i="38" s="1"/>
  <c r="U156" i="38" s="1"/>
  <c r="N170" i="38"/>
  <c r="T170" i="38" s="1"/>
  <c r="U170" i="38" s="1"/>
  <c r="U177" i="38" s="1"/>
  <c r="M208" i="38"/>
  <c r="H278" i="38"/>
  <c r="N278" i="38" s="1"/>
  <c r="D287" i="38"/>
  <c r="K287" i="38" s="1"/>
  <c r="Q287" i="38" s="1"/>
  <c r="T365" i="38"/>
  <c r="U365" i="38" s="1"/>
  <c r="N386" i="38"/>
  <c r="T386" i="38" s="1"/>
  <c r="U386" i="38" s="1"/>
  <c r="T279" i="38"/>
  <c r="U279" i="38" s="1"/>
  <c r="N300" i="38"/>
  <c r="T300" i="38" s="1"/>
  <c r="U300" i="38" s="1"/>
  <c r="D459" i="38"/>
  <c r="K459" i="38" s="1"/>
  <c r="Q459" i="38" s="1"/>
  <c r="H450" i="38"/>
  <c r="N450" i="38" s="1"/>
  <c r="D373" i="38"/>
  <c r="K373" i="38" s="1"/>
  <c r="Q373" i="38" s="1"/>
  <c r="H364" i="38"/>
  <c r="N364" i="38" s="1"/>
  <c r="N472" i="38"/>
  <c r="T472" i="38" s="1"/>
  <c r="U472" i="38" s="1"/>
  <c r="T451" i="38"/>
  <c r="U451" i="38" s="1"/>
  <c r="N343" i="38"/>
  <c r="T343" i="38" s="1"/>
  <c r="U343" i="38" s="1"/>
  <c r="T322" i="38"/>
  <c r="U322" i="38" s="1"/>
  <c r="H428" i="38"/>
  <c r="D437" i="38"/>
  <c r="K437" i="38" s="1"/>
  <c r="Q437" i="38" s="1"/>
  <c r="D72" i="38"/>
  <c r="K72" i="38" s="1"/>
  <c r="Q72" i="38" s="1"/>
  <c r="H63" i="38"/>
  <c r="N63" i="38" s="1"/>
  <c r="N256" i="38"/>
  <c r="T256" i="38" s="1"/>
  <c r="U256" i="38" s="1"/>
  <c r="U263" i="38" s="1"/>
  <c r="T235" i="38"/>
  <c r="U235" i="38" s="1"/>
  <c r="U242" i="38" s="1"/>
  <c r="H106" i="38"/>
  <c r="N106" i="38" s="1"/>
  <c r="D115" i="38"/>
  <c r="K115" i="38" s="1"/>
  <c r="H342" i="38"/>
  <c r="D351" i="38"/>
  <c r="K351" i="38" s="1"/>
  <c r="Q351" i="38" s="1"/>
  <c r="H321" i="38"/>
  <c r="N321" i="38" s="1"/>
  <c r="D330" i="38"/>
  <c r="K330" i="38" s="1"/>
  <c r="Q330" i="38" s="1"/>
  <c r="H127" i="38"/>
  <c r="D136" i="38"/>
  <c r="K136" i="38" s="1"/>
  <c r="Q136" i="38" s="1"/>
  <c r="N128" i="38"/>
  <c r="T128" i="38" s="1"/>
  <c r="U128" i="38" s="1"/>
  <c r="T107" i="38"/>
  <c r="U107" i="38" s="1"/>
  <c r="T64" i="38"/>
  <c r="U64" i="38" s="1"/>
  <c r="N85" i="38"/>
  <c r="T85" i="38" s="1"/>
  <c r="U85" i="38" s="1"/>
  <c r="H256" i="38"/>
  <c r="D265" i="38"/>
  <c r="K265" i="38" s="1"/>
  <c r="Q265" i="38" s="1"/>
  <c r="M175" i="38"/>
  <c r="G48" i="27"/>
  <c r="H48" i="27" s="1"/>
  <c r="N14" i="21"/>
  <c r="H15" i="23"/>
  <c r="H36" i="23" s="1"/>
  <c r="H15" i="32"/>
  <c r="H36" i="32" s="1"/>
  <c r="M164" i="38"/>
  <c r="S154" i="38"/>
  <c r="M163" i="38"/>
  <c r="Q281" i="38"/>
  <c r="K302" i="38"/>
  <c r="Q302" i="38" s="1"/>
  <c r="P40" i="24"/>
  <c r="L13" i="24"/>
  <c r="M22" i="24"/>
  <c r="L24" i="24"/>
  <c r="M176" i="38"/>
  <c r="I15" i="32"/>
  <c r="N15" i="21"/>
  <c r="I15" i="23"/>
  <c r="G49" i="27"/>
  <c r="F367" i="38"/>
  <c r="F345" i="38"/>
  <c r="K324" i="38"/>
  <c r="F17" i="27"/>
  <c r="F18" i="27"/>
  <c r="S120" i="38"/>
  <c r="S208" i="38"/>
  <c r="F49" i="27"/>
  <c r="N14" i="24"/>
  <c r="O22" i="24"/>
  <c r="N23" i="24" s="1"/>
  <c r="N24" i="24" s="1"/>
  <c r="N39" i="38"/>
  <c r="D48" i="38"/>
  <c r="K48" i="38" s="1"/>
  <c r="M55" i="38" s="1"/>
  <c r="Q477" i="38"/>
  <c r="R486" i="38" s="1"/>
  <c r="L486" i="38"/>
  <c r="I35" i="23"/>
  <c r="K6" i="23" s="1"/>
  <c r="S69" i="38"/>
  <c r="M78" i="38"/>
  <c r="N35" i="21"/>
  <c r="G50" i="27"/>
  <c r="N16" i="21"/>
  <c r="F136" i="27"/>
  <c r="M165" i="38"/>
  <c r="S155" i="38"/>
  <c r="S165" i="38" s="1"/>
  <c r="O12" i="24"/>
  <c r="K16" i="24"/>
  <c r="H299" i="38"/>
  <c r="D308" i="38"/>
  <c r="K308" i="38" s="1"/>
  <c r="Q308" i="38" s="1"/>
  <c r="H471" i="38"/>
  <c r="D480" i="38"/>
  <c r="K480" i="38" s="1"/>
  <c r="Q480" i="38" s="1"/>
  <c r="F66" i="27" l="1"/>
  <c r="F65" i="27"/>
  <c r="Q322" i="38"/>
  <c r="K343" i="38"/>
  <c r="Q343" i="38" s="1"/>
  <c r="L335" i="38"/>
  <c r="K347" i="38"/>
  <c r="Q326" i="38"/>
  <c r="R335" i="38" s="1"/>
  <c r="Q409" i="38"/>
  <c r="K430" i="38"/>
  <c r="Q430" i="38" s="1"/>
  <c r="I36" i="32"/>
  <c r="H135" i="27"/>
  <c r="G65" i="27"/>
  <c r="I19" i="32"/>
  <c r="N34" i="21"/>
  <c r="I19" i="23"/>
  <c r="M121" i="38"/>
  <c r="S112" i="38"/>
  <c r="S121" i="38" s="1"/>
  <c r="I36" i="23"/>
  <c r="K452" i="38"/>
  <c r="F473" i="38"/>
  <c r="Q304" i="38"/>
  <c r="R313" i="38" s="1"/>
  <c r="L313" i="38"/>
  <c r="F386" i="38"/>
  <c r="K365" i="38"/>
  <c r="F408" i="38"/>
  <c r="F34" i="27"/>
  <c r="F33" i="27"/>
  <c r="F412" i="38"/>
  <c r="F390" i="38"/>
  <c r="K369" i="38"/>
  <c r="M79" i="38"/>
  <c r="K14" i="23"/>
  <c r="H49" i="27"/>
  <c r="U164" i="38"/>
  <c r="U185" i="38"/>
  <c r="U228" i="38"/>
  <c r="U207" i="38"/>
  <c r="T450" i="38"/>
  <c r="U450" i="38" s="1"/>
  <c r="U457" i="38" s="1"/>
  <c r="N471" i="38"/>
  <c r="T471" i="38" s="1"/>
  <c r="U471" i="38" s="1"/>
  <c r="U478" i="38" s="1"/>
  <c r="N385" i="38"/>
  <c r="T385" i="38" s="1"/>
  <c r="U385" i="38" s="1"/>
  <c r="U392" i="38" s="1"/>
  <c r="T364" i="38"/>
  <c r="U364" i="38" s="1"/>
  <c r="U371" i="38" s="1"/>
  <c r="N299" i="38"/>
  <c r="T299" i="38" s="1"/>
  <c r="U299" i="38" s="1"/>
  <c r="U306" i="38" s="1"/>
  <c r="T278" i="38"/>
  <c r="U278" i="38" s="1"/>
  <c r="U285" i="38" s="1"/>
  <c r="N127" i="38"/>
  <c r="T127" i="38" s="1"/>
  <c r="U127" i="38" s="1"/>
  <c r="U134" i="38" s="1"/>
  <c r="T106" i="38"/>
  <c r="U106" i="38" s="1"/>
  <c r="U113" i="38" s="1"/>
  <c r="U250" i="38"/>
  <c r="U271" i="38"/>
  <c r="T321" i="38"/>
  <c r="U321" i="38" s="1"/>
  <c r="U328" i="38" s="1"/>
  <c r="N342" i="38"/>
  <c r="T342" i="38" s="1"/>
  <c r="U342" i="38" s="1"/>
  <c r="U349" i="38" s="1"/>
  <c r="Q115" i="38"/>
  <c r="S122" i="38" s="1"/>
  <c r="M122" i="38"/>
  <c r="N84" i="38"/>
  <c r="T84" i="38" s="1"/>
  <c r="U84" i="38" s="1"/>
  <c r="U91" i="38" s="1"/>
  <c r="T63" i="38"/>
  <c r="U63" i="38" s="1"/>
  <c r="U70" i="38" s="1"/>
  <c r="K26" i="23"/>
  <c r="K22" i="23"/>
  <c r="K18" i="23"/>
  <c r="K30" i="23"/>
  <c r="K10" i="23"/>
  <c r="Q324" i="38"/>
  <c r="K345" i="38"/>
  <c r="Q345" i="38" s="1"/>
  <c r="P42" i="24"/>
  <c r="L36" i="23" s="1"/>
  <c r="L6" i="23" s="1"/>
  <c r="M6" i="23" s="1"/>
  <c r="H50" i="27"/>
  <c r="S79" i="38"/>
  <c r="S78" i="38"/>
  <c r="M185" i="38"/>
  <c r="M184" i="38"/>
  <c r="O23" i="24"/>
  <c r="N15" i="24"/>
  <c r="O15" i="24" s="1"/>
  <c r="K367" i="38"/>
  <c r="F388" i="38"/>
  <c r="F410" i="38"/>
  <c r="M14" i="24"/>
  <c r="M24" i="24"/>
  <c r="S164" i="38"/>
  <c r="S163" i="38"/>
  <c r="N16" i="24"/>
  <c r="O13" i="24"/>
  <c r="L16" i="24"/>
  <c r="L10" i="23" l="1"/>
  <c r="M10" i="23" s="1"/>
  <c r="J10" i="32" s="1"/>
  <c r="L26" i="23"/>
  <c r="M26" i="23" s="1"/>
  <c r="J26" i="32" s="1"/>
  <c r="F455" i="38"/>
  <c r="K412" i="38"/>
  <c r="F433" i="38"/>
  <c r="K386" i="38"/>
  <c r="Q386" i="38" s="1"/>
  <c r="Q365" i="38"/>
  <c r="H65" i="27"/>
  <c r="H66" i="27"/>
  <c r="Q452" i="38"/>
  <c r="K473" i="38"/>
  <c r="Q473" i="38" s="1"/>
  <c r="K390" i="38"/>
  <c r="L378" i="38"/>
  <c r="Q369" i="38"/>
  <c r="R378" i="38" s="1"/>
  <c r="L356" i="38"/>
  <c r="Q347" i="38"/>
  <c r="R356" i="38" s="1"/>
  <c r="K408" i="38"/>
  <c r="F429" i="38"/>
  <c r="F451" i="38"/>
  <c r="L14" i="23"/>
  <c r="M14" i="23" s="1"/>
  <c r="J14" i="32" s="1"/>
  <c r="U314" i="38"/>
  <c r="U379" i="38"/>
  <c r="U400" i="38"/>
  <c r="U486" i="38"/>
  <c r="U293" i="38"/>
  <c r="U465" i="38"/>
  <c r="U142" i="38"/>
  <c r="U78" i="38"/>
  <c r="U357" i="38"/>
  <c r="U99" i="38"/>
  <c r="U336" i="38"/>
  <c r="U121" i="38"/>
  <c r="J6" i="32"/>
  <c r="K36" i="23"/>
  <c r="O14" i="24"/>
  <c r="M16" i="24"/>
  <c r="O16" i="24" s="1"/>
  <c r="L18" i="23"/>
  <c r="M18" i="23" s="1"/>
  <c r="K388" i="38"/>
  <c r="Q388" i="38" s="1"/>
  <c r="Q367" i="38"/>
  <c r="K410" i="38"/>
  <c r="F431" i="38"/>
  <c r="F453" i="38"/>
  <c r="M186" i="38"/>
  <c r="L22" i="23"/>
  <c r="M22" i="23" s="1"/>
  <c r="L30" i="23"/>
  <c r="M30" i="23" s="1"/>
  <c r="M27" i="23" l="1"/>
  <c r="J27" i="32" s="1"/>
  <c r="L399" i="38"/>
  <c r="Q390" i="38"/>
  <c r="R399" i="38" s="1"/>
  <c r="K433" i="38"/>
  <c r="L421" i="38"/>
  <c r="Q412" i="38"/>
  <c r="R421" i="38" s="1"/>
  <c r="K451" i="38"/>
  <c r="F472" i="38"/>
  <c r="K455" i="38"/>
  <c r="F476" i="38"/>
  <c r="K429" i="38"/>
  <c r="Q429" i="38" s="1"/>
  <c r="Q408" i="38"/>
  <c r="M15" i="23"/>
  <c r="Q410" i="38"/>
  <c r="K431" i="38"/>
  <c r="Q431" i="38" s="1"/>
  <c r="J18" i="32"/>
  <c r="M19" i="23"/>
  <c r="J19" i="32" s="1"/>
  <c r="M35" i="23"/>
  <c r="M31" i="23"/>
  <c r="J31" i="32" s="1"/>
  <c r="J30" i="32"/>
  <c r="J22" i="32"/>
  <c r="M23" i="23"/>
  <c r="J23" i="32" s="1"/>
  <c r="K453" i="38"/>
  <c r="F474" i="38"/>
  <c r="J15" i="32"/>
  <c r="Q455" i="38" l="1"/>
  <c r="R464" i="38" s="1"/>
  <c r="K476" i="38"/>
  <c r="L464" i="38"/>
  <c r="Q433" i="38"/>
  <c r="R442" i="38" s="1"/>
  <c r="L442" i="38"/>
  <c r="K472" i="38"/>
  <c r="Q472" i="38" s="1"/>
  <c r="Q451" i="38"/>
  <c r="J35" i="32"/>
  <c r="J36" i="32"/>
  <c r="M36" i="23"/>
  <c r="K474" i="38"/>
  <c r="Q474" i="38" s="1"/>
  <c r="Q453" i="38"/>
  <c r="L485" i="38" l="1"/>
  <c r="Q476" i="38"/>
  <c r="R485"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Manuela Ris-Schofield</author>
  </authors>
  <commentList>
    <comment ref="M18" authorId="0" shapeId="0" xr:uid="{6D97E741-39CC-48FC-9DDF-38998FE6A3D3}">
      <text>
        <r>
          <rPr>
            <b/>
            <sz val="9"/>
            <color indexed="81"/>
            <rFont val="Tahoma"/>
            <charset val="1"/>
          </rPr>
          <t>Manuela Ris-Schofield:</t>
        </r>
        <r>
          <rPr>
            <sz val="9"/>
            <color indexed="81"/>
            <rFont val="Tahoma"/>
            <charset val="1"/>
          </rPr>
          <t xml:space="preserve">
from 2015 presistance report</t>
        </r>
      </text>
    </comment>
    <comment ref="M19" authorId="0" shapeId="0" xr:uid="{939A127B-ED25-4202-B9C7-B5A1E0133997}">
      <text>
        <r>
          <rPr>
            <b/>
            <sz val="9"/>
            <color indexed="81"/>
            <rFont val="Tahoma"/>
            <charset val="1"/>
          </rPr>
          <t>Manuela Ris-Schofield:</t>
        </r>
        <r>
          <rPr>
            <sz val="9"/>
            <color indexed="81"/>
            <rFont val="Tahoma"/>
            <charset val="1"/>
          </rPr>
          <t xml:space="preserve">
from 2016 persitance report</t>
        </r>
      </text>
    </comment>
  </commentList>
</comments>
</file>

<file path=xl/sharedStrings.xml><?xml version="1.0" encoding="utf-8"?>
<sst xmlns="http://schemas.openxmlformats.org/spreadsheetml/2006/main" count="1373" uniqueCount="314">
  <si>
    <t>Standard Error</t>
  </si>
  <si>
    <t>F - Statistic</t>
  </si>
  <si>
    <t xml:space="preserve"> Multiple Regression Equation</t>
  </si>
  <si>
    <t>Independent Analysis</t>
  </si>
  <si>
    <t>Coefficients</t>
  </si>
  <si>
    <t xml:space="preserve"> Intercept</t>
  </si>
  <si>
    <t>Intercept</t>
  </si>
  <si>
    <t>Equation Parameters</t>
  </si>
  <si>
    <t>Exponential</t>
  </si>
  <si>
    <t>Linear</t>
  </si>
  <si>
    <t>Int</t>
  </si>
  <si>
    <t>Leave Blank</t>
  </si>
  <si>
    <t>3rd Ord Poly</t>
  </si>
  <si>
    <t>2nd Ord Poly</t>
  </si>
  <si>
    <t xml:space="preserve"> R Squared</t>
  </si>
  <si>
    <t>Forecast Output</t>
  </si>
  <si>
    <t>Auto Correlation</t>
  </si>
  <si>
    <t>DW-Stat</t>
  </si>
  <si>
    <t xml:space="preserve">Adjusted R-Squared against other Indep </t>
  </si>
  <si>
    <t>Forecast Method</t>
  </si>
  <si>
    <t>Durbin-Watson Statistic</t>
  </si>
  <si>
    <t>Adjusted R Squared</t>
  </si>
  <si>
    <t>t Stat</t>
  </si>
  <si>
    <t>p Value</t>
  </si>
  <si>
    <t>Multicollinearity</t>
  </si>
  <si>
    <t>UPPER</t>
  </si>
  <si>
    <t>LOWER</t>
  </si>
  <si>
    <t>Coef</t>
  </si>
  <si>
    <t>RSQ</t>
  </si>
  <si>
    <t>Coef1</t>
  </si>
  <si>
    <t>Coef2</t>
  </si>
  <si>
    <t>Coef3</t>
  </si>
  <si>
    <t>2nd Order Polynominal</t>
  </si>
  <si>
    <t>3rd Order Polynomial</t>
  </si>
  <si>
    <t>Variable Trend Analysis For Forecasting</t>
  </si>
  <si>
    <t>to +/- on result of Regression Equation</t>
  </si>
  <si>
    <t xml:space="preserve">Step 2: </t>
  </si>
  <si>
    <t>95% Confidence/Autocorrelation</t>
  </si>
  <si>
    <t>Coefficient</t>
  </si>
  <si>
    <t xml:space="preserve">Coefficients: </t>
  </si>
  <si>
    <t>No. Forecast Observations:</t>
  </si>
  <si>
    <t>Include</t>
  </si>
  <si>
    <t>Feature Selection</t>
  </si>
  <si>
    <t>Minimum R-Squared</t>
  </si>
  <si>
    <t>Critical F-Statistic - 95% Confidence</t>
  </si>
  <si>
    <t>Confidence to which analysis holds</t>
  </si>
  <si>
    <t>ON</t>
  </si>
  <si>
    <t xml:space="preserve">Add More Variable Columns </t>
  </si>
  <si>
    <t>Variables With RSQ at &gt; 90%</t>
  </si>
  <si>
    <t>WS</t>
  </si>
  <si>
    <t>HDD</t>
  </si>
  <si>
    <t>CDD</t>
  </si>
  <si>
    <t>Last Rebasing Year</t>
  </si>
  <si>
    <t>Test Year</t>
  </si>
  <si>
    <t>Bridge Year</t>
  </si>
  <si>
    <t>Assigned EB Number</t>
  </si>
  <si>
    <t xml:space="preserve">Utility Name   </t>
  </si>
  <si>
    <t>LDC Info</t>
  </si>
  <si>
    <t>other</t>
  </si>
  <si>
    <t xml:space="preserve"> </t>
  </si>
  <si>
    <t>Street Lighting</t>
  </si>
  <si>
    <t>Sentinel Lights</t>
  </si>
  <si>
    <t>Intermediate</t>
  </si>
  <si>
    <t>General Service &lt; 50 kW</t>
  </si>
  <si>
    <t>Residential</t>
  </si>
  <si>
    <t>Customer Class Name</t>
  </si>
  <si>
    <t>Customer Class</t>
  </si>
  <si>
    <t>December</t>
  </si>
  <si>
    <t>November</t>
  </si>
  <si>
    <t>October</t>
  </si>
  <si>
    <t>September</t>
  </si>
  <si>
    <t>August</t>
  </si>
  <si>
    <t>July</t>
  </si>
  <si>
    <t>June</t>
  </si>
  <si>
    <t>May</t>
  </si>
  <si>
    <t>April</t>
  </si>
  <si>
    <t>March</t>
  </si>
  <si>
    <t>February</t>
  </si>
  <si>
    <t>January</t>
  </si>
  <si>
    <t>Montth</t>
  </si>
  <si>
    <t>Year</t>
  </si>
  <si>
    <t>kWh</t>
  </si>
  <si>
    <t>kW</t>
  </si>
  <si>
    <t>Total</t>
  </si>
  <si>
    <r>
      <t xml:space="preserve">Consumption should reflect usage in the month, </t>
    </r>
    <r>
      <rPr>
        <b/>
        <u/>
        <sz val="11"/>
        <rFont val="Arial"/>
        <family val="2"/>
      </rPr>
      <t>not the month in which it was billed</t>
    </r>
    <r>
      <rPr>
        <b/>
        <sz val="11"/>
        <rFont val="Arial"/>
        <family val="2"/>
      </rPr>
      <t xml:space="preserve"> (e.g what was used in January not what was billed in January, etc.).</t>
    </r>
  </si>
  <si>
    <t>2) Number of customers is defined as number of connections (i.e., meters). Add or delete rate classes as appropriate.</t>
  </si>
  <si>
    <t>1) "Metered" or Class consumption is monthly usage measured at the retail meter, unadjusted for losses (i.e., the retail consumption amount)</t>
  </si>
  <si>
    <t xml:space="preserve">Notes: </t>
  </si>
  <si>
    <t>Adjusted</t>
  </si>
  <si>
    <t>In the section below, LDCs can adjust the computed customer count for the Bridge and Test Year for special cirumstance such as new subdivision or loss of customer or other utiliy specific reasons.</t>
  </si>
  <si>
    <t>Geomean</t>
  </si>
  <si>
    <t>Growth Rate</t>
  </si>
  <si>
    <t>Customers or Connections</t>
  </si>
  <si>
    <t>Date</t>
  </si>
  <si>
    <t>Customer Growth Chart</t>
  </si>
  <si>
    <t>Revised Wholesale Purchases</t>
  </si>
  <si>
    <t>Unadjusted Wholesale Purchases kWh</t>
  </si>
  <si>
    <t>Variables Used</t>
  </si>
  <si>
    <t>Added Load</t>
  </si>
  <si>
    <t>Per Customer Weather Normalized</t>
  </si>
  <si>
    <t>New Customer</t>
  </si>
  <si>
    <t>Per Customer Weather Normalized (based on 2012 cust count)</t>
  </si>
  <si>
    <t>GS&lt;50</t>
  </si>
  <si>
    <t>Load corrected based on utility input</t>
  </si>
  <si>
    <t>Per customer</t>
  </si>
  <si>
    <t>Weather Normal</t>
  </si>
  <si>
    <t>Ratio%</t>
  </si>
  <si>
    <t>Avg</t>
  </si>
  <si>
    <t>kWh per connection</t>
  </si>
  <si>
    <t>Connection</t>
  </si>
  <si>
    <t>KW/kWh Ratio</t>
  </si>
  <si>
    <t>KW per connection</t>
  </si>
  <si>
    <t>Cust/Conn</t>
  </si>
  <si>
    <t>Weather Adjusted Load Forecast Results</t>
  </si>
  <si>
    <t>Target</t>
  </si>
  <si>
    <t>Share</t>
  </si>
  <si>
    <t>Amount used for CDM threshold for LRAMVA (2014)</t>
  </si>
  <si>
    <t xml:space="preserve">Default Value selection rationale.  </t>
  </si>
  <si>
    <t>Weight Factor for each year's CDM program impact on 2014 load forecast</t>
  </si>
  <si>
    <t>Weight Factor for Inclusion in CDM Adjustment to 2014 Load Forecast</t>
  </si>
  <si>
    <t>Total in Year</t>
  </si>
  <si>
    <t>2014 CDM Programs</t>
  </si>
  <si>
    <t>2013 CDM Programs</t>
  </si>
  <si>
    <t>2012 CDM Programs</t>
  </si>
  <si>
    <t>2011 CDM Programs</t>
  </si>
  <si>
    <t>4 Year (2011-2014) kWh Target:</t>
  </si>
  <si>
    <t>GS&gt;50</t>
  </si>
  <si>
    <t xml:space="preserve">Average per customer </t>
  </si>
  <si>
    <t>%chg</t>
  </si>
  <si>
    <t>Cust</t>
  </si>
  <si>
    <t>Consumption</t>
  </si>
  <si>
    <t>Customer/ Connection</t>
  </si>
  <si>
    <t>Wholesale Purchases</t>
  </si>
  <si>
    <t>Retail Consumption</t>
  </si>
  <si>
    <t>Wholesale</t>
  </si>
  <si>
    <t>Adjustements to Wholesale Purchases</t>
  </si>
  <si>
    <t>Load Forecast CDM Adjustment Work Form (2015)</t>
  </si>
  <si>
    <t>2011-2014 CDM Program - 2014, last year of the current CDM plan</t>
  </si>
  <si>
    <t>2015-2020 CDM Program - 2015, first year of the current CDM plan</t>
  </si>
  <si>
    <t>6 Year (2015-2020) kWh Target:</t>
  </si>
  <si>
    <t>%</t>
  </si>
  <si>
    <t>2015 CDM Programs</t>
  </si>
  <si>
    <t>2016 CDM Programs</t>
  </si>
  <si>
    <t>2017 CDM Programs</t>
  </si>
  <si>
    <t>2018 CDM Programs</t>
  </si>
  <si>
    <t>2019 CDM Programs</t>
  </si>
  <si>
    <t>2020 CDM Programs</t>
  </si>
  <si>
    <t>Distributor can select "0", "0.5", or "1" from drop-down list</t>
  </si>
  <si>
    <t>2011-2014 and 2015-2020 LRAMVA and 2015 CDM adjustment to Load Forecast</t>
  </si>
  <si>
    <t>2011 CDM adjustment (per Board Decision in 2011 Cost of Service Application)</t>
  </si>
  <si>
    <t xml:space="preserve"> Adjusted load from 2015 Forecast</t>
  </si>
  <si>
    <t xml:space="preserve">Total Wholesale </t>
  </si>
  <si>
    <t>Actual kWh</t>
  </si>
  <si>
    <t>Weather Sensitive</t>
  </si>
  <si>
    <t>Non-Weather Sensitive</t>
  </si>
  <si>
    <t>kWh Purchased</t>
  </si>
  <si>
    <t>year over year</t>
  </si>
  <si>
    <t>Purch. VS Adj.</t>
  </si>
  <si>
    <t>Mean Average Percentage Error (Mape) :</t>
  </si>
  <si>
    <t xml:space="preserve">in column A: Actual value </t>
  </si>
  <si>
    <t xml:space="preserve">in column B: Forecast value </t>
  </si>
  <si>
    <t xml:space="preserve">in column C: =IF(ABS(A2-B2)=0,0,ABS(A2-B2)/A2*100) </t>
  </si>
  <si>
    <t xml:space="preserve">calculate an average of column C ( =AVERAGE(C2:Cx) and you have the MAPE in percent. </t>
  </si>
  <si>
    <t>Median</t>
  </si>
  <si>
    <t>Mean</t>
  </si>
  <si>
    <t>Adjustments</t>
  </si>
  <si>
    <t>Origine of variables</t>
  </si>
  <si>
    <t>HDD: Stats Canada</t>
  </si>
  <si>
    <t>CDD :Stats Canada</t>
  </si>
  <si>
    <t>AVG Temp: Stats Canada</t>
  </si>
  <si>
    <t>Variance Inflation Factor</t>
  </si>
  <si>
    <t>Residential Actual kWh</t>
  </si>
  <si>
    <t xml:space="preserve">Total Actual Wholesale </t>
  </si>
  <si>
    <t>Residential Weather Normal</t>
  </si>
  <si>
    <t>(F2 to toggle between value and formula)</t>
  </si>
  <si>
    <t>(without impacts of CDM)</t>
  </si>
  <si>
    <t>R Squared</t>
  </si>
  <si>
    <t>kWh/cust</t>
  </si>
  <si>
    <t>kW/cust</t>
  </si>
  <si>
    <t xml:space="preserve">Sentinel </t>
  </si>
  <si>
    <t>kWh/conn</t>
  </si>
  <si>
    <t>kW/conn</t>
  </si>
  <si>
    <t>StreetLights</t>
  </si>
  <si>
    <t xml:space="preserve">Winter: </t>
  </si>
  <si>
    <t xml:space="preserve">Employment: </t>
  </si>
  <si>
    <t xml:space="preserve">Cust count: </t>
  </si>
  <si>
    <t>Utiliyt Name</t>
  </si>
  <si>
    <t>EB-0000-0000</t>
  </si>
  <si>
    <t>USL</t>
  </si>
  <si>
    <t>Unmetered Scattered Load</t>
  </si>
  <si>
    <t>Number of Customer/ Connection</t>
  </si>
  <si>
    <t>Daylight hours</t>
  </si>
  <si>
    <t>Total for 2018</t>
  </si>
  <si>
    <t xml:space="preserve">Final Adjusted (kWh) </t>
  </si>
  <si>
    <t>Sentinel</t>
  </si>
  <si>
    <t xml:space="preserve">Actual Wholesale vs Post Adjustment Wholesale </t>
  </si>
  <si>
    <t>Actual Wholesale VS Weather Adjsuted Wholesale</t>
  </si>
  <si>
    <t>General Service &gt; 50 to 2999 kW</t>
  </si>
  <si>
    <t>General Service &gt; 3000 to 4999 kW</t>
  </si>
  <si>
    <t>Number of Days in Month</t>
  </si>
  <si>
    <t>Employment Stats</t>
  </si>
  <si>
    <t>Spring Flag</t>
  </si>
  <si>
    <t>GSW</t>
  </si>
  <si>
    <t>No autocorrelation detected</t>
  </si>
  <si>
    <t>OFF</t>
  </si>
  <si>
    <t>='Input - Customer Data'!E20</t>
  </si>
  <si>
    <t>2008</t>
  </si>
  <si>
    <t>2009</t>
  </si>
  <si>
    <t>2010</t>
  </si>
  <si>
    <t>2011</t>
  </si>
  <si>
    <t>2012</t>
  </si>
  <si>
    <t>2013</t>
  </si>
  <si>
    <t>2014</t>
  </si>
  <si>
    <t>2015</t>
  </si>
  <si>
    <t>2016</t>
  </si>
  <si>
    <t>2017</t>
  </si>
  <si>
    <t>2018</t>
  </si>
  <si>
    <t xml:space="preserve">2018 CDM Adjusted (kWh) </t>
  </si>
  <si>
    <t>GS&gt;3000</t>
  </si>
  <si>
    <t>Loblaw</t>
  </si>
  <si>
    <t xml:space="preserve">Street Ligthing </t>
  </si>
  <si>
    <t>Manual Adjustment for 2018 Load Forecast (billed basis)</t>
  </si>
  <si>
    <t>Period</t>
  </si>
  <si>
    <t>Actual</t>
  </si>
  <si>
    <t>Forecast</t>
  </si>
  <si>
    <t>Error</t>
  </si>
  <si>
    <t xml:space="preserve">Absolute Value of Error </t>
  </si>
  <si>
    <t>Square  of Error</t>
  </si>
  <si>
    <t>Absolute Values of Errors Divided by Actual Values.</t>
  </si>
  <si>
    <t>t</t>
  </si>
  <si>
    <r>
      <t xml:space="preserve"> A</t>
    </r>
    <r>
      <rPr>
        <vertAlign val="subscript"/>
        <sz val="11"/>
        <color indexed="8"/>
        <rFont val="Arial"/>
        <family val="2"/>
      </rPr>
      <t>t</t>
    </r>
  </si>
  <si>
    <r>
      <t>F</t>
    </r>
    <r>
      <rPr>
        <vertAlign val="subscript"/>
        <sz val="11"/>
        <color indexed="8"/>
        <rFont val="Arial"/>
        <family val="2"/>
      </rPr>
      <t>t</t>
    </r>
  </si>
  <si>
    <r>
      <t xml:space="preserve"> A</t>
    </r>
    <r>
      <rPr>
        <vertAlign val="subscript"/>
        <sz val="11"/>
        <color indexed="8"/>
        <rFont val="Arial"/>
        <family val="2"/>
      </rPr>
      <t xml:space="preserve">t </t>
    </r>
    <r>
      <rPr>
        <sz val="10"/>
        <rFont val="Arial"/>
        <family val="2"/>
      </rPr>
      <t>-F</t>
    </r>
    <r>
      <rPr>
        <vertAlign val="subscript"/>
        <sz val="11"/>
        <color indexed="8"/>
        <rFont val="Arial"/>
        <family val="2"/>
      </rPr>
      <t>t</t>
    </r>
  </si>
  <si>
    <r>
      <t>| A</t>
    </r>
    <r>
      <rPr>
        <vertAlign val="subscript"/>
        <sz val="11"/>
        <color indexed="8"/>
        <rFont val="Arial"/>
        <family val="2"/>
      </rPr>
      <t>t</t>
    </r>
    <r>
      <rPr>
        <sz val="10"/>
        <rFont val="Arial"/>
        <family val="2"/>
      </rPr>
      <t xml:space="preserve"> -F</t>
    </r>
    <r>
      <rPr>
        <vertAlign val="subscript"/>
        <sz val="11"/>
        <color indexed="8"/>
        <rFont val="Arial"/>
        <family val="2"/>
      </rPr>
      <t>t</t>
    </r>
    <r>
      <rPr>
        <sz val="10"/>
        <rFont val="Arial"/>
        <family val="2"/>
      </rPr>
      <t>|</t>
    </r>
  </si>
  <si>
    <r>
      <t>( A</t>
    </r>
    <r>
      <rPr>
        <vertAlign val="subscript"/>
        <sz val="11"/>
        <color indexed="8"/>
        <rFont val="Arial"/>
        <family val="2"/>
      </rPr>
      <t>t</t>
    </r>
    <r>
      <rPr>
        <sz val="10"/>
        <rFont val="Arial"/>
        <family val="2"/>
      </rPr>
      <t xml:space="preserve"> -F</t>
    </r>
    <r>
      <rPr>
        <vertAlign val="subscript"/>
        <sz val="11"/>
        <color indexed="8"/>
        <rFont val="Arial"/>
        <family val="2"/>
      </rPr>
      <t>t</t>
    </r>
    <r>
      <rPr>
        <sz val="10"/>
        <rFont val="Arial"/>
        <family val="2"/>
      </rPr>
      <t>)^2</t>
    </r>
  </si>
  <si>
    <r>
      <t>| (A</t>
    </r>
    <r>
      <rPr>
        <vertAlign val="subscript"/>
        <sz val="11"/>
        <color indexed="8"/>
        <rFont val="Arial"/>
        <family val="2"/>
      </rPr>
      <t>t</t>
    </r>
    <r>
      <rPr>
        <sz val="10"/>
        <rFont val="Arial"/>
        <family val="2"/>
      </rPr>
      <t xml:space="preserve"> -F</t>
    </r>
    <r>
      <rPr>
        <vertAlign val="subscript"/>
        <sz val="11"/>
        <color indexed="8"/>
        <rFont val="Arial"/>
        <family val="2"/>
      </rPr>
      <t>t</t>
    </r>
    <r>
      <rPr>
        <sz val="10"/>
        <rFont val="Arial"/>
        <family val="2"/>
      </rPr>
      <t>)/A</t>
    </r>
    <r>
      <rPr>
        <vertAlign val="subscript"/>
        <sz val="11"/>
        <color indexed="8"/>
        <rFont val="Arial"/>
        <family val="2"/>
      </rPr>
      <t>t</t>
    </r>
    <r>
      <rPr>
        <sz val="10"/>
        <rFont val="Arial"/>
        <family val="2"/>
      </rPr>
      <t>|</t>
    </r>
  </si>
  <si>
    <t>Totals</t>
  </si>
  <si>
    <t xml:space="preserve">Variance </t>
  </si>
  <si>
    <t>Fixed</t>
  </si>
  <si>
    <t>Variable</t>
  </si>
  <si>
    <t>Revenues</t>
  </si>
  <si>
    <t>Streetlighting</t>
  </si>
  <si>
    <t>2013 Board Approved</t>
  </si>
  <si>
    <t>General Service 50 to 2999 kW</t>
  </si>
  <si>
    <t>General Service 3000-4999 kW</t>
  </si>
  <si>
    <t>Sentinel Lighting</t>
  </si>
  <si>
    <t>File Number:</t>
  </si>
  <si>
    <t>Exhibit:</t>
  </si>
  <si>
    <t>Tab:</t>
  </si>
  <si>
    <t>Schedule:</t>
  </si>
  <si>
    <t>Page:</t>
  </si>
  <si>
    <t>Date:</t>
  </si>
  <si>
    <t>Appendix 2-IB</t>
  </si>
  <si>
    <t>Customer, Connections, Load Forecast and Revenues Data and Analysis</t>
  </si>
  <si>
    <t>This sheet requires no inputs, but serves as a summary of the hiostorical and forecasted data to be provided with respect to:</t>
  </si>
  <si>
    <t>1)</t>
  </si>
  <si>
    <t>Customers and connections</t>
  </si>
  <si>
    <t>2)</t>
  </si>
  <si>
    <t>Consumption (kWh)</t>
  </si>
  <si>
    <t>3)</t>
  </si>
  <si>
    <t>Demand (kW or kCA) for applicable demand-billed customer classes</t>
  </si>
  <si>
    <t>4)</t>
  </si>
  <si>
    <t>The spreadsheet summarizes the data provided and the analyses (variance or year-over-year) that are required. Data are required to be provided on a customer class level. Consumption (kWh) must also be provided on a total distribution system level.</t>
  </si>
  <si>
    <t>Appendix 2-IB (formerly 2-IA) is the appendix spreadsheet that the distributor populates, and the spreadsheet is laid out for inputting the necessary data. The spreadsheet also calculates necessary statistics such as average consumption per customer/connection per year, and variances and % annual changes, as necessary.</t>
  </si>
  <si>
    <t>The distributor is required to provide suitable documentation in Exhibit 3 of its Application, in accordance with section 2.3.2 of Chaoter 2 of the Filing Requirements. This would include explanations for material variations or of trends in the data.</t>
  </si>
  <si>
    <t>The distributor is also required to input its test year customer/connection and load forecast in Sheet 10 - Load Forecast of the Revenue Requirement Work Form. This sheet should also be updated to reflect changes in the load forecast made through the stages of processing of the rates application.</t>
  </si>
  <si>
    <t>The applicant must demonstrate the historical accuracy of its load forecast approach for at least the past 5 years. Such analysis will cover both customer/connections and consumption (kWh) and demand (kW or kVA) by providing the following, as shown in the following table:</t>
  </si>
  <si>
    <t>This sheet is to be filled in accordance with the instructions documented in section 2.3.2 of Chapter 2 of the Filing Requirements for Distribution Rate Applications, in terms of one set of tables per customer class.</t>
  </si>
  <si>
    <t>Color coding for Cells:</t>
  </si>
  <si>
    <t>Data input</t>
  </si>
  <si>
    <t>Drop-down List</t>
  </si>
  <si>
    <t>No data entry required</t>
  </si>
  <si>
    <t>Blank or calculated value</t>
  </si>
  <si>
    <t>Distribution System (Total)</t>
  </si>
  <si>
    <t>Calendar Year</t>
  </si>
  <si>
    <r>
      <t xml:space="preserve">Consumption (kWh) </t>
    </r>
    <r>
      <rPr>
        <b/>
        <vertAlign val="superscript"/>
        <sz val="10"/>
        <rFont val="Arial"/>
        <family val="2"/>
      </rPr>
      <t>(3)</t>
    </r>
  </si>
  <si>
    <t>Actual (Weather actual)</t>
  </si>
  <si>
    <t>Weather-normalized</t>
  </si>
  <si>
    <t>Historical</t>
  </si>
  <si>
    <t>Variance Analysis</t>
  </si>
  <si>
    <t>Year-over-year</t>
  </si>
  <si>
    <t>Versus Board-approved</t>
  </si>
  <si>
    <t>Geometric Mean</t>
  </si>
  <si>
    <t>Customer Class Analysis (one for each Customer Class, excluding MicroFIT and Standby)</t>
  </si>
  <si>
    <t>Customer Class:</t>
  </si>
  <si>
    <t>Is the customer class billed on consumption (kWh) or demand (kW or kVA)?</t>
  </si>
  <si>
    <t>Customers</t>
  </si>
  <si>
    <t>Test Year Versus Board-approved</t>
  </si>
  <si>
    <t>Bridge Year (Forecast)</t>
  </si>
  <si>
    <t>Test Year (Forecast)</t>
  </si>
  <si>
    <t>GS &lt; 50 kW</t>
  </si>
  <si>
    <r>
      <rPr>
        <b/>
        <sz val="10"/>
        <rFont val="Arial"/>
        <family val="2"/>
      </rPr>
      <t>Note:</t>
    </r>
    <r>
      <rPr>
        <sz val="10"/>
        <rFont val="Arial"/>
        <family val="2"/>
      </rPr>
      <t xml:space="preserve"> If there are more than ten (10) customer classes, please contact OEB Staff to add tables for additional customer classes.</t>
    </r>
  </si>
  <si>
    <t>GS &gt; 50-2999 kW</t>
  </si>
  <si>
    <t>GS &gt; 3000-5000 kW</t>
  </si>
  <si>
    <t>Predicted</t>
  </si>
  <si>
    <t>Predicted Wholesale</t>
  </si>
  <si>
    <t>9 year avg</t>
  </si>
  <si>
    <t>20 year avg</t>
  </si>
  <si>
    <t>Jan</t>
  </si>
  <si>
    <t>Feb</t>
  </si>
  <si>
    <t>Mar</t>
  </si>
  <si>
    <t>Apr</t>
  </si>
  <si>
    <t>Jun</t>
  </si>
  <si>
    <t>Jul</t>
  </si>
  <si>
    <t>Aug</t>
  </si>
  <si>
    <t>Sep</t>
  </si>
  <si>
    <t>Oct</t>
  </si>
  <si>
    <t>Nov</t>
  </si>
  <si>
    <t>Dec</t>
  </si>
  <si>
    <t>Street Lights</t>
  </si>
  <si>
    <t>Street Light</t>
  </si>
  <si>
    <t>(for 2017 Cost of Service</t>
  </si>
  <si>
    <t/>
  </si>
  <si>
    <t xml:space="preserve">Amount used for CDM threshold for LRAMVA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</si>
</sst>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5" formatCode="&quot;$&quot;#,##0;\-&quot;$&quot;#,##0"/>
    <numFmt numFmtId="8" formatCode="&quot;$&quot;#,##0.00;[Red]\-&quot;$&quot;#,##0.00"/>
    <numFmt numFmtId="44" formatCode="_-&quot;$&quot;* #,##0.00_-;\-&quot;$&quot;* #,##0.00_-;_-&quot;$&quot;* &quot;-&quot;??_-;_-@_-"/>
    <numFmt numFmtId="43" formatCode="_-* #,##0.00_-;\-* #,##0.00_-;_-* &quot;-&quot;??_-;_-@_-"/>
    <numFmt numFmtId="164" formatCode="_(* #,##0.00_);_(* \(#,##0.00\);_(* &quot;-&quot;??_);_(@_)"/>
    <numFmt numFmtId="165" formatCode="0.0000"/>
    <numFmt numFmtId="166" formatCode="#,##0.000"/>
    <numFmt numFmtId="167" formatCode="#,##0.0000"/>
    <numFmt numFmtId="168" formatCode="#,##0.00000"/>
    <numFmt numFmtId="169" formatCode="0.0"/>
    <numFmt numFmtId="170" formatCode="0.000"/>
    <numFmt numFmtId="171" formatCode="_(* #,##0.0_);_(* \(#,##0.0\);_(* &quot;-&quot;??_);_(@_)"/>
    <numFmt numFmtId="172" formatCode="_(* #,##0_);_(* \(#,##0\);_(* &quot;-&quot;??_);_(@_)"/>
    <numFmt numFmtId="173" formatCode="_-&quot;$&quot;* #,##0_-;\-&quot;$&quot;* #,##0_-;_-&quot;$&quot;* &quot;-&quot;??_-;_-@_-"/>
    <numFmt numFmtId="174" formatCode="_-* #,##0_-;\-* #,##0_-;_-* &quot;-&quot;??_-;_-@_-"/>
    <numFmt numFmtId="175" formatCode="#,##0_ ;\-#,##0\ "/>
    <numFmt numFmtId="176" formatCode="_(* #,##0.00_);_(* \(#,##0.00\);_(* \-??_);_(@_)"/>
    <numFmt numFmtId="177" formatCode="#,##0.0000000"/>
    <numFmt numFmtId="178" formatCode="_-* #,##0.000_-;\-* #,##0.000_-;_-* &quot;-&quot;??_-;_-@_-"/>
    <numFmt numFmtId="179" formatCode="#,##0.000000"/>
    <numFmt numFmtId="180" formatCode="#,##0.0"/>
    <numFmt numFmtId="181" formatCode="_(* #,##0.0_);_(* \(#,##0.0\);_(* \-??_);_(@_)"/>
    <numFmt numFmtId="182" formatCode="mm/dd/yyyy"/>
    <numFmt numFmtId="183" formatCode="0\-0"/>
    <numFmt numFmtId="184" formatCode="_-* #,##0.00_-;\-* #,##0.00_-;_-* \-??_-;_-@_-"/>
    <numFmt numFmtId="185" formatCode="_-\$* #,##0.00_-;&quot;-$&quot;* #,##0.00_-;_-\$* \-??_-;_-@_-"/>
    <numFmt numFmtId="186" formatCode="_(\$* #,##0.00_);_(\$* \(#,##0.00\);_(\$* \-??_);_(@_)"/>
    <numFmt numFmtId="187" formatCode="\$#,##0_);&quot;($&quot;#,##0\)"/>
    <numFmt numFmtId="188" formatCode="##\-#"/>
    <numFmt numFmtId="189" formatCode="_(* #,##0_);_(* \(#,##0\);_(* \-??_);_(@_)"/>
    <numFmt numFmtId="190" formatCode="&quot;£ &quot;#,##0.00;[Red]&quot;-£ &quot;#,##0.00"/>
    <numFmt numFmtId="191" formatCode="[$-409]mmmm\ d\,\ yyyy;@"/>
    <numFmt numFmtId="192" formatCode="&quot;£ &quot;#,##0.00;[Red]\-&quot;£ &quot;#,##0.00"/>
    <numFmt numFmtId="193" formatCode="&quot;$&quot;#,##0.0000;[Red]\-&quot;$&quot;#,##0.0000"/>
    <numFmt numFmtId="194" formatCode="0_ ;[Red]\-0\ "/>
    <numFmt numFmtId="195" formatCode="&quot;$&quot;#,##0"/>
    <numFmt numFmtId="196" formatCode="0.0%"/>
  </numFmts>
  <fonts count="192" x14ac:knownFonts="1">
    <font>
      <sz val="10"/>
      <name val="Times New Roman"/>
    </font>
    <font>
      <sz val="11"/>
      <color indexed="8"/>
      <name val="Calibri"/>
      <family val="2"/>
    </font>
    <font>
      <sz val="10"/>
      <name val="Times New Roman"/>
      <family val="1"/>
    </font>
    <font>
      <sz val="9"/>
      <name val="Arial"/>
      <family val="2"/>
    </font>
    <font>
      <sz val="10"/>
      <name val="Helv"/>
    </font>
    <font>
      <b/>
      <sz val="9"/>
      <color indexed="33"/>
      <name val="Arial"/>
      <family val="2"/>
    </font>
    <font>
      <b/>
      <sz val="8"/>
      <name val="Arial"/>
      <family val="2"/>
    </font>
    <font>
      <sz val="10"/>
      <name val="Arial"/>
      <family val="2"/>
    </font>
    <font>
      <sz val="12"/>
      <name val="Arial"/>
      <family val="2"/>
    </font>
    <font>
      <b/>
      <sz val="10"/>
      <name val="Arial"/>
      <family val="2"/>
    </font>
    <font>
      <sz val="10"/>
      <color indexed="9"/>
      <name val="Arial"/>
      <family val="2"/>
    </font>
    <font>
      <b/>
      <sz val="11"/>
      <name val="Arial"/>
      <family val="2"/>
    </font>
    <font>
      <sz val="8"/>
      <color indexed="23"/>
      <name val="Arial"/>
      <family val="2"/>
    </font>
    <font>
      <sz val="8"/>
      <name val="Arial"/>
      <family val="2"/>
    </font>
    <font>
      <b/>
      <sz val="10"/>
      <color indexed="11"/>
      <name val="Arial"/>
      <family val="2"/>
    </font>
    <font>
      <b/>
      <sz val="10"/>
      <color indexed="18"/>
      <name val="Arial"/>
      <family val="2"/>
    </font>
    <font>
      <b/>
      <sz val="12"/>
      <color indexed="43"/>
      <name val="Arial"/>
      <family val="2"/>
    </font>
    <font>
      <sz val="10"/>
      <color indexed="18"/>
      <name val="Arial"/>
      <family val="2"/>
    </font>
    <font>
      <sz val="8"/>
      <color indexed="18"/>
      <name val="Arial"/>
      <family val="2"/>
    </font>
    <font>
      <b/>
      <sz val="10"/>
      <color indexed="9"/>
      <name val="Arial"/>
      <family val="2"/>
    </font>
    <font>
      <sz val="10"/>
      <color indexed="63"/>
      <name val="Arial"/>
      <family val="2"/>
    </font>
    <font>
      <sz val="10"/>
      <color indexed="47"/>
      <name val="Arial"/>
      <family val="2"/>
    </font>
    <font>
      <sz val="12"/>
      <color indexed="47"/>
      <name val="Arial"/>
      <family val="2"/>
    </font>
    <font>
      <b/>
      <sz val="9"/>
      <name val="Arial"/>
      <family val="2"/>
    </font>
    <font>
      <sz val="10"/>
      <name val="Times New Roman"/>
      <family val="1"/>
    </font>
    <font>
      <b/>
      <sz val="8"/>
      <color indexed="9"/>
      <name val="Arial"/>
      <family val="2"/>
    </font>
    <font>
      <sz val="8"/>
      <name val="Times New Roman"/>
      <family val="1"/>
    </font>
    <font>
      <b/>
      <sz val="9"/>
      <color indexed="18"/>
      <name val="Arial"/>
      <family val="2"/>
    </font>
    <font>
      <b/>
      <sz val="10"/>
      <color indexed="51"/>
      <name val="Arial"/>
      <family val="2"/>
    </font>
    <font>
      <b/>
      <sz val="12"/>
      <color indexed="51"/>
      <name val="Arial"/>
      <family val="2"/>
    </font>
    <font>
      <b/>
      <sz val="9"/>
      <color indexed="51"/>
      <name val="Arial"/>
      <family val="2"/>
    </font>
    <font>
      <sz val="11"/>
      <color indexed="10"/>
      <name val="Calibri"/>
      <family val="2"/>
    </font>
    <font>
      <sz val="11"/>
      <name val="Arial"/>
      <family val="2"/>
    </font>
    <font>
      <b/>
      <u/>
      <sz val="11"/>
      <name val="Arial"/>
      <family val="2"/>
    </font>
    <font>
      <i/>
      <sz val="10"/>
      <name val="Arial"/>
      <family val="2"/>
    </font>
    <font>
      <sz val="10"/>
      <color indexed="8"/>
      <name val="Arial"/>
      <family val="2"/>
    </font>
    <font>
      <b/>
      <sz val="10"/>
      <color indexed="8"/>
      <name val="Arial"/>
      <family val="2"/>
    </font>
    <font>
      <sz val="10"/>
      <name val="Mangal"/>
      <family val="2"/>
    </font>
    <font>
      <sz val="6"/>
      <name val="Arial"/>
      <family val="2"/>
    </font>
    <font>
      <i/>
      <sz val="9"/>
      <name val="Arial"/>
      <family val="2"/>
    </font>
    <font>
      <u/>
      <sz val="10"/>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b/>
      <sz val="11"/>
      <color indexed="63"/>
      <name val="Calibri"/>
      <family val="2"/>
    </font>
    <font>
      <b/>
      <sz val="11"/>
      <color indexed="8"/>
      <name val="Calibri"/>
      <family val="2"/>
    </font>
    <font>
      <sz val="10"/>
      <color indexed="10"/>
      <name val="Arial"/>
      <family val="2"/>
    </font>
    <font>
      <b/>
      <sz val="10"/>
      <color indexed="63"/>
      <name val="Arial"/>
      <family val="2"/>
    </font>
    <font>
      <sz val="11"/>
      <color indexed="8"/>
      <name val="Calibri"/>
      <family val="2"/>
    </font>
    <font>
      <sz val="10"/>
      <color indexed="8"/>
      <name val="Arial"/>
      <family val="2"/>
    </font>
    <font>
      <b/>
      <sz val="18"/>
      <color indexed="62"/>
      <name val="Cambria"/>
      <family val="2"/>
    </font>
    <font>
      <sz val="10"/>
      <color indexed="10"/>
      <name val="Arial"/>
      <family val="2"/>
    </font>
    <font>
      <b/>
      <i/>
      <u/>
      <sz val="12"/>
      <color indexed="8"/>
      <name val="Arial"/>
      <family val="2"/>
    </font>
    <font>
      <b/>
      <sz val="18"/>
      <color indexed="8"/>
      <name val="Arial"/>
      <family val="2"/>
    </font>
    <font>
      <b/>
      <sz val="10"/>
      <color indexed="10"/>
      <name val="Arial"/>
      <family val="2"/>
    </font>
    <font>
      <sz val="10"/>
      <color indexed="8"/>
      <name val="Arial"/>
      <family val="2"/>
    </font>
    <font>
      <b/>
      <sz val="10"/>
      <color indexed="8"/>
      <name val="Arial"/>
      <family val="2"/>
    </font>
    <font>
      <b/>
      <sz val="10"/>
      <color indexed="8"/>
      <name val="Arial"/>
      <family val="2"/>
    </font>
    <font>
      <i/>
      <sz val="10"/>
      <color indexed="8"/>
      <name val="Arial"/>
      <family val="2"/>
    </font>
    <font>
      <b/>
      <sz val="12"/>
      <color indexed="51"/>
      <name val="Arial"/>
      <family val="2"/>
    </font>
    <font>
      <b/>
      <sz val="9"/>
      <color indexed="8"/>
      <name val="Arial"/>
      <family val="2"/>
    </font>
    <font>
      <b/>
      <i/>
      <sz val="10"/>
      <color indexed="8"/>
      <name val="Arial"/>
      <family val="2"/>
    </font>
    <font>
      <b/>
      <sz val="10"/>
      <color indexed="9"/>
      <name val="Arial"/>
      <family val="2"/>
    </font>
    <font>
      <i/>
      <sz val="12"/>
      <color indexed="8"/>
      <name val="Arial"/>
      <family val="2"/>
    </font>
    <font>
      <sz val="9"/>
      <color indexed="8"/>
      <name val="Arial"/>
      <family val="2"/>
    </font>
    <font>
      <sz val="10"/>
      <color indexed="9"/>
      <name val="Arial"/>
      <family val="2"/>
    </font>
    <font>
      <i/>
      <sz val="16"/>
      <color indexed="8"/>
      <name val="Arial"/>
      <family val="2"/>
    </font>
    <font>
      <sz val="10"/>
      <name val="Arial"/>
      <family val="2"/>
      <charset val="1"/>
    </font>
    <font>
      <sz val="11"/>
      <color indexed="8"/>
      <name val="Calibri"/>
      <family val="2"/>
      <charset val="1"/>
    </font>
    <font>
      <sz val="10"/>
      <color indexed="8"/>
      <name val="Arial"/>
      <family val="2"/>
      <charset val="1"/>
    </font>
    <font>
      <sz val="11"/>
      <color indexed="9"/>
      <name val="Calibri"/>
      <family val="2"/>
      <charset val="1"/>
    </font>
    <font>
      <sz val="10"/>
      <color indexed="9"/>
      <name val="Arial"/>
      <family val="2"/>
      <charset val="1"/>
    </font>
    <font>
      <sz val="11"/>
      <color indexed="16"/>
      <name val="Calibri"/>
      <family val="2"/>
      <charset val="1"/>
    </font>
    <font>
      <sz val="11"/>
      <color indexed="34"/>
      <name val="Calibri"/>
      <family val="2"/>
      <charset val="1"/>
    </font>
    <font>
      <sz val="10"/>
      <color indexed="34"/>
      <name val="Arial"/>
      <family val="2"/>
      <charset val="1"/>
    </font>
    <font>
      <b/>
      <sz val="11"/>
      <color indexed="59"/>
      <name val="Calibri"/>
      <family val="2"/>
      <charset val="1"/>
    </font>
    <font>
      <b/>
      <sz val="11"/>
      <color indexed="52"/>
      <name val="Calibri"/>
      <family val="2"/>
      <charset val="1"/>
    </font>
    <font>
      <b/>
      <sz val="10"/>
      <color indexed="52"/>
      <name val="Arial"/>
      <family val="2"/>
      <charset val="1"/>
    </font>
    <font>
      <b/>
      <sz val="11"/>
      <color indexed="9"/>
      <name val="Calibri"/>
      <family val="2"/>
      <charset val="1"/>
    </font>
    <font>
      <b/>
      <sz val="10"/>
      <color indexed="9"/>
      <name val="Arial"/>
      <family val="2"/>
      <charset val="1"/>
    </font>
    <font>
      <sz val="10"/>
      <name val="Mangal"/>
      <family val="2"/>
      <charset val="1"/>
    </font>
    <font>
      <i/>
      <sz val="11"/>
      <color indexed="19"/>
      <name val="Calibri"/>
      <family val="2"/>
      <charset val="1"/>
    </font>
    <font>
      <i/>
      <sz val="11"/>
      <color indexed="23"/>
      <name val="Calibri"/>
      <family val="2"/>
      <charset val="1"/>
    </font>
    <font>
      <i/>
      <sz val="10"/>
      <color indexed="23"/>
      <name val="Arial"/>
      <family val="2"/>
      <charset val="1"/>
    </font>
    <font>
      <sz val="11"/>
      <color indexed="56"/>
      <name val="Calibri"/>
      <family val="2"/>
      <charset val="1"/>
    </font>
    <font>
      <sz val="10"/>
      <color indexed="56"/>
      <name val="Arial"/>
      <family val="2"/>
      <charset val="1"/>
    </font>
    <font>
      <sz val="8"/>
      <name val="Arial"/>
      <family val="2"/>
      <charset val="1"/>
    </font>
    <font>
      <b/>
      <sz val="15"/>
      <color indexed="62"/>
      <name val="Calibri"/>
      <family val="2"/>
      <charset val="1"/>
    </font>
    <font>
      <b/>
      <sz val="15"/>
      <color indexed="11"/>
      <name val="Calibri"/>
      <family val="2"/>
      <charset val="1"/>
    </font>
    <font>
      <b/>
      <sz val="13"/>
      <color indexed="62"/>
      <name val="Calibri"/>
      <family val="2"/>
      <charset val="1"/>
    </font>
    <font>
      <b/>
      <sz val="13"/>
      <color indexed="11"/>
      <name val="Calibri"/>
      <family val="2"/>
      <charset val="1"/>
    </font>
    <font>
      <b/>
      <sz val="11"/>
      <color indexed="62"/>
      <name val="Calibri"/>
      <family val="2"/>
      <charset val="1"/>
    </font>
    <font>
      <b/>
      <sz val="11"/>
      <color indexed="11"/>
      <name val="Calibri"/>
      <family val="2"/>
      <charset val="1"/>
    </font>
    <font>
      <b/>
      <sz val="11"/>
      <color indexed="11"/>
      <name val="Arial"/>
      <family val="2"/>
      <charset val="1"/>
    </font>
    <font>
      <u/>
      <sz val="7.5"/>
      <color indexed="12"/>
      <name val="Arial"/>
      <family val="2"/>
      <charset val="1"/>
    </font>
    <font>
      <u/>
      <sz val="10"/>
      <color indexed="12"/>
      <name val="Arial"/>
      <family val="2"/>
      <charset val="1"/>
    </font>
    <font>
      <sz val="11"/>
      <color indexed="62"/>
      <name val="Calibri"/>
      <family val="2"/>
      <charset val="1"/>
    </font>
    <font>
      <sz val="11"/>
      <color indexed="63"/>
      <name val="Calibri"/>
      <family val="2"/>
      <charset val="1"/>
    </font>
    <font>
      <sz val="10"/>
      <color indexed="62"/>
      <name val="Arial"/>
      <family val="2"/>
      <charset val="1"/>
    </font>
    <font>
      <sz val="11"/>
      <color indexed="59"/>
      <name val="Calibri"/>
      <family val="2"/>
      <charset val="1"/>
    </font>
    <font>
      <sz val="11"/>
      <color indexed="52"/>
      <name val="Calibri"/>
      <family val="2"/>
      <charset val="1"/>
    </font>
    <font>
      <sz val="10"/>
      <color indexed="52"/>
      <name val="Arial"/>
      <family val="2"/>
      <charset val="1"/>
    </font>
    <font>
      <sz val="11"/>
      <color indexed="60"/>
      <name val="Calibri"/>
      <family val="2"/>
      <charset val="1"/>
    </font>
    <font>
      <sz val="11"/>
      <color indexed="23"/>
      <name val="Calibri"/>
      <family val="2"/>
      <charset val="1"/>
    </font>
    <font>
      <sz val="10"/>
      <color indexed="23"/>
      <name val="Arial"/>
      <family val="2"/>
      <charset val="1"/>
    </font>
    <font>
      <sz val="10"/>
      <color indexed="8"/>
      <name val="Courier New"/>
      <family val="2"/>
      <charset val="1"/>
    </font>
    <font>
      <b/>
      <sz val="11"/>
      <color indexed="63"/>
      <name val="Calibri"/>
      <family val="2"/>
      <charset val="1"/>
    </font>
    <font>
      <b/>
      <sz val="10"/>
      <color indexed="63"/>
      <name val="Arial"/>
      <family val="2"/>
      <charset val="1"/>
    </font>
    <font>
      <b/>
      <sz val="18"/>
      <color indexed="62"/>
      <name val="Cambria"/>
      <family val="2"/>
      <charset val="1"/>
    </font>
    <font>
      <b/>
      <sz val="18"/>
      <color indexed="11"/>
      <name val="Cambria"/>
      <family val="2"/>
      <charset val="1"/>
    </font>
    <font>
      <b/>
      <sz val="11"/>
      <color indexed="8"/>
      <name val="Calibri"/>
      <family val="2"/>
      <charset val="1"/>
    </font>
    <font>
      <sz val="11"/>
      <color indexed="10"/>
      <name val="Calibri"/>
      <family val="2"/>
      <charset val="1"/>
    </font>
    <font>
      <sz val="10"/>
      <color indexed="10"/>
      <name val="Arial"/>
      <family val="2"/>
      <charset val="1"/>
    </font>
    <font>
      <u/>
      <sz val="10"/>
      <color indexed="12"/>
      <name val="Arial"/>
      <family val="2"/>
    </font>
    <font>
      <b/>
      <sz val="18"/>
      <name val="Arial"/>
      <family val="2"/>
    </font>
    <font>
      <b/>
      <sz val="12"/>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u/>
      <sz val="7.5"/>
      <color indexed="12"/>
      <name val="Arial"/>
      <family val="2"/>
    </font>
    <font>
      <sz val="10"/>
      <name val="MS Sans Serif"/>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62"/>
      <name val="Arial"/>
      <family val="2"/>
    </font>
    <font>
      <b/>
      <sz val="15"/>
      <color indexed="56"/>
      <name val="Arial"/>
      <family val="2"/>
    </font>
    <font>
      <b/>
      <sz val="13"/>
      <color indexed="62"/>
      <name val="Arial"/>
      <family val="2"/>
    </font>
    <font>
      <b/>
      <sz val="13"/>
      <color indexed="56"/>
      <name val="Arial"/>
      <family val="2"/>
    </font>
    <font>
      <b/>
      <sz val="11"/>
      <color indexed="62"/>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1"/>
      <color indexed="53"/>
      <name val="Calibri"/>
      <family val="2"/>
      <charset val="1"/>
    </font>
    <font>
      <i/>
      <sz val="11"/>
      <color indexed="21"/>
      <name val="Calibri"/>
      <family val="2"/>
      <charset val="1"/>
    </font>
    <font>
      <sz val="11"/>
      <color indexed="17"/>
      <name val="Calibri"/>
      <family val="2"/>
      <charset val="1"/>
    </font>
    <font>
      <sz val="11"/>
      <color indexed="53"/>
      <name val="Calibri"/>
      <family val="2"/>
      <charset val="1"/>
    </font>
    <font>
      <sz val="11"/>
      <color indexed="19"/>
      <name val="Calibri"/>
      <family val="2"/>
      <charset val="1"/>
    </font>
    <font>
      <sz val="10"/>
      <name val="MS Sans Serif"/>
      <family val="2"/>
    </font>
    <font>
      <sz val="8"/>
      <color indexed="8"/>
      <name val="Arial"/>
      <family val="2"/>
    </font>
    <font>
      <vertAlign val="subscript"/>
      <sz val="11"/>
      <color indexed="8"/>
      <name val="Arial"/>
      <family val="2"/>
    </font>
    <font>
      <b/>
      <sz val="14"/>
      <name val="Arial"/>
      <family val="2"/>
    </font>
    <font>
      <b/>
      <vertAlign val="superscript"/>
      <sz val="10"/>
      <name val="Arial"/>
      <family val="2"/>
    </font>
    <font>
      <b/>
      <i/>
      <sz val="14"/>
      <name val="Arial"/>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9C0006"/>
      <name val="Calibri"/>
      <family val="2"/>
      <scheme val="minor"/>
    </font>
    <font>
      <sz val="10"/>
      <color rgb="FF9C0006"/>
      <name val="Arial"/>
      <family val="2"/>
    </font>
    <font>
      <b/>
      <sz val="10"/>
      <color rgb="FFFA7D00"/>
      <name val="Arial"/>
      <family val="2"/>
    </font>
    <font>
      <b/>
      <sz val="11"/>
      <color rgb="FFFA7D00"/>
      <name val="Calibri"/>
      <family val="2"/>
      <scheme val="minor"/>
    </font>
    <font>
      <b/>
      <sz val="11"/>
      <color theme="0"/>
      <name val="Calibri"/>
      <family val="2"/>
      <scheme val="minor"/>
    </font>
    <font>
      <b/>
      <sz val="10"/>
      <color theme="0"/>
      <name val="Arial"/>
      <family val="2"/>
    </font>
    <font>
      <i/>
      <sz val="11"/>
      <color rgb="FF7F7F7F"/>
      <name val="Calibri"/>
      <family val="2"/>
      <scheme val="minor"/>
    </font>
    <font>
      <i/>
      <sz val="10"/>
      <color rgb="FF7F7F7F"/>
      <name val="Arial"/>
      <family val="2"/>
    </font>
    <font>
      <sz val="9"/>
      <color theme="1"/>
      <name val="Calibri"/>
      <family val="2"/>
      <scheme val="minor"/>
    </font>
    <font>
      <b/>
      <sz val="8"/>
      <color theme="1"/>
      <name val="Calibri"/>
      <family val="2"/>
      <scheme val="minor"/>
    </font>
    <font>
      <sz val="11"/>
      <color rgb="FF006100"/>
      <name val="Calibri"/>
      <family val="2"/>
      <scheme val="minor"/>
    </font>
    <font>
      <sz val="10"/>
      <color rgb="FF006100"/>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sz val="11"/>
      <color rgb="FF3F3F76"/>
      <name val="Calibri"/>
      <family val="2"/>
      <scheme val="minor"/>
    </font>
    <font>
      <sz val="10"/>
      <color rgb="FFFA7D00"/>
      <name val="Arial"/>
      <family val="2"/>
    </font>
    <font>
      <sz val="11"/>
      <color rgb="FFFA7D00"/>
      <name val="Calibri"/>
      <family val="2"/>
      <scheme val="minor"/>
    </font>
    <font>
      <sz val="10"/>
      <color rgb="FF9C6500"/>
      <name val="Arial"/>
      <family val="2"/>
    </font>
    <font>
      <sz val="11"/>
      <color rgb="FF9C6500"/>
      <name val="Calibri"/>
      <family val="2"/>
      <scheme val="minor"/>
    </font>
    <font>
      <sz val="10"/>
      <color theme="1"/>
      <name val="Courier"/>
      <family val="2"/>
    </font>
    <font>
      <b/>
      <sz val="11"/>
      <color rgb="FF3F3F3F"/>
      <name val="Calibri"/>
      <family val="2"/>
      <scheme val="minor"/>
    </font>
    <font>
      <b/>
      <sz val="10"/>
      <color rgb="FF3F3F3F"/>
      <name val="Arial"/>
      <family val="2"/>
    </font>
    <font>
      <sz val="10"/>
      <color rgb="FF000000"/>
      <name val="Arial"/>
      <family val="2"/>
    </font>
    <font>
      <b/>
      <sz val="12"/>
      <color rgb="FF000000"/>
      <name val="Arial"/>
      <family val="2"/>
    </font>
    <font>
      <sz val="11"/>
      <color rgb="FF000000"/>
      <name val="Calibri"/>
      <family val="2"/>
      <scheme val="minor"/>
    </font>
    <font>
      <b/>
      <sz val="11"/>
      <color theme="1"/>
      <name val="Calibri"/>
      <family val="2"/>
      <scheme val="minor"/>
    </font>
    <font>
      <b/>
      <sz val="10"/>
      <color theme="1"/>
      <name val="Arial"/>
      <family val="2"/>
    </font>
    <font>
      <sz val="11"/>
      <color rgb="FFFF0000"/>
      <name val="Calibri"/>
      <family val="2"/>
      <scheme val="minor"/>
    </font>
    <font>
      <sz val="10"/>
      <color rgb="FFFF0000"/>
      <name val="Arial"/>
      <family val="2"/>
    </font>
    <font>
      <i/>
      <sz val="10"/>
      <color rgb="FFFF0000"/>
      <name val="Arial"/>
      <family val="2"/>
    </font>
    <font>
      <sz val="11"/>
      <name val="Calibri"/>
      <family val="2"/>
      <scheme val="minor"/>
    </font>
    <font>
      <sz val="10"/>
      <color theme="0" tint="-0.34998626667073579"/>
      <name val="Arial"/>
      <family val="2"/>
    </font>
    <font>
      <i/>
      <sz val="10"/>
      <color theme="0"/>
      <name val="Arial"/>
      <family val="2"/>
    </font>
    <font>
      <sz val="9"/>
      <color indexed="81"/>
      <name val="Tahoma"/>
      <charset val="1"/>
    </font>
    <font>
      <b/>
      <sz val="9"/>
      <color indexed="81"/>
      <name val="Tahoma"/>
      <charset val="1"/>
    </font>
  </fonts>
  <fills count="120">
    <fill>
      <patternFill patternType="none"/>
    </fill>
    <fill>
      <patternFill patternType="gray125"/>
    </fill>
    <fill>
      <patternFill patternType="solid">
        <fgColor indexed="44"/>
      </patternFill>
    </fill>
    <fill>
      <patternFill patternType="solid">
        <fgColor indexed="47"/>
      </patternFill>
    </fill>
    <fill>
      <patternFill patternType="solid">
        <fgColor indexed="41"/>
        <bgColor indexed="27"/>
      </patternFill>
    </fill>
    <fill>
      <patternFill patternType="solid">
        <fgColor indexed="58"/>
        <bgColor indexed="27"/>
      </patternFill>
    </fill>
    <fill>
      <patternFill patternType="solid">
        <fgColor indexed="31"/>
        <bgColor indexed="15"/>
      </patternFill>
    </fill>
    <fill>
      <patternFill patternType="solid">
        <fgColor indexed="31"/>
      </patternFill>
    </fill>
    <fill>
      <patternFill patternType="solid">
        <fgColor indexed="29"/>
      </patternFill>
    </fill>
    <fill>
      <patternFill patternType="solid">
        <fgColor indexed="36"/>
        <bgColor indexed="28"/>
      </patternFill>
    </fill>
    <fill>
      <patternFill patternType="solid">
        <fgColor indexed="45"/>
        <bgColor indexed="51"/>
      </patternFill>
    </fill>
    <fill>
      <patternFill patternType="solid">
        <fgColor indexed="45"/>
      </patternFill>
    </fill>
    <fill>
      <patternFill patternType="solid">
        <fgColor indexed="26"/>
      </patternFill>
    </fill>
    <fill>
      <patternFill patternType="solid">
        <fgColor indexed="39"/>
        <bgColor indexed="58"/>
      </patternFill>
    </fill>
    <fill>
      <patternFill patternType="solid">
        <fgColor indexed="39"/>
        <bgColor indexed="32"/>
      </patternFill>
    </fill>
    <fill>
      <patternFill patternType="solid">
        <fgColor indexed="42"/>
        <bgColor indexed="27"/>
      </patternFill>
    </fill>
    <fill>
      <patternFill patternType="solid">
        <fgColor indexed="42"/>
      </patternFill>
    </fill>
    <fill>
      <patternFill patternType="solid">
        <fgColor indexed="28"/>
        <bgColor indexed="41"/>
      </patternFill>
    </fill>
    <fill>
      <patternFill patternType="solid">
        <fgColor indexed="28"/>
        <bgColor indexed="58"/>
      </patternFill>
    </fill>
    <fill>
      <patternFill patternType="solid">
        <fgColor indexed="46"/>
        <bgColor indexed="50"/>
      </patternFill>
    </fill>
    <fill>
      <patternFill patternType="solid">
        <fgColor indexed="46"/>
      </patternFill>
    </fill>
    <fill>
      <patternFill patternType="solid">
        <fgColor indexed="27"/>
      </patternFill>
    </fill>
    <fill>
      <patternFill patternType="solid">
        <fgColor indexed="27"/>
        <bgColor indexed="41"/>
      </patternFill>
    </fill>
    <fill>
      <patternFill patternType="solid">
        <fgColor indexed="27"/>
        <bgColor indexed="58"/>
      </patternFill>
    </fill>
    <fill>
      <patternFill patternType="solid">
        <fgColor indexed="18"/>
        <bgColor indexed="58"/>
      </patternFill>
    </fill>
    <fill>
      <patternFill patternType="solid">
        <fgColor indexed="18"/>
        <bgColor indexed="39"/>
      </patternFill>
    </fill>
    <fill>
      <patternFill patternType="solid">
        <fgColor indexed="47"/>
        <bgColor indexed="51"/>
      </patternFill>
    </fill>
    <fill>
      <patternFill patternType="solid">
        <fgColor indexed="22"/>
      </patternFill>
    </fill>
    <fill>
      <patternFill patternType="solid">
        <fgColor indexed="44"/>
        <bgColor indexed="24"/>
      </patternFill>
    </fill>
    <fill>
      <patternFill patternType="solid">
        <fgColor indexed="29"/>
        <bgColor indexed="46"/>
      </patternFill>
    </fill>
    <fill>
      <patternFill patternType="solid">
        <fgColor indexed="43"/>
      </patternFill>
    </fill>
    <fill>
      <patternFill patternType="solid">
        <fgColor indexed="11"/>
        <bgColor indexed="20"/>
      </patternFill>
    </fill>
    <fill>
      <patternFill patternType="solid">
        <fgColor indexed="56"/>
        <bgColor indexed="41"/>
      </patternFill>
    </fill>
    <fill>
      <patternFill patternType="solid">
        <fgColor indexed="17"/>
        <bgColor indexed="35"/>
      </patternFill>
    </fill>
    <fill>
      <patternFill patternType="solid">
        <fgColor indexed="11"/>
      </patternFill>
    </fill>
    <fill>
      <patternFill patternType="solid">
        <fgColor indexed="14"/>
        <bgColor indexed="22"/>
      </patternFill>
    </fill>
    <fill>
      <patternFill patternType="solid">
        <fgColor indexed="15"/>
        <bgColor indexed="31"/>
      </patternFill>
    </fill>
    <fill>
      <patternFill patternType="solid">
        <fgColor indexed="34"/>
        <bgColor indexed="47"/>
      </patternFill>
    </fill>
    <fill>
      <patternFill patternType="solid">
        <fgColor indexed="20"/>
        <bgColor indexed="47"/>
      </patternFill>
    </fill>
    <fill>
      <patternFill patternType="solid">
        <fgColor indexed="51"/>
        <bgColor indexed="47"/>
      </patternFill>
    </fill>
    <fill>
      <patternFill patternType="solid">
        <fgColor indexed="51"/>
      </patternFill>
    </fill>
    <fill>
      <patternFill patternType="solid">
        <fgColor indexed="49"/>
      </patternFill>
    </fill>
    <fill>
      <patternFill patternType="solid">
        <fgColor indexed="24"/>
        <bgColor indexed="44"/>
      </patternFill>
    </fill>
    <fill>
      <patternFill patternType="darkGray">
        <fgColor indexed="50"/>
        <bgColor indexed="46"/>
      </patternFill>
    </fill>
    <fill>
      <patternFill patternType="solid">
        <fgColor indexed="30"/>
      </patternFill>
    </fill>
    <fill>
      <patternFill patternType="solid">
        <fgColor indexed="53"/>
      </patternFill>
    </fill>
    <fill>
      <patternFill patternType="mediumGray">
        <fgColor indexed="11"/>
        <bgColor indexed="22"/>
      </patternFill>
    </fill>
    <fill>
      <patternFill patternType="solid">
        <fgColor indexed="35"/>
        <bgColor indexed="56"/>
      </patternFill>
    </fill>
    <fill>
      <patternFill patternType="solid">
        <fgColor indexed="36"/>
      </patternFill>
    </fill>
    <fill>
      <patternFill patternType="solid">
        <fgColor indexed="46"/>
        <bgColor indexed="30"/>
      </patternFill>
    </fill>
    <fill>
      <patternFill patternType="solid">
        <fgColor indexed="49"/>
        <bgColor indexed="48"/>
      </patternFill>
    </fill>
    <fill>
      <patternFill patternType="darkGray">
        <fgColor indexed="52"/>
        <bgColor indexed="59"/>
      </patternFill>
    </fill>
    <fill>
      <patternFill patternType="solid">
        <fgColor indexed="52"/>
      </patternFill>
    </fill>
    <fill>
      <patternFill patternType="darkGray">
        <fgColor indexed="48"/>
        <bgColor indexed="19"/>
      </patternFill>
    </fill>
    <fill>
      <patternFill patternType="solid">
        <fgColor indexed="62"/>
        <bgColor indexed="21"/>
      </patternFill>
    </fill>
    <fill>
      <patternFill patternType="solid">
        <fgColor indexed="62"/>
      </patternFill>
    </fill>
    <fill>
      <patternFill patternType="solid">
        <fgColor indexed="48"/>
        <bgColor indexed="21"/>
      </patternFill>
    </fill>
    <fill>
      <patternFill patternType="darkGray">
        <fgColor indexed="48"/>
        <bgColor indexed="61"/>
      </patternFill>
    </fill>
    <fill>
      <patternFill patternType="solid">
        <fgColor indexed="10"/>
      </patternFill>
    </fill>
    <fill>
      <patternFill patternType="solid">
        <fgColor indexed="60"/>
        <bgColor indexed="53"/>
      </patternFill>
    </fill>
    <fill>
      <patternFill patternType="solid">
        <fgColor indexed="10"/>
        <bgColor indexed="37"/>
      </patternFill>
    </fill>
    <fill>
      <patternFill patternType="solid">
        <fgColor indexed="25"/>
        <bgColor indexed="19"/>
      </patternFill>
    </fill>
    <fill>
      <patternFill patternType="solid">
        <fgColor indexed="57"/>
      </patternFill>
    </fill>
    <fill>
      <patternFill patternType="solid">
        <fgColor indexed="50"/>
        <bgColor indexed="55"/>
      </patternFill>
    </fill>
    <fill>
      <patternFill patternType="solid">
        <fgColor indexed="54"/>
        <bgColor indexed="19"/>
      </patternFill>
    </fill>
    <fill>
      <patternFill patternType="solid">
        <fgColor indexed="50"/>
        <bgColor indexed="30"/>
      </patternFill>
    </fill>
    <fill>
      <patternFill patternType="solid">
        <fgColor indexed="54"/>
      </patternFill>
    </fill>
    <fill>
      <patternFill patternType="darkGray">
        <fgColor indexed="54"/>
        <bgColor indexed="19"/>
      </patternFill>
    </fill>
    <fill>
      <patternFill patternType="solid">
        <fgColor indexed="54"/>
        <bgColor indexed="57"/>
      </patternFill>
    </fill>
    <fill>
      <patternFill patternType="solid">
        <fgColor indexed="59"/>
        <bgColor indexed="53"/>
      </patternFill>
    </fill>
    <fill>
      <patternFill patternType="solid">
        <fgColor indexed="52"/>
        <bgColor indexed="53"/>
      </patternFill>
    </fill>
    <fill>
      <patternFill patternType="solid">
        <fgColor indexed="33"/>
        <bgColor indexed="34"/>
      </patternFill>
    </fill>
    <fill>
      <patternFill patternType="solid">
        <fgColor indexed="33"/>
        <bgColor indexed="20"/>
      </patternFill>
    </fill>
    <fill>
      <patternFill patternType="solid">
        <fgColor indexed="32"/>
        <bgColor indexed="58"/>
      </patternFill>
    </fill>
    <fill>
      <patternFill patternType="solid">
        <fgColor indexed="22"/>
        <bgColor indexed="35"/>
      </patternFill>
    </fill>
    <fill>
      <patternFill patternType="solid">
        <fgColor indexed="32"/>
        <bgColor indexed="39"/>
      </patternFill>
    </fill>
    <fill>
      <patternFill patternType="solid">
        <fgColor indexed="55"/>
      </patternFill>
    </fill>
    <fill>
      <patternFill patternType="solid">
        <fgColor indexed="55"/>
        <bgColor indexed="38"/>
      </patternFill>
    </fill>
    <fill>
      <patternFill patternType="solid">
        <fgColor indexed="40"/>
        <bgColor indexed="30"/>
      </patternFill>
    </fill>
    <fill>
      <patternFill patternType="solid">
        <fgColor indexed="42"/>
        <bgColor indexed="41"/>
      </patternFill>
    </fill>
    <fill>
      <patternFill patternType="solid">
        <fgColor indexed="49"/>
        <bgColor indexed="64"/>
      </patternFill>
    </fill>
    <fill>
      <patternFill patternType="mediumGray">
        <fgColor indexed="42"/>
        <bgColor indexed="11"/>
      </patternFill>
    </fill>
    <fill>
      <patternFill patternType="solid">
        <fgColor indexed="41"/>
        <bgColor indexed="42"/>
      </patternFill>
    </fill>
    <fill>
      <patternFill patternType="solid">
        <fgColor indexed="22"/>
        <bgColor indexed="64"/>
      </patternFill>
    </fill>
    <fill>
      <patternFill patternType="solid">
        <fgColor indexed="22"/>
        <bgColor indexed="59"/>
      </patternFill>
    </fill>
    <fill>
      <patternFill patternType="solid">
        <fgColor indexed="26"/>
        <bgColor indexed="39"/>
      </patternFill>
    </fill>
    <fill>
      <patternFill patternType="solid">
        <fgColor indexed="26"/>
        <bgColor indexed="64"/>
      </patternFill>
    </fill>
    <fill>
      <patternFill patternType="mediumGray">
        <fgColor indexed="43"/>
        <bgColor indexed="34"/>
      </patternFill>
    </fill>
    <fill>
      <patternFill patternType="solid">
        <fgColor indexed="43"/>
        <bgColor indexed="26"/>
      </patternFill>
    </fill>
    <fill>
      <patternFill patternType="solid">
        <fgColor indexed="34"/>
        <bgColor indexed="43"/>
      </patternFill>
    </fill>
    <fill>
      <patternFill patternType="solid">
        <fgColor indexed="44"/>
        <bgColor indexed="64"/>
      </patternFill>
    </fill>
    <fill>
      <patternFill patternType="solid">
        <fgColor indexed="63"/>
        <bgColor indexed="64"/>
      </patternFill>
    </fill>
    <fill>
      <patternFill patternType="solid">
        <fgColor indexed="47"/>
        <bgColor indexed="64"/>
      </patternFill>
    </fill>
    <fill>
      <patternFill patternType="solid">
        <fgColor indexed="23"/>
        <bgColor indexed="64"/>
      </patternFill>
    </fill>
    <fill>
      <patternFill patternType="gray125">
        <bgColor indexed="18"/>
      </patternFill>
    </fill>
    <fill>
      <patternFill patternType="solid">
        <fgColor indexed="17"/>
        <bgColor indexed="64"/>
      </patternFill>
    </fill>
    <fill>
      <patternFill patternType="solid">
        <fgColor indexed="62"/>
        <bgColor indexed="64"/>
      </patternFill>
    </fill>
    <fill>
      <patternFill patternType="solid">
        <fgColor indexed="43"/>
        <bgColor indexed="64"/>
      </patternFill>
    </fill>
    <fill>
      <patternFill patternType="solid">
        <fgColor indexed="51"/>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EB9C"/>
      </patternFill>
    </fill>
    <fill>
      <patternFill patternType="solid">
        <fgColor rgb="FFFFFFCC"/>
      </patternFill>
    </fill>
    <fill>
      <patternFill patternType="solid">
        <fgColor theme="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s>
  <borders count="229">
    <border>
      <left/>
      <right/>
      <top/>
      <bottom/>
      <diagonal/>
    </border>
    <border>
      <left style="thin">
        <color indexed="23"/>
      </left>
      <right style="thin">
        <color indexed="23"/>
      </right>
      <top style="thin">
        <color indexed="23"/>
      </top>
      <bottom style="thin">
        <color indexed="23"/>
      </bottom>
      <diagonal/>
    </border>
    <border>
      <left style="thin">
        <color indexed="19"/>
      </left>
      <right style="thin">
        <color indexed="19"/>
      </right>
      <top style="thin">
        <color indexed="19"/>
      </top>
      <bottom style="thin">
        <color indexed="19"/>
      </bottom>
      <diagonal/>
    </border>
    <border>
      <left style="thin">
        <color indexed="21"/>
      </left>
      <right style="thin">
        <color indexed="21"/>
      </right>
      <top style="thin">
        <color indexed="21"/>
      </top>
      <bottom style="thin">
        <color indexed="21"/>
      </bottom>
      <diagonal/>
    </border>
    <border>
      <left style="double">
        <color indexed="63"/>
      </left>
      <right style="double">
        <color indexed="63"/>
      </right>
      <top style="double">
        <color indexed="63"/>
      </top>
      <bottom style="double">
        <color indexed="63"/>
      </bottom>
      <diagonal/>
    </border>
    <border>
      <left style="thin">
        <color indexed="62"/>
      </left>
      <right style="thin">
        <color indexed="62"/>
      </right>
      <top style="thin">
        <color indexed="62"/>
      </top>
      <bottom style="thin">
        <color indexed="62"/>
      </bottom>
      <diagonal/>
    </border>
    <border>
      <left/>
      <right/>
      <top/>
      <bottom style="thick">
        <color indexed="49"/>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thick">
        <color indexed="24"/>
      </bottom>
      <diagonal/>
    </border>
    <border>
      <left/>
      <right/>
      <top/>
      <bottom style="medium">
        <color indexed="49"/>
      </bottom>
      <diagonal/>
    </border>
    <border>
      <left/>
      <right/>
      <top/>
      <bottom style="medium">
        <color indexed="24"/>
      </bottom>
      <diagonal/>
    </border>
    <border>
      <left/>
      <right/>
      <top/>
      <bottom style="medium">
        <color indexed="50"/>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59"/>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50"/>
      </left>
      <right style="thin">
        <color indexed="50"/>
      </right>
      <top style="thin">
        <color indexed="50"/>
      </top>
      <bottom style="thin">
        <color indexed="50"/>
      </bottom>
      <diagonal/>
    </border>
    <border>
      <left style="thin">
        <color indexed="30"/>
      </left>
      <right style="thin">
        <color indexed="30"/>
      </right>
      <top style="thin">
        <color indexed="30"/>
      </top>
      <bottom style="thin">
        <color indexed="30"/>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48"/>
      </top>
      <bottom style="double">
        <color indexed="48"/>
      </bottom>
      <diagonal/>
    </border>
    <border>
      <left/>
      <right/>
      <top style="double">
        <color indexed="0"/>
      </top>
      <bottom/>
      <diagonal/>
    </border>
    <border>
      <left/>
      <right/>
      <top style="thin">
        <color indexed="62"/>
      </top>
      <bottom style="double">
        <color indexed="62"/>
      </bottom>
      <diagonal/>
    </border>
    <border>
      <left style="medium">
        <color indexed="64"/>
      </left>
      <right/>
      <top/>
      <bottom/>
      <diagonal/>
    </border>
    <border>
      <left style="thin">
        <color indexed="54"/>
      </left>
      <right style="thick">
        <color indexed="54"/>
      </right>
      <top style="thin">
        <color indexed="54"/>
      </top>
      <bottom style="hair">
        <color indexed="54"/>
      </bottom>
      <diagonal/>
    </border>
    <border>
      <left style="thin">
        <color indexed="54"/>
      </left>
      <right style="thick">
        <color indexed="54"/>
      </right>
      <top style="hair">
        <color indexed="54"/>
      </top>
      <bottom style="hair">
        <color indexed="54"/>
      </bottom>
      <diagonal/>
    </border>
    <border>
      <left style="medium">
        <color indexed="23"/>
      </left>
      <right style="thin">
        <color indexed="23"/>
      </right>
      <top style="medium">
        <color indexed="23"/>
      </top>
      <bottom style="hair">
        <color indexed="23"/>
      </bottom>
      <diagonal/>
    </border>
    <border>
      <left style="thin">
        <color indexed="23"/>
      </left>
      <right style="thin">
        <color indexed="23"/>
      </right>
      <top style="medium">
        <color indexed="23"/>
      </top>
      <bottom style="hair">
        <color indexed="23"/>
      </bottom>
      <diagonal/>
    </border>
    <border>
      <left style="thin">
        <color indexed="23"/>
      </left>
      <right style="medium">
        <color indexed="23"/>
      </right>
      <top style="medium">
        <color indexed="23"/>
      </top>
      <bottom style="hair">
        <color indexed="23"/>
      </bottom>
      <diagonal/>
    </border>
    <border>
      <left style="medium">
        <color indexed="23"/>
      </left>
      <right style="thin">
        <color indexed="23"/>
      </right>
      <top style="hair">
        <color indexed="23"/>
      </top>
      <bottom style="hair">
        <color indexed="23"/>
      </bottom>
      <diagonal/>
    </border>
    <border>
      <left style="medium">
        <color indexed="23"/>
      </left>
      <right style="thin">
        <color indexed="23"/>
      </right>
      <top style="hair">
        <color indexed="23"/>
      </top>
      <bottom style="medium">
        <color indexed="23"/>
      </bottom>
      <diagonal/>
    </border>
    <border>
      <left style="thin">
        <color indexed="23"/>
      </left>
      <right style="thin">
        <color indexed="23"/>
      </right>
      <top style="hair">
        <color indexed="23"/>
      </top>
      <bottom style="hair">
        <color indexed="23"/>
      </bottom>
      <diagonal/>
    </border>
    <border>
      <left style="thin">
        <color indexed="23"/>
      </left>
      <right style="medium">
        <color indexed="23"/>
      </right>
      <top style="hair">
        <color indexed="23"/>
      </top>
      <bottom style="hair">
        <color indexed="23"/>
      </bottom>
      <diagonal/>
    </border>
    <border>
      <left style="thin">
        <color indexed="23"/>
      </left>
      <right style="thin">
        <color indexed="23"/>
      </right>
      <top style="hair">
        <color indexed="23"/>
      </top>
      <bottom style="medium">
        <color indexed="23"/>
      </bottom>
      <diagonal/>
    </border>
    <border>
      <left style="thin">
        <color indexed="23"/>
      </left>
      <right style="medium">
        <color indexed="23"/>
      </right>
      <top style="hair">
        <color indexed="23"/>
      </top>
      <bottom style="medium">
        <color indexed="23"/>
      </bottom>
      <diagonal/>
    </border>
    <border>
      <left style="medium">
        <color indexed="54"/>
      </left>
      <right style="thin">
        <color indexed="54"/>
      </right>
      <top style="medium">
        <color indexed="54"/>
      </top>
      <bottom style="medium">
        <color indexed="54"/>
      </bottom>
      <diagonal/>
    </border>
    <border>
      <left style="thin">
        <color indexed="54"/>
      </left>
      <right style="thin">
        <color indexed="54"/>
      </right>
      <top/>
      <bottom style="medium">
        <color indexed="54"/>
      </bottom>
      <diagonal/>
    </border>
    <border>
      <left style="thin">
        <color indexed="54"/>
      </left>
      <right style="thin">
        <color indexed="54"/>
      </right>
      <top style="medium">
        <color indexed="54"/>
      </top>
      <bottom style="medium">
        <color indexed="54"/>
      </bottom>
      <diagonal/>
    </border>
    <border>
      <left style="medium">
        <color indexed="54"/>
      </left>
      <right style="thin">
        <color indexed="54"/>
      </right>
      <top/>
      <bottom style="medium">
        <color indexed="54"/>
      </bottom>
      <diagonal/>
    </border>
    <border>
      <left style="thin">
        <color indexed="54"/>
      </left>
      <right style="thin">
        <color indexed="54"/>
      </right>
      <top style="hair">
        <color indexed="54"/>
      </top>
      <bottom style="hair">
        <color indexed="54"/>
      </bottom>
      <diagonal/>
    </border>
    <border>
      <left style="medium">
        <color indexed="54"/>
      </left>
      <right/>
      <top style="medium">
        <color indexed="54"/>
      </top>
      <bottom style="medium">
        <color indexed="54"/>
      </bottom>
      <diagonal/>
    </border>
    <border>
      <left style="thin">
        <color indexed="54"/>
      </left>
      <right style="medium">
        <color indexed="54"/>
      </right>
      <top style="medium">
        <color indexed="54"/>
      </top>
      <bottom style="thin">
        <color indexed="54"/>
      </bottom>
      <diagonal/>
    </border>
    <border>
      <left style="thin">
        <color indexed="54"/>
      </left>
      <right style="medium">
        <color indexed="54"/>
      </right>
      <top style="thin">
        <color indexed="54"/>
      </top>
      <bottom style="medium">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medium">
        <color indexed="54"/>
      </bottom>
      <diagonal/>
    </border>
    <border>
      <left/>
      <right style="thin">
        <color indexed="54"/>
      </right>
      <top style="thin">
        <color indexed="54"/>
      </top>
      <bottom style="medium">
        <color indexed="54"/>
      </bottom>
      <diagonal/>
    </border>
    <border>
      <left/>
      <right/>
      <top style="thick">
        <color indexed="54"/>
      </top>
      <bottom/>
      <diagonal/>
    </border>
    <border>
      <left/>
      <right style="thick">
        <color indexed="54"/>
      </right>
      <top style="thick">
        <color indexed="54"/>
      </top>
      <bottom/>
      <diagonal/>
    </border>
    <border>
      <left style="thick">
        <color indexed="54"/>
      </left>
      <right style="thin">
        <color indexed="54"/>
      </right>
      <top style="thin">
        <color indexed="54"/>
      </top>
      <bottom style="thin">
        <color indexed="54"/>
      </bottom>
      <diagonal/>
    </border>
    <border>
      <left style="thin">
        <color indexed="54"/>
      </left>
      <right style="medium">
        <color indexed="54"/>
      </right>
      <top style="thin">
        <color indexed="54"/>
      </top>
      <bottom style="hair">
        <color indexed="54"/>
      </bottom>
      <diagonal/>
    </border>
    <border>
      <left style="medium">
        <color indexed="54"/>
      </left>
      <right style="thin">
        <color indexed="54"/>
      </right>
      <top style="medium">
        <color indexed="54"/>
      </top>
      <bottom style="hair">
        <color indexed="54"/>
      </bottom>
      <diagonal/>
    </border>
    <border>
      <left style="thin">
        <color indexed="54"/>
      </left>
      <right/>
      <top style="medium">
        <color indexed="54"/>
      </top>
      <bottom style="thin">
        <color indexed="54"/>
      </bottom>
      <diagonal/>
    </border>
    <border>
      <left/>
      <right/>
      <top style="medium">
        <color indexed="54"/>
      </top>
      <bottom style="thin">
        <color indexed="54"/>
      </bottom>
      <diagonal/>
    </border>
    <border>
      <left/>
      <right style="medium">
        <color indexed="54"/>
      </right>
      <top style="medium">
        <color indexed="54"/>
      </top>
      <bottom style="thin">
        <color indexed="54"/>
      </bottom>
      <diagonal/>
    </border>
    <border>
      <left/>
      <right style="thick">
        <color indexed="54"/>
      </right>
      <top/>
      <bottom/>
      <diagonal/>
    </border>
    <border>
      <left style="thin">
        <color indexed="54"/>
      </left>
      <right style="medium">
        <color indexed="54"/>
      </right>
      <top style="hair">
        <color indexed="54"/>
      </top>
      <bottom style="hair">
        <color indexed="54"/>
      </bottom>
      <diagonal/>
    </border>
    <border>
      <left style="medium">
        <color indexed="54"/>
      </left>
      <right style="thin">
        <color indexed="54"/>
      </right>
      <top style="hair">
        <color indexed="54"/>
      </top>
      <bottom style="hair">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medium">
        <color indexed="54"/>
      </right>
      <top style="thin">
        <color indexed="54"/>
      </top>
      <bottom style="thin">
        <color indexed="54"/>
      </bottom>
      <diagonal/>
    </border>
    <border>
      <left style="thick">
        <color indexed="54"/>
      </left>
      <right style="thin">
        <color indexed="54"/>
      </right>
      <top style="thin">
        <color indexed="54"/>
      </top>
      <bottom style="medium">
        <color indexed="54"/>
      </bottom>
      <diagonal/>
    </border>
    <border>
      <left style="thin">
        <color indexed="54"/>
      </left>
      <right style="medium">
        <color indexed="54"/>
      </right>
      <top style="hair">
        <color indexed="54"/>
      </top>
      <bottom style="medium">
        <color indexed="54"/>
      </bottom>
      <diagonal/>
    </border>
    <border>
      <left style="medium">
        <color indexed="54"/>
      </left>
      <right style="thin">
        <color indexed="54"/>
      </right>
      <top style="hair">
        <color indexed="54"/>
      </top>
      <bottom style="medium">
        <color indexed="54"/>
      </bottom>
      <diagonal/>
    </border>
    <border>
      <left style="thin">
        <color indexed="54"/>
      </left>
      <right/>
      <top style="thin">
        <color indexed="54"/>
      </top>
      <bottom style="medium">
        <color indexed="54"/>
      </bottom>
      <diagonal/>
    </border>
    <border>
      <left/>
      <right/>
      <top style="thin">
        <color indexed="54"/>
      </top>
      <bottom style="medium">
        <color indexed="54"/>
      </bottom>
      <diagonal/>
    </border>
    <border>
      <left/>
      <right style="medium">
        <color indexed="54"/>
      </right>
      <top style="thin">
        <color indexed="54"/>
      </top>
      <bottom style="medium">
        <color indexed="54"/>
      </bottom>
      <diagonal/>
    </border>
    <border>
      <left style="thick">
        <color indexed="54"/>
      </left>
      <right/>
      <top/>
      <bottom/>
      <diagonal/>
    </border>
    <border>
      <left/>
      <right style="thick">
        <color indexed="54"/>
      </right>
      <top style="medium">
        <color indexed="54"/>
      </top>
      <bottom style="thin">
        <color indexed="54"/>
      </bottom>
      <diagonal/>
    </border>
    <border>
      <left style="thin">
        <color indexed="54"/>
      </left>
      <right style="thin">
        <color indexed="54"/>
      </right>
      <top style="thin">
        <color indexed="54"/>
      </top>
      <bottom style="thin">
        <color indexed="54"/>
      </bottom>
      <diagonal/>
    </border>
    <border>
      <left style="thin">
        <color indexed="54"/>
      </left>
      <right style="medium">
        <color indexed="54"/>
      </right>
      <top style="thin">
        <color indexed="54"/>
      </top>
      <bottom style="thin">
        <color indexed="54"/>
      </bottom>
      <diagonal/>
    </border>
    <border>
      <left style="medium">
        <color indexed="54"/>
      </left>
      <right style="thin">
        <color indexed="54"/>
      </right>
      <top style="thin">
        <color indexed="54"/>
      </top>
      <bottom/>
      <diagonal/>
    </border>
    <border>
      <left style="thin">
        <color indexed="54"/>
      </left>
      <right style="thin">
        <color indexed="54"/>
      </right>
      <top style="thin">
        <color indexed="54"/>
      </top>
      <bottom/>
      <diagonal/>
    </border>
    <border>
      <left style="thin">
        <color indexed="54"/>
      </left>
      <right style="medium">
        <color indexed="54"/>
      </right>
      <top style="thin">
        <color indexed="54"/>
      </top>
      <bottom/>
      <diagonal/>
    </border>
    <border>
      <left style="medium">
        <color indexed="54"/>
      </left>
      <right style="medium">
        <color indexed="54"/>
      </right>
      <top style="medium">
        <color indexed="54"/>
      </top>
      <bottom style="hair">
        <color indexed="54"/>
      </bottom>
      <diagonal/>
    </border>
    <border>
      <left style="medium">
        <color indexed="54"/>
      </left>
      <right style="thin">
        <color indexed="54"/>
      </right>
      <top/>
      <bottom style="thin">
        <color indexed="54"/>
      </bottom>
      <diagonal/>
    </border>
    <border>
      <left style="thin">
        <color indexed="54"/>
      </left>
      <right style="thin">
        <color indexed="54"/>
      </right>
      <top/>
      <bottom style="thin">
        <color indexed="54"/>
      </bottom>
      <diagonal/>
    </border>
    <border>
      <left style="thin">
        <color indexed="54"/>
      </left>
      <right style="medium">
        <color indexed="54"/>
      </right>
      <top/>
      <bottom style="thin">
        <color indexed="54"/>
      </bottom>
      <diagonal/>
    </border>
    <border>
      <left style="medium">
        <color indexed="54"/>
      </left>
      <right style="medium">
        <color indexed="54"/>
      </right>
      <top style="hair">
        <color indexed="54"/>
      </top>
      <bottom style="thin">
        <color indexed="54"/>
      </bottom>
      <diagonal/>
    </border>
    <border>
      <left style="medium">
        <color indexed="54"/>
      </left>
      <right style="hair">
        <color indexed="54"/>
      </right>
      <top style="hair">
        <color indexed="54"/>
      </top>
      <bottom style="thin">
        <color indexed="54"/>
      </bottom>
      <diagonal/>
    </border>
    <border>
      <left style="hair">
        <color indexed="54"/>
      </left>
      <right style="hair">
        <color indexed="54"/>
      </right>
      <top style="hair">
        <color indexed="54"/>
      </top>
      <bottom style="thin">
        <color indexed="54"/>
      </bottom>
      <diagonal/>
    </border>
    <border>
      <left style="hair">
        <color indexed="54"/>
      </left>
      <right/>
      <top style="hair">
        <color indexed="54"/>
      </top>
      <bottom style="thin">
        <color indexed="54"/>
      </bottom>
      <diagonal/>
    </border>
    <border>
      <left style="thin">
        <color indexed="54"/>
      </left>
      <right style="hair">
        <color indexed="54"/>
      </right>
      <top style="hair">
        <color indexed="54"/>
      </top>
      <bottom style="thin">
        <color indexed="54"/>
      </bottom>
      <diagonal/>
    </border>
    <border>
      <left style="hair">
        <color indexed="54"/>
      </left>
      <right style="thin">
        <color indexed="54"/>
      </right>
      <top style="hair">
        <color indexed="54"/>
      </top>
      <bottom style="thin">
        <color indexed="54"/>
      </bottom>
      <diagonal/>
    </border>
    <border>
      <left style="thick">
        <color indexed="54"/>
      </left>
      <right style="thin">
        <color indexed="54"/>
      </right>
      <top style="thin">
        <color indexed="54"/>
      </top>
      <bottom style="hair">
        <color indexed="54"/>
      </bottom>
      <diagonal/>
    </border>
    <border>
      <left/>
      <right/>
      <top style="thin">
        <color indexed="54"/>
      </top>
      <bottom style="hair">
        <color indexed="54"/>
      </bottom>
      <diagonal/>
    </border>
    <border>
      <left style="thin">
        <color indexed="54"/>
      </left>
      <right style="thin">
        <color indexed="54"/>
      </right>
      <top style="thin">
        <color indexed="54"/>
      </top>
      <bottom style="hair">
        <color indexed="54"/>
      </bottom>
      <diagonal/>
    </border>
    <border>
      <left style="medium">
        <color indexed="54"/>
      </left>
      <right style="thin">
        <color indexed="54"/>
      </right>
      <top style="thin">
        <color indexed="54"/>
      </top>
      <bottom style="hair">
        <color indexed="54"/>
      </bottom>
      <diagonal/>
    </border>
    <border>
      <left style="medium">
        <color indexed="54"/>
      </left>
      <right style="hair">
        <color indexed="54"/>
      </right>
      <top style="thin">
        <color indexed="54"/>
      </top>
      <bottom style="hair">
        <color indexed="54"/>
      </bottom>
      <diagonal/>
    </border>
    <border>
      <left style="hair">
        <color indexed="54"/>
      </left>
      <right style="hair">
        <color indexed="54"/>
      </right>
      <top style="thin">
        <color indexed="54"/>
      </top>
      <bottom style="hair">
        <color indexed="54"/>
      </bottom>
      <diagonal/>
    </border>
    <border>
      <left style="hair">
        <color indexed="54"/>
      </left>
      <right/>
      <top style="thin">
        <color indexed="54"/>
      </top>
      <bottom style="hair">
        <color indexed="54"/>
      </bottom>
      <diagonal/>
    </border>
    <border>
      <left style="thin">
        <color indexed="54"/>
      </left>
      <right style="hair">
        <color indexed="54"/>
      </right>
      <top style="thin">
        <color indexed="54"/>
      </top>
      <bottom style="hair">
        <color indexed="54"/>
      </bottom>
      <diagonal/>
    </border>
    <border>
      <left style="hair">
        <color indexed="54"/>
      </left>
      <right style="thin">
        <color indexed="54"/>
      </right>
      <top style="thin">
        <color indexed="54"/>
      </top>
      <bottom style="hair">
        <color indexed="54"/>
      </bottom>
      <diagonal/>
    </border>
    <border>
      <left/>
      <right style="hair">
        <color indexed="54"/>
      </right>
      <top style="thin">
        <color indexed="54"/>
      </top>
      <bottom style="hair">
        <color indexed="54"/>
      </bottom>
      <diagonal/>
    </border>
    <border>
      <left style="thick">
        <color indexed="54"/>
      </left>
      <right style="thin">
        <color indexed="54"/>
      </right>
      <top style="hair">
        <color indexed="54"/>
      </top>
      <bottom style="hair">
        <color indexed="54"/>
      </bottom>
      <diagonal/>
    </border>
    <border>
      <left/>
      <right/>
      <top style="hair">
        <color indexed="54"/>
      </top>
      <bottom style="hair">
        <color indexed="54"/>
      </bottom>
      <diagonal/>
    </border>
    <border>
      <left style="hair">
        <color indexed="54"/>
      </left>
      <right style="medium">
        <color indexed="54"/>
      </right>
      <top style="hair">
        <color indexed="54"/>
      </top>
      <bottom style="hair">
        <color indexed="54"/>
      </bottom>
      <diagonal/>
    </border>
    <border>
      <left style="medium">
        <color indexed="54"/>
      </left>
      <right style="hair">
        <color indexed="54"/>
      </right>
      <top style="hair">
        <color indexed="54"/>
      </top>
      <bottom style="hair">
        <color indexed="54"/>
      </bottom>
      <diagonal/>
    </border>
    <border>
      <left style="hair">
        <color indexed="54"/>
      </left>
      <right style="hair">
        <color indexed="54"/>
      </right>
      <top style="hair">
        <color indexed="54"/>
      </top>
      <bottom style="hair">
        <color indexed="54"/>
      </bottom>
      <diagonal/>
    </border>
    <border>
      <left style="hair">
        <color indexed="54"/>
      </left>
      <right/>
      <top style="hair">
        <color indexed="54"/>
      </top>
      <bottom style="hair">
        <color indexed="54"/>
      </bottom>
      <diagonal/>
    </border>
    <border>
      <left style="thin">
        <color indexed="54"/>
      </left>
      <right style="hair">
        <color indexed="54"/>
      </right>
      <top style="hair">
        <color indexed="54"/>
      </top>
      <bottom style="hair">
        <color indexed="54"/>
      </bottom>
      <diagonal/>
    </border>
    <border>
      <left style="hair">
        <color indexed="54"/>
      </left>
      <right style="thin">
        <color indexed="54"/>
      </right>
      <top style="hair">
        <color indexed="54"/>
      </top>
      <bottom style="hair">
        <color indexed="54"/>
      </bottom>
      <diagonal/>
    </border>
    <border>
      <left/>
      <right style="hair">
        <color indexed="54"/>
      </right>
      <top style="hair">
        <color indexed="54"/>
      </top>
      <bottom style="hair">
        <color indexed="54"/>
      </bottom>
      <diagonal/>
    </border>
    <border>
      <left style="thin">
        <color indexed="54"/>
      </left>
      <right style="thick">
        <color indexed="54"/>
      </right>
      <top style="thin">
        <color indexed="54"/>
      </top>
      <bottom style="thin">
        <color indexed="54"/>
      </bottom>
      <diagonal/>
    </border>
    <border>
      <left style="thin">
        <color indexed="54"/>
      </left>
      <right style="thin">
        <color indexed="54"/>
      </right>
      <top style="medium">
        <color indexed="54"/>
      </top>
      <bottom style="hair">
        <color indexed="54"/>
      </bottom>
      <diagonal/>
    </border>
    <border>
      <left/>
      <right/>
      <top style="medium">
        <color indexed="54"/>
      </top>
      <bottom style="medium">
        <color indexed="54"/>
      </bottom>
      <diagonal/>
    </border>
    <border>
      <left/>
      <right style="thin">
        <color indexed="54"/>
      </right>
      <top style="medium">
        <color indexed="54"/>
      </top>
      <bottom style="medium">
        <color indexed="54"/>
      </bottom>
      <diagonal/>
    </border>
    <border>
      <left style="thin">
        <color indexed="54"/>
      </left>
      <right style="medium">
        <color indexed="54"/>
      </right>
      <top style="medium">
        <color indexed="54"/>
      </top>
      <bottom style="medium">
        <color indexed="54"/>
      </bottom>
      <diagonal/>
    </border>
    <border>
      <left style="thin">
        <color indexed="54"/>
      </left>
      <right style="thin">
        <color indexed="54"/>
      </right>
      <top style="medium">
        <color indexed="54"/>
      </top>
      <bottom style="thin">
        <color indexed="5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54"/>
      </left>
      <right/>
      <top style="thick">
        <color indexed="54"/>
      </top>
      <bottom/>
      <diagonal/>
    </border>
    <border>
      <left/>
      <right style="medium">
        <color indexed="54"/>
      </right>
      <top style="thick">
        <color indexed="54"/>
      </top>
      <bottom/>
      <diagonal/>
    </border>
    <border>
      <left/>
      <right style="thin">
        <color indexed="64"/>
      </right>
      <top/>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54"/>
      </right>
      <top/>
      <bottom style="medium">
        <color indexed="54"/>
      </bottom>
      <diagonal/>
    </border>
    <border>
      <left style="thin">
        <color indexed="54"/>
      </left>
      <right style="medium">
        <color indexed="64"/>
      </right>
      <top/>
      <bottom style="medium">
        <color indexed="54"/>
      </bottom>
      <diagonal/>
    </border>
    <border>
      <left style="thin">
        <color indexed="54"/>
      </left>
      <right style="thin">
        <color indexed="54"/>
      </right>
      <top/>
      <bottom/>
      <diagonal/>
    </border>
    <border>
      <left style="thick">
        <color indexed="54"/>
      </left>
      <right/>
      <top style="thick">
        <color indexed="54"/>
      </top>
      <bottom style="thin">
        <color indexed="64"/>
      </bottom>
      <diagonal/>
    </border>
    <border>
      <left/>
      <right/>
      <top style="thick">
        <color indexed="5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54"/>
      </right>
      <top/>
      <bottom/>
      <diagonal/>
    </border>
    <border>
      <left style="thin">
        <color indexed="54"/>
      </left>
      <right style="medium">
        <color indexed="64"/>
      </right>
      <top/>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54"/>
      </left>
      <right style="thin">
        <color indexed="5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2"/>
      </left>
      <right style="thin">
        <color indexed="62"/>
      </right>
      <top style="thin">
        <color indexed="62"/>
      </top>
      <bottom/>
      <diagonal/>
    </border>
    <border>
      <left style="thin">
        <color indexed="54"/>
      </left>
      <right style="thin">
        <color indexed="54"/>
      </right>
      <top/>
      <bottom style="hair">
        <color indexed="54"/>
      </bottom>
      <diagonal/>
    </border>
    <border>
      <left/>
      <right style="thin">
        <color indexed="62"/>
      </right>
      <top style="thin">
        <color indexed="62"/>
      </top>
      <bottom/>
      <diagonal/>
    </border>
    <border>
      <left style="medium">
        <color indexed="64"/>
      </left>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right/>
      <top style="thin">
        <color indexed="9"/>
      </top>
      <bottom/>
      <diagonal/>
    </border>
    <border>
      <left/>
      <right style="thin">
        <color indexed="64"/>
      </right>
      <top style="thin">
        <color indexed="9"/>
      </top>
      <bottom/>
      <diagonal/>
    </border>
    <border>
      <left style="thin">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top/>
      <bottom style="thin">
        <color indexed="62"/>
      </bottom>
      <diagonal/>
    </border>
    <border>
      <left/>
      <right/>
      <top/>
      <bottom style="thin">
        <color indexed="62"/>
      </bottom>
      <diagonal/>
    </border>
    <border>
      <left/>
      <right style="thin">
        <color indexed="62"/>
      </right>
      <top/>
      <bottom style="thin">
        <color indexed="62"/>
      </bottom>
      <diagonal/>
    </border>
    <border>
      <left/>
      <right/>
      <top style="thin">
        <color indexed="62"/>
      </top>
      <bottom style="thin">
        <color indexed="62"/>
      </bottom>
      <diagonal/>
    </border>
    <border>
      <left style="medium">
        <color indexed="54"/>
      </left>
      <right/>
      <top style="medium">
        <color indexed="54"/>
      </top>
      <bottom style="thin">
        <color indexed="64"/>
      </bottom>
      <diagonal/>
    </border>
    <border>
      <left/>
      <right/>
      <top style="medium">
        <color indexed="54"/>
      </top>
      <bottom style="thin">
        <color indexed="64"/>
      </bottom>
      <diagonal/>
    </border>
    <border>
      <left/>
      <right style="medium">
        <color indexed="54"/>
      </right>
      <top style="medium">
        <color indexed="54"/>
      </top>
      <bottom style="thin">
        <color indexed="64"/>
      </bottom>
      <diagonal/>
    </border>
    <border>
      <left style="medium">
        <color indexed="54"/>
      </left>
      <right style="medium">
        <color indexed="54"/>
      </right>
      <top style="medium">
        <color indexed="54"/>
      </top>
      <bottom/>
      <diagonal/>
    </border>
    <border>
      <left style="medium">
        <color indexed="54"/>
      </left>
      <right style="medium">
        <color indexed="54"/>
      </right>
      <top/>
      <bottom style="medium">
        <color indexed="54"/>
      </bottom>
      <diagonal/>
    </border>
    <border>
      <left style="thin">
        <color indexed="54"/>
      </left>
      <right style="thick">
        <color indexed="54"/>
      </right>
      <top style="thin">
        <color indexed="54"/>
      </top>
      <bottom/>
      <diagonal/>
    </border>
    <border>
      <left style="thin">
        <color indexed="54"/>
      </left>
      <right style="thick">
        <color indexed="54"/>
      </right>
      <top/>
      <bottom style="thin">
        <color indexed="54"/>
      </bottom>
      <diagonal/>
    </border>
    <border>
      <left style="medium">
        <color indexed="54"/>
      </left>
      <right/>
      <top style="thin">
        <color indexed="54"/>
      </top>
      <bottom style="hair">
        <color indexed="54"/>
      </bottom>
      <diagonal/>
    </border>
    <border>
      <left/>
      <right style="thin">
        <color indexed="54"/>
      </right>
      <top style="thin">
        <color indexed="54"/>
      </top>
      <bottom style="hair">
        <color indexed="54"/>
      </bottom>
      <diagonal/>
    </border>
    <border>
      <left style="thin">
        <color indexed="54"/>
      </left>
      <right/>
      <top style="thin">
        <color indexed="54"/>
      </top>
      <bottom style="hair">
        <color indexed="54"/>
      </bottom>
      <diagonal/>
    </border>
    <border>
      <left style="medium">
        <color indexed="54"/>
      </left>
      <right/>
      <top style="medium">
        <color indexed="54"/>
      </top>
      <bottom/>
      <diagonal/>
    </border>
    <border>
      <left style="medium">
        <color indexed="54"/>
      </left>
      <right/>
      <top/>
      <bottom/>
      <diagonal/>
    </border>
    <border>
      <left style="medium">
        <color indexed="54"/>
      </left>
      <right/>
      <top/>
      <bottom style="medium">
        <color indexed="54"/>
      </bottom>
      <diagonal/>
    </border>
    <border>
      <left style="thick">
        <color indexed="54"/>
      </left>
      <right/>
      <top style="medium">
        <color indexed="54"/>
      </top>
      <bottom style="thin">
        <color indexed="54"/>
      </bottom>
      <diagonal/>
    </border>
    <border>
      <left style="medium">
        <color indexed="54"/>
      </left>
      <right/>
      <top style="thick">
        <color indexed="54"/>
      </top>
      <bottom/>
      <diagonal/>
    </border>
    <border>
      <left style="medium">
        <color indexed="54"/>
      </left>
      <right/>
      <top style="thick">
        <color indexed="54"/>
      </top>
      <bottom style="medium">
        <color indexed="54"/>
      </bottom>
      <diagonal/>
    </border>
    <border>
      <left/>
      <right/>
      <top style="thick">
        <color indexed="54"/>
      </top>
      <bottom style="medium">
        <color indexed="54"/>
      </bottom>
      <diagonal/>
    </border>
    <border>
      <left/>
      <right style="medium">
        <color indexed="54"/>
      </right>
      <top style="thick">
        <color indexed="54"/>
      </top>
      <bottom style="medium">
        <color indexed="54"/>
      </bottom>
      <diagonal/>
    </border>
    <border>
      <left/>
      <right/>
      <top/>
      <bottom style="medium">
        <color indexed="54"/>
      </bottom>
      <diagonal/>
    </border>
    <border>
      <left/>
      <right style="medium">
        <color indexed="54"/>
      </right>
      <top/>
      <bottom style="medium">
        <color indexed="5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2103">
    <xf numFmtId="0" fontId="0" fillId="0" borderId="0"/>
    <xf numFmtId="181" fontId="70" fillId="0" borderId="0"/>
    <xf numFmtId="181" fontId="70" fillId="0" borderId="0"/>
    <xf numFmtId="171" fontId="7" fillId="0" borderId="0"/>
    <xf numFmtId="171" fontId="7" fillId="0" borderId="0"/>
    <xf numFmtId="180" fontId="70" fillId="0" borderId="0"/>
    <xf numFmtId="180" fontId="70" fillId="0" borderId="0"/>
    <xf numFmtId="180" fontId="7" fillId="0" borderId="0"/>
    <xf numFmtId="180" fontId="7" fillId="0" borderId="0"/>
    <xf numFmtId="181" fontId="70" fillId="0" borderId="0"/>
    <xf numFmtId="181" fontId="70" fillId="0" borderId="0"/>
    <xf numFmtId="171" fontId="7" fillId="0" borderId="0"/>
    <xf numFmtId="171" fontId="7" fillId="0" borderId="0"/>
    <xf numFmtId="181" fontId="70" fillId="0" borderId="0"/>
    <xf numFmtId="181" fontId="70" fillId="0" borderId="0"/>
    <xf numFmtId="171" fontId="7" fillId="0" borderId="0"/>
    <xf numFmtId="171" fontId="7" fillId="0" borderId="0"/>
    <xf numFmtId="181" fontId="70" fillId="0" borderId="0"/>
    <xf numFmtId="181" fontId="70" fillId="0" borderId="0"/>
    <xf numFmtId="171" fontId="7" fillId="0" borderId="0"/>
    <xf numFmtId="171" fontId="7" fillId="0" borderId="0"/>
    <xf numFmtId="181" fontId="70" fillId="0" borderId="0"/>
    <xf numFmtId="181" fontId="70" fillId="0" borderId="0"/>
    <xf numFmtId="171" fontId="7" fillId="0" borderId="0"/>
    <xf numFmtId="171" fontId="7" fillId="0" borderId="0"/>
    <xf numFmtId="182" fontId="70" fillId="0" borderId="0"/>
    <xf numFmtId="182" fontId="70" fillId="0" borderId="0"/>
    <xf numFmtId="14" fontId="7" fillId="0" borderId="0"/>
    <xf numFmtId="182" fontId="7" fillId="0" borderId="0"/>
    <xf numFmtId="182" fontId="7" fillId="0" borderId="0"/>
    <xf numFmtId="14" fontId="7" fillId="0" borderId="0"/>
    <xf numFmtId="183" fontId="70" fillId="0" borderId="0"/>
    <xf numFmtId="183" fontId="70" fillId="0" borderId="0"/>
    <xf numFmtId="183" fontId="7" fillId="0" borderId="0"/>
    <xf numFmtId="183" fontId="7" fillId="0" borderId="0"/>
    <xf numFmtId="182" fontId="70" fillId="0" borderId="0"/>
    <xf numFmtId="0" fontId="153" fillId="3" borderId="0" applyNumberFormat="0" applyBorder="0" applyAlignment="0" applyProtection="0"/>
    <xf numFmtId="0" fontId="153" fillId="3" borderId="0" applyNumberFormat="0" applyBorder="0" applyAlignment="0" applyProtection="0"/>
    <xf numFmtId="0" fontId="153" fillId="3" borderId="0" applyNumberFormat="0" applyBorder="0" applyAlignment="0" applyProtection="0"/>
    <xf numFmtId="0" fontId="153" fillId="3" borderId="0" applyNumberFormat="0" applyBorder="0" applyAlignment="0" applyProtection="0"/>
    <xf numFmtId="0" fontId="153" fillId="3" borderId="0" applyNumberFormat="0" applyBorder="0" applyAlignment="0" applyProtection="0"/>
    <xf numFmtId="0" fontId="153" fillId="3" borderId="0" applyNumberFormat="0" applyBorder="0" applyAlignment="0" applyProtection="0"/>
    <xf numFmtId="0" fontId="71" fillId="4" borderId="0" applyNumberFormat="0" applyBorder="0" applyAlignment="0" applyProtection="0"/>
    <xf numFmtId="0" fontId="152" fillId="3" borderId="0" applyNumberFormat="0" applyBorder="0" applyAlignment="0" applyProtection="0"/>
    <xf numFmtId="0" fontId="71" fillId="5" borderId="0" applyNumberFormat="0" applyBorder="0" applyAlignment="0" applyProtection="0"/>
    <xf numFmtId="0" fontId="71" fillId="6" borderId="0" applyNumberFormat="0" applyBorder="0" applyAlignment="0" applyProtection="0"/>
    <xf numFmtId="0" fontId="1" fillId="7" borderId="0" applyNumberFormat="0" applyBorder="0" applyAlignment="0" applyProtection="0"/>
    <xf numFmtId="0" fontId="71" fillId="4"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71" fillId="4"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71" fillId="4"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71" fillId="4"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191" fontId="152" fillId="3" borderId="0" applyNumberFormat="0" applyBorder="0" applyAlignment="0" applyProtection="0"/>
    <xf numFmtId="0" fontId="153" fillId="3" borderId="0" applyNumberFormat="0" applyBorder="0" applyAlignment="0" applyProtection="0"/>
    <xf numFmtId="0" fontId="71" fillId="6" borderId="0" applyNumberFormat="0" applyBorder="0" applyAlignment="0" applyProtection="0"/>
    <xf numFmtId="0" fontId="35" fillId="7" borderId="0" applyNumberFormat="0" applyBorder="0" applyAlignment="0" applyProtection="0"/>
    <xf numFmtId="0" fontId="1" fillId="7" borderId="0" applyNumberFormat="0" applyBorder="0" applyAlignment="0" applyProtection="0"/>
    <xf numFmtId="0" fontId="72" fillId="6" borderId="0" applyNumberFormat="0" applyBorder="0" applyAlignment="0" applyProtection="0"/>
    <xf numFmtId="0" fontId="35" fillId="7" borderId="0" applyNumberFormat="0" applyBorder="0" applyAlignment="0" applyProtection="0"/>
    <xf numFmtId="0" fontId="1" fillId="7" borderId="0" applyNumberFormat="0" applyBorder="0" applyAlignment="0" applyProtection="0"/>
    <xf numFmtId="191" fontId="1" fillId="7" borderId="0" applyNumberFormat="0" applyBorder="0" applyAlignment="0" applyProtection="0"/>
    <xf numFmtId="0" fontId="153" fillId="3" borderId="0" applyNumberFormat="0" applyBorder="0" applyAlignment="0" applyProtection="0"/>
    <xf numFmtId="0" fontId="153" fillId="3" borderId="0" applyNumberFormat="0" applyBorder="0" applyAlignment="0" applyProtection="0"/>
    <xf numFmtId="0" fontId="153" fillId="3" borderId="0" applyNumberFormat="0" applyBorder="0" applyAlignment="0" applyProtection="0"/>
    <xf numFmtId="0" fontId="153" fillId="8" borderId="0" applyNumberFormat="0" applyBorder="0" applyAlignment="0" applyProtection="0"/>
    <xf numFmtId="0" fontId="153" fillId="8" borderId="0" applyNumberFormat="0" applyBorder="0" applyAlignment="0" applyProtection="0"/>
    <xf numFmtId="0" fontId="153" fillId="8" borderId="0" applyNumberFormat="0" applyBorder="0" applyAlignment="0" applyProtection="0"/>
    <xf numFmtId="0" fontId="153" fillId="8" borderId="0" applyNumberFormat="0" applyBorder="0" applyAlignment="0" applyProtection="0"/>
    <xf numFmtId="0" fontId="153" fillId="8" borderId="0" applyNumberFormat="0" applyBorder="0" applyAlignment="0" applyProtection="0"/>
    <xf numFmtId="0" fontId="153" fillId="8" borderId="0" applyNumberFormat="0" applyBorder="0" applyAlignment="0" applyProtection="0"/>
    <xf numFmtId="0" fontId="71" fillId="9" borderId="0" applyNumberFormat="0" applyBorder="0" applyAlignment="0" applyProtection="0"/>
    <xf numFmtId="0" fontId="152" fillId="8" borderId="0" applyNumberFormat="0" applyBorder="0" applyAlignment="0" applyProtection="0"/>
    <xf numFmtId="0" fontId="71" fillId="10" borderId="0" applyNumberFormat="0" applyBorder="0" applyAlignment="0" applyProtection="0"/>
    <xf numFmtId="0" fontId="1" fillId="11" borderId="0" applyNumberFormat="0" applyBorder="0" applyAlignment="0" applyProtection="0"/>
    <xf numFmtId="0" fontId="71" fillId="9"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71" fillId="9"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71" fillId="9"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71" fillId="9"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0" fontId="152" fillId="8" borderId="0" applyNumberFormat="0" applyBorder="0" applyAlignment="0" applyProtection="0"/>
    <xf numFmtId="191" fontId="152" fillId="8" borderId="0" applyNumberFormat="0" applyBorder="0" applyAlignment="0" applyProtection="0"/>
    <xf numFmtId="0" fontId="153" fillId="8" borderId="0" applyNumberFormat="0" applyBorder="0" applyAlignment="0" applyProtection="0"/>
    <xf numFmtId="0" fontId="71" fillId="10" borderId="0" applyNumberFormat="0" applyBorder="0" applyAlignment="0" applyProtection="0"/>
    <xf numFmtId="0" fontId="35" fillId="11" borderId="0" applyNumberFormat="0" applyBorder="0" applyAlignment="0" applyProtection="0"/>
    <xf numFmtId="0" fontId="1" fillId="11" borderId="0" applyNumberFormat="0" applyBorder="0" applyAlignment="0" applyProtection="0"/>
    <xf numFmtId="0" fontId="72" fillId="10" borderId="0" applyNumberFormat="0" applyBorder="0" applyAlignment="0" applyProtection="0"/>
    <xf numFmtId="0" fontId="35" fillId="11" borderId="0" applyNumberFormat="0" applyBorder="0" applyAlignment="0" applyProtection="0"/>
    <xf numFmtId="0" fontId="1" fillId="11" borderId="0" applyNumberFormat="0" applyBorder="0" applyAlignment="0" applyProtection="0"/>
    <xf numFmtId="191" fontId="1" fillId="11" borderId="0" applyNumberFormat="0" applyBorder="0" applyAlignment="0" applyProtection="0"/>
    <xf numFmtId="0" fontId="153" fillId="8" borderId="0" applyNumberFormat="0" applyBorder="0" applyAlignment="0" applyProtection="0"/>
    <xf numFmtId="0" fontId="153" fillId="8" borderId="0" applyNumberFormat="0" applyBorder="0" applyAlignment="0" applyProtection="0"/>
    <xf numFmtId="0" fontId="153" fillId="8"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71" fillId="13" borderId="0" applyNumberFormat="0" applyBorder="0" applyAlignment="0" applyProtection="0"/>
    <xf numFmtId="0" fontId="152" fillId="12" borderId="0" applyNumberFormat="0" applyBorder="0" applyAlignment="0" applyProtection="0"/>
    <xf numFmtId="0" fontId="71" fillId="14" borderId="0" applyNumberFormat="0" applyBorder="0" applyAlignment="0" applyProtection="0"/>
    <xf numFmtId="0" fontId="71" fillId="15" borderId="0" applyNumberFormat="0" applyBorder="0" applyAlignment="0" applyProtection="0"/>
    <xf numFmtId="0" fontId="1" fillId="16" borderId="0" applyNumberFormat="0" applyBorder="0" applyAlignment="0" applyProtection="0"/>
    <xf numFmtId="0" fontId="71" fillId="13"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71" fillId="13"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71" fillId="13"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71" fillId="13"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191" fontId="152" fillId="12" borderId="0" applyNumberFormat="0" applyBorder="0" applyAlignment="0" applyProtection="0"/>
    <xf numFmtId="0" fontId="153" fillId="12" borderId="0" applyNumberFormat="0" applyBorder="0" applyAlignment="0" applyProtection="0"/>
    <xf numFmtId="0" fontId="71" fillId="15" borderId="0" applyNumberFormat="0" applyBorder="0" applyAlignment="0" applyProtection="0"/>
    <xf numFmtId="0" fontId="35" fillId="16" borderId="0" applyNumberFormat="0" applyBorder="0" applyAlignment="0" applyProtection="0"/>
    <xf numFmtId="0" fontId="1" fillId="16" borderId="0" applyNumberFormat="0" applyBorder="0" applyAlignment="0" applyProtection="0"/>
    <xf numFmtId="0" fontId="72" fillId="15" borderId="0" applyNumberFormat="0" applyBorder="0" applyAlignment="0" applyProtection="0"/>
    <xf numFmtId="0" fontId="35" fillId="16" borderId="0" applyNumberFormat="0" applyBorder="0" applyAlignment="0" applyProtection="0"/>
    <xf numFmtId="0" fontId="1" fillId="16" borderId="0" applyNumberFormat="0" applyBorder="0" applyAlignment="0" applyProtection="0"/>
    <xf numFmtId="191" fontId="1" fillId="16"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3" borderId="0" applyNumberFormat="0" applyBorder="0" applyAlignment="0" applyProtection="0"/>
    <xf numFmtId="0" fontId="153" fillId="3" borderId="0" applyNumberFormat="0" applyBorder="0" applyAlignment="0" applyProtection="0"/>
    <xf numFmtId="0" fontId="153" fillId="3" borderId="0" applyNumberFormat="0" applyBorder="0" applyAlignment="0" applyProtection="0"/>
    <xf numFmtId="0" fontId="153" fillId="3" borderId="0" applyNumberFormat="0" applyBorder="0" applyAlignment="0" applyProtection="0"/>
    <xf numFmtId="0" fontId="153" fillId="3" borderId="0" applyNumberFormat="0" applyBorder="0" applyAlignment="0" applyProtection="0"/>
    <xf numFmtId="0" fontId="153" fillId="3" borderId="0" applyNumberFormat="0" applyBorder="0" applyAlignment="0" applyProtection="0"/>
    <xf numFmtId="0" fontId="71" fillId="17" borderId="0" applyNumberFormat="0" applyBorder="0" applyAlignment="0" applyProtection="0"/>
    <xf numFmtId="0" fontId="152" fillId="3"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1" fillId="20" borderId="0" applyNumberFormat="0" applyBorder="0" applyAlignment="0" applyProtection="0"/>
    <xf numFmtId="0" fontId="71" fillId="17"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71" fillId="17"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71" fillId="17"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71" fillId="17"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0" fontId="152" fillId="3" borderId="0" applyNumberFormat="0" applyBorder="0" applyAlignment="0" applyProtection="0"/>
    <xf numFmtId="191" fontId="152" fillId="3" borderId="0" applyNumberFormat="0" applyBorder="0" applyAlignment="0" applyProtection="0"/>
    <xf numFmtId="0" fontId="153" fillId="3" borderId="0" applyNumberFormat="0" applyBorder="0" applyAlignment="0" applyProtection="0"/>
    <xf numFmtId="0" fontId="71" fillId="19"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0" fontId="72" fillId="19"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191" fontId="1" fillId="20" borderId="0" applyNumberFormat="0" applyBorder="0" applyAlignment="0" applyProtection="0"/>
    <xf numFmtId="0" fontId="153" fillId="3" borderId="0" applyNumberFormat="0" applyBorder="0" applyAlignment="0" applyProtection="0"/>
    <xf numFmtId="0" fontId="153" fillId="3" borderId="0" applyNumberFormat="0" applyBorder="0" applyAlignment="0" applyProtection="0"/>
    <xf numFmtId="0" fontId="153" fillId="3" borderId="0" applyNumberFormat="0" applyBorder="0" applyAlignment="0" applyProtection="0"/>
    <xf numFmtId="0" fontId="153" fillId="99" borderId="0" applyNumberFormat="0" applyBorder="0" applyAlignment="0" applyProtection="0"/>
    <xf numFmtId="0" fontId="153" fillId="99" borderId="0" applyNumberFormat="0" applyBorder="0" applyAlignment="0" applyProtection="0"/>
    <xf numFmtId="0" fontId="153" fillId="99" borderId="0" applyNumberFormat="0" applyBorder="0" applyAlignment="0" applyProtection="0"/>
    <xf numFmtId="0" fontId="153" fillId="99" borderId="0" applyNumberFormat="0" applyBorder="0" applyAlignment="0" applyProtection="0"/>
    <xf numFmtId="0" fontId="153" fillId="99" borderId="0" applyNumberFormat="0" applyBorder="0" applyAlignment="0" applyProtection="0"/>
    <xf numFmtId="0" fontId="153" fillId="99" borderId="0" applyNumberFormat="0" applyBorder="0" applyAlignment="0" applyProtection="0"/>
    <xf numFmtId="0" fontId="71" fillId="22" borderId="0" applyNumberFormat="0" applyBorder="0" applyAlignment="0" applyProtection="0"/>
    <xf numFmtId="0" fontId="152" fillId="99" borderId="0" applyNumberFormat="0" applyBorder="0" applyAlignment="0" applyProtection="0"/>
    <xf numFmtId="0" fontId="71" fillId="23" borderId="0" applyNumberFormat="0" applyBorder="0" applyAlignment="0" applyProtection="0"/>
    <xf numFmtId="0" fontId="71" fillId="22" borderId="0" applyNumberFormat="0" applyBorder="0" applyAlignment="0" applyProtection="0"/>
    <xf numFmtId="0" fontId="1" fillId="21" borderId="0" applyNumberFormat="0" applyBorder="0" applyAlignment="0" applyProtection="0"/>
    <xf numFmtId="0" fontId="71" fillId="22"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71" fillId="22"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71" fillId="22"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71" fillId="22"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0" fontId="152" fillId="99" borderId="0" applyNumberFormat="0" applyBorder="0" applyAlignment="0" applyProtection="0"/>
    <xf numFmtId="191" fontId="152" fillId="99" borderId="0" applyNumberFormat="0" applyBorder="0" applyAlignment="0" applyProtection="0"/>
    <xf numFmtId="0" fontId="153" fillId="99" borderId="0" applyNumberFormat="0" applyBorder="0" applyAlignment="0" applyProtection="0"/>
    <xf numFmtId="0" fontId="71" fillId="22" borderId="0" applyNumberFormat="0" applyBorder="0" applyAlignment="0" applyProtection="0"/>
    <xf numFmtId="0" fontId="35" fillId="21" borderId="0" applyNumberFormat="0" applyBorder="0" applyAlignment="0" applyProtection="0"/>
    <xf numFmtId="0" fontId="1" fillId="21" borderId="0" applyNumberFormat="0" applyBorder="0" applyAlignment="0" applyProtection="0"/>
    <xf numFmtId="0" fontId="72" fillId="22" borderId="0" applyNumberFormat="0" applyBorder="0" applyAlignment="0" applyProtection="0"/>
    <xf numFmtId="0" fontId="35" fillId="21" borderId="0" applyNumberFormat="0" applyBorder="0" applyAlignment="0" applyProtection="0"/>
    <xf numFmtId="0" fontId="1" fillId="21" borderId="0" applyNumberFormat="0" applyBorder="0" applyAlignment="0" applyProtection="0"/>
    <xf numFmtId="191" fontId="1" fillId="21" borderId="0" applyNumberFormat="0" applyBorder="0" applyAlignment="0" applyProtection="0"/>
    <xf numFmtId="0" fontId="153" fillId="99" borderId="0" applyNumberFormat="0" applyBorder="0" applyAlignment="0" applyProtection="0"/>
    <xf numFmtId="0" fontId="153" fillId="99" borderId="0" applyNumberFormat="0" applyBorder="0" applyAlignment="0" applyProtection="0"/>
    <xf numFmtId="0" fontId="153" fillId="99"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71" fillId="24" borderId="0" applyNumberFormat="0" applyBorder="0" applyAlignment="0" applyProtection="0"/>
    <xf numFmtId="0" fontId="152" fillId="12"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1" fillId="3" borderId="0" applyNumberFormat="0" applyBorder="0" applyAlignment="0" applyProtection="0"/>
    <xf numFmtId="0" fontId="71" fillId="24"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71" fillId="24"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71" fillId="24"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71" fillId="24"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0" fontId="152" fillId="12" borderId="0" applyNumberFormat="0" applyBorder="0" applyAlignment="0" applyProtection="0"/>
    <xf numFmtId="191" fontId="152" fillId="12" borderId="0" applyNumberFormat="0" applyBorder="0" applyAlignment="0" applyProtection="0"/>
    <xf numFmtId="0" fontId="153" fillId="12" borderId="0" applyNumberFormat="0" applyBorder="0" applyAlignment="0" applyProtection="0"/>
    <xf numFmtId="0" fontId="71" fillId="26" borderId="0" applyNumberFormat="0" applyBorder="0" applyAlignment="0" applyProtection="0"/>
    <xf numFmtId="0" fontId="35" fillId="3" borderId="0" applyNumberFormat="0" applyBorder="0" applyAlignment="0" applyProtection="0"/>
    <xf numFmtId="0" fontId="1" fillId="3" borderId="0" applyNumberFormat="0" applyBorder="0" applyAlignment="0" applyProtection="0"/>
    <xf numFmtId="0" fontId="72" fillId="26" borderId="0" applyNumberFormat="0" applyBorder="0" applyAlignment="0" applyProtection="0"/>
    <xf numFmtId="0" fontId="35" fillId="3" borderId="0" applyNumberFormat="0" applyBorder="0" applyAlignment="0" applyProtection="0"/>
    <xf numFmtId="0" fontId="1" fillId="3" borderId="0" applyNumberFormat="0" applyBorder="0" applyAlignment="0" applyProtection="0"/>
    <xf numFmtId="191" fontId="1" fillId="3"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12" borderId="0" applyNumberFormat="0" applyBorder="0" applyAlignment="0" applyProtection="0"/>
    <xf numFmtId="0" fontId="153" fillId="27" borderId="0" applyNumberFormat="0" applyBorder="0" applyAlignment="0" applyProtection="0"/>
    <xf numFmtId="0" fontId="153" fillId="27" borderId="0" applyNumberFormat="0" applyBorder="0" applyAlignment="0" applyProtection="0"/>
    <xf numFmtId="0" fontId="153" fillId="27" borderId="0" applyNumberFormat="0" applyBorder="0" applyAlignment="0" applyProtection="0"/>
    <xf numFmtId="0" fontId="153" fillId="27" borderId="0" applyNumberFormat="0" applyBorder="0" applyAlignment="0" applyProtection="0"/>
    <xf numFmtId="0" fontId="153" fillId="27" borderId="0" applyNumberFormat="0" applyBorder="0" applyAlignment="0" applyProtection="0"/>
    <xf numFmtId="0" fontId="153" fillId="27" borderId="0" applyNumberFormat="0" applyBorder="0" applyAlignment="0" applyProtection="0"/>
    <xf numFmtId="0" fontId="71" fillId="6" borderId="0" applyNumberFormat="0" applyBorder="0" applyAlignment="0" applyProtection="0"/>
    <xf numFmtId="0" fontId="152" fillId="27" borderId="0" applyNumberFormat="0" applyBorder="0" applyAlignment="0" applyProtection="0"/>
    <xf numFmtId="0" fontId="71" fillId="28" borderId="0" applyNumberFormat="0" applyBorder="0" applyAlignment="0" applyProtection="0"/>
    <xf numFmtId="0" fontId="1" fillId="2" borderId="0" applyNumberFormat="0" applyBorder="0" applyAlignment="0" applyProtection="0"/>
    <xf numFmtId="0" fontId="71" fillId="6"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71" fillId="6"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71" fillId="6"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71" fillId="6"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191" fontId="152" fillId="27" borderId="0" applyNumberFormat="0" applyBorder="0" applyAlignment="0" applyProtection="0"/>
    <xf numFmtId="0" fontId="153" fillId="27" borderId="0" applyNumberFormat="0" applyBorder="0" applyAlignment="0" applyProtection="0"/>
    <xf numFmtId="0" fontId="71" fillId="28" borderId="0" applyNumberFormat="0" applyBorder="0" applyAlignment="0" applyProtection="0"/>
    <xf numFmtId="0" fontId="35" fillId="2" borderId="0" applyNumberFormat="0" applyBorder="0" applyAlignment="0" applyProtection="0"/>
    <xf numFmtId="0" fontId="1" fillId="2" borderId="0" applyNumberFormat="0" applyBorder="0" applyAlignment="0" applyProtection="0"/>
    <xf numFmtId="0" fontId="72" fillId="28" borderId="0" applyNumberFormat="0" applyBorder="0" applyAlignment="0" applyProtection="0"/>
    <xf numFmtId="0" fontId="35" fillId="2" borderId="0" applyNumberFormat="0" applyBorder="0" applyAlignment="0" applyProtection="0"/>
    <xf numFmtId="0" fontId="1" fillId="2" borderId="0" applyNumberFormat="0" applyBorder="0" applyAlignment="0" applyProtection="0"/>
    <xf numFmtId="191" fontId="1" fillId="2" borderId="0" applyNumberFormat="0" applyBorder="0" applyAlignment="0" applyProtection="0"/>
    <xf numFmtId="0" fontId="153" fillId="27" borderId="0" applyNumberFormat="0" applyBorder="0" applyAlignment="0" applyProtection="0"/>
    <xf numFmtId="0" fontId="153" fillId="27" borderId="0" applyNumberFormat="0" applyBorder="0" applyAlignment="0" applyProtection="0"/>
    <xf numFmtId="0" fontId="153" fillId="27" borderId="0" applyNumberFormat="0" applyBorder="0" applyAlignment="0" applyProtection="0"/>
    <xf numFmtId="0" fontId="153" fillId="100" borderId="0" applyNumberFormat="0" applyBorder="0" applyAlignment="0" applyProtection="0"/>
    <xf numFmtId="0" fontId="153" fillId="100" borderId="0" applyNumberFormat="0" applyBorder="0" applyAlignment="0" applyProtection="0"/>
    <xf numFmtId="0" fontId="153" fillId="100" borderId="0" applyNumberFormat="0" applyBorder="0" applyAlignment="0" applyProtection="0"/>
    <xf numFmtId="0" fontId="153" fillId="100" borderId="0" applyNumberFormat="0" applyBorder="0" applyAlignment="0" applyProtection="0"/>
    <xf numFmtId="0" fontId="153" fillId="100" borderId="0" applyNumberFormat="0" applyBorder="0" applyAlignment="0" applyProtection="0"/>
    <xf numFmtId="0" fontId="153" fillId="100" borderId="0" applyNumberFormat="0" applyBorder="0" applyAlignment="0" applyProtection="0"/>
    <xf numFmtId="0" fontId="71" fillId="10" borderId="0" applyNumberFormat="0" applyBorder="0" applyAlignment="0" applyProtection="0"/>
    <xf numFmtId="0" fontId="152" fillId="100" borderId="0" applyNumberFormat="0" applyBorder="0" applyAlignment="0" applyProtection="0"/>
    <xf numFmtId="0" fontId="71" fillId="29" borderId="0" applyNumberFormat="0" applyBorder="0" applyAlignment="0" applyProtection="0"/>
    <xf numFmtId="0" fontId="1" fillId="8" borderId="0" applyNumberFormat="0" applyBorder="0" applyAlignment="0" applyProtection="0"/>
    <xf numFmtId="0" fontId="71" fillId="1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71" fillId="1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71" fillId="1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71" fillId="1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0" fontId="152" fillId="100" borderId="0" applyNumberFormat="0" applyBorder="0" applyAlignment="0" applyProtection="0"/>
    <xf numFmtId="191" fontId="152" fillId="100" borderId="0" applyNumberFormat="0" applyBorder="0" applyAlignment="0" applyProtection="0"/>
    <xf numFmtId="0" fontId="153" fillId="100" borderId="0" applyNumberFormat="0" applyBorder="0" applyAlignment="0" applyProtection="0"/>
    <xf numFmtId="0" fontId="71" fillId="29" borderId="0" applyNumberFormat="0" applyBorder="0" applyAlignment="0" applyProtection="0"/>
    <xf numFmtId="0" fontId="35" fillId="8" borderId="0" applyNumberFormat="0" applyBorder="0" applyAlignment="0" applyProtection="0"/>
    <xf numFmtId="0" fontId="1" fillId="8" borderId="0" applyNumberFormat="0" applyBorder="0" applyAlignment="0" applyProtection="0"/>
    <xf numFmtId="0" fontId="72" fillId="29" borderId="0" applyNumberFormat="0" applyBorder="0" applyAlignment="0" applyProtection="0"/>
    <xf numFmtId="0" fontId="35" fillId="8" borderId="0" applyNumberFormat="0" applyBorder="0" applyAlignment="0" applyProtection="0"/>
    <xf numFmtId="0" fontId="1" fillId="8" borderId="0" applyNumberFormat="0" applyBorder="0" applyAlignment="0" applyProtection="0"/>
    <xf numFmtId="191" fontId="1" fillId="8" borderId="0" applyNumberFormat="0" applyBorder="0" applyAlignment="0" applyProtection="0"/>
    <xf numFmtId="0" fontId="153" fillId="100" borderId="0" applyNumberFormat="0" applyBorder="0" applyAlignment="0" applyProtection="0"/>
    <xf numFmtId="0" fontId="153" fillId="100" borderId="0" applyNumberFormat="0" applyBorder="0" applyAlignment="0" applyProtection="0"/>
    <xf numFmtId="0" fontId="153" fillId="100" borderId="0" applyNumberFormat="0" applyBorder="0" applyAlignment="0" applyProtection="0"/>
    <xf numFmtId="0" fontId="153" fillId="30" borderId="0" applyNumberFormat="0" applyBorder="0" applyAlignment="0" applyProtection="0"/>
    <xf numFmtId="0" fontId="153" fillId="30" borderId="0" applyNumberFormat="0" applyBorder="0" applyAlignment="0" applyProtection="0"/>
    <xf numFmtId="0" fontId="153" fillId="30" borderId="0" applyNumberFormat="0" applyBorder="0" applyAlignment="0" applyProtection="0"/>
    <xf numFmtId="0" fontId="153" fillId="30" borderId="0" applyNumberFormat="0" applyBorder="0" applyAlignment="0" applyProtection="0"/>
    <xf numFmtId="0" fontId="153" fillId="30" borderId="0" applyNumberFormat="0" applyBorder="0" applyAlignment="0" applyProtection="0"/>
    <xf numFmtId="0" fontId="153" fillId="30" borderId="0" applyNumberFormat="0" applyBorder="0" applyAlignment="0" applyProtection="0"/>
    <xf numFmtId="0" fontId="71" fillId="31" borderId="0" applyNumberFormat="0" applyBorder="0" applyAlignment="0" applyProtection="0"/>
    <xf numFmtId="0" fontId="152" fillId="30"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1" fillId="34" borderId="0" applyNumberFormat="0" applyBorder="0" applyAlignment="0" applyProtection="0"/>
    <xf numFmtId="0" fontId="71" fillId="31"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71" fillId="31"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71" fillId="31"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71" fillId="31"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191" fontId="152" fillId="30" borderId="0" applyNumberFormat="0" applyBorder="0" applyAlignment="0" applyProtection="0"/>
    <xf numFmtId="0" fontId="153" fillId="30" borderId="0" applyNumberFormat="0" applyBorder="0" applyAlignment="0" applyProtection="0"/>
    <xf numFmtId="0" fontId="71" fillId="33" borderId="0" applyNumberFormat="0" applyBorder="0" applyAlignment="0" applyProtection="0"/>
    <xf numFmtId="0" fontId="35" fillId="34" borderId="0" applyNumberFormat="0" applyBorder="0" applyAlignment="0" applyProtection="0"/>
    <xf numFmtId="0" fontId="1" fillId="34" borderId="0" applyNumberFormat="0" applyBorder="0" applyAlignment="0" applyProtection="0"/>
    <xf numFmtId="0" fontId="72" fillId="33" borderId="0" applyNumberFormat="0" applyBorder="0" applyAlignment="0" applyProtection="0"/>
    <xf numFmtId="0" fontId="35" fillId="34" borderId="0" applyNumberFormat="0" applyBorder="0" applyAlignment="0" applyProtection="0"/>
    <xf numFmtId="0" fontId="1" fillId="34" borderId="0" applyNumberFormat="0" applyBorder="0" applyAlignment="0" applyProtection="0"/>
    <xf numFmtId="191" fontId="1" fillId="34" borderId="0" applyNumberFormat="0" applyBorder="0" applyAlignment="0" applyProtection="0"/>
    <xf numFmtId="0" fontId="153" fillId="30" borderId="0" applyNumberFormat="0" applyBorder="0" applyAlignment="0" applyProtection="0"/>
    <xf numFmtId="0" fontId="153" fillId="30" borderId="0" applyNumberFormat="0" applyBorder="0" applyAlignment="0" applyProtection="0"/>
    <xf numFmtId="0" fontId="153" fillId="30" borderId="0" applyNumberFormat="0" applyBorder="0" applyAlignment="0" applyProtection="0"/>
    <xf numFmtId="0" fontId="153" fillId="27" borderId="0" applyNumberFormat="0" applyBorder="0" applyAlignment="0" applyProtection="0"/>
    <xf numFmtId="0" fontId="153" fillId="27" borderId="0" applyNumberFormat="0" applyBorder="0" applyAlignment="0" applyProtection="0"/>
    <xf numFmtId="0" fontId="153" fillId="27" borderId="0" applyNumberFormat="0" applyBorder="0" applyAlignment="0" applyProtection="0"/>
    <xf numFmtId="0" fontId="153" fillId="27" borderId="0" applyNumberFormat="0" applyBorder="0" applyAlignment="0" applyProtection="0"/>
    <xf numFmtId="0" fontId="153" fillId="27" borderId="0" applyNumberFormat="0" applyBorder="0" applyAlignment="0" applyProtection="0"/>
    <xf numFmtId="0" fontId="153" fillId="27" borderId="0" applyNumberFormat="0" applyBorder="0" applyAlignment="0" applyProtection="0"/>
    <xf numFmtId="0" fontId="71" fillId="35" borderId="0" applyNumberFormat="0" applyBorder="0" applyAlignment="0" applyProtection="0"/>
    <xf numFmtId="0" fontId="152" fillId="27" borderId="0" applyNumberFormat="0" applyBorder="0" applyAlignment="0" applyProtection="0"/>
    <xf numFmtId="0" fontId="71" fillId="19" borderId="0" applyNumberFormat="0" applyBorder="0" applyAlignment="0" applyProtection="0"/>
    <xf numFmtId="0" fontId="1" fillId="20" borderId="0" applyNumberFormat="0" applyBorder="0" applyAlignment="0" applyProtection="0"/>
    <xf numFmtId="0" fontId="71" fillId="35"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71" fillId="35"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71" fillId="35"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71" fillId="35"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0" fontId="152" fillId="27" borderId="0" applyNumberFormat="0" applyBorder="0" applyAlignment="0" applyProtection="0"/>
    <xf numFmtId="191" fontId="152" fillId="27" borderId="0" applyNumberFormat="0" applyBorder="0" applyAlignment="0" applyProtection="0"/>
    <xf numFmtId="0" fontId="153" fillId="27" borderId="0" applyNumberFormat="0" applyBorder="0" applyAlignment="0" applyProtection="0"/>
    <xf numFmtId="0" fontId="71" fillId="19"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0" fontId="72" fillId="19"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191" fontId="1" fillId="20" borderId="0" applyNumberFormat="0" applyBorder="0" applyAlignment="0" applyProtection="0"/>
    <xf numFmtId="0" fontId="153" fillId="27" borderId="0" applyNumberFormat="0" applyBorder="0" applyAlignment="0" applyProtection="0"/>
    <xf numFmtId="0" fontId="153" fillId="27" borderId="0" applyNumberFormat="0" applyBorder="0" applyAlignment="0" applyProtection="0"/>
    <xf numFmtId="0" fontId="153" fillId="27" borderId="0" applyNumberFormat="0" applyBorder="0" applyAlignment="0" applyProtection="0"/>
    <xf numFmtId="0" fontId="153" fillId="101" borderId="0" applyNumberFormat="0" applyBorder="0" applyAlignment="0" applyProtection="0"/>
    <xf numFmtId="0" fontId="153" fillId="101" borderId="0" applyNumberFormat="0" applyBorder="0" applyAlignment="0" applyProtection="0"/>
    <xf numFmtId="0" fontId="153" fillId="101" borderId="0" applyNumberFormat="0" applyBorder="0" applyAlignment="0" applyProtection="0"/>
    <xf numFmtId="0" fontId="153" fillId="101" borderId="0" applyNumberFormat="0" applyBorder="0" applyAlignment="0" applyProtection="0"/>
    <xf numFmtId="0" fontId="153" fillId="101" borderId="0" applyNumberFormat="0" applyBorder="0" applyAlignment="0" applyProtection="0"/>
    <xf numFmtId="0" fontId="153" fillId="101" borderId="0" applyNumberFormat="0" applyBorder="0" applyAlignment="0" applyProtection="0"/>
    <xf numFmtId="0" fontId="71" fillId="36" borderId="0" applyNumberFormat="0" applyBorder="0" applyAlignment="0" applyProtection="0"/>
    <xf numFmtId="0" fontId="152" fillId="101" borderId="0" applyNumberFormat="0" applyBorder="0" applyAlignment="0" applyProtection="0"/>
    <xf numFmtId="0" fontId="71" fillId="28" borderId="0" applyNumberFormat="0" applyBorder="0" applyAlignment="0" applyProtection="0"/>
    <xf numFmtId="0" fontId="1" fillId="2" borderId="0" applyNumberFormat="0" applyBorder="0" applyAlignment="0" applyProtection="0"/>
    <xf numFmtId="0" fontId="71" fillId="36"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71" fillId="36"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71" fillId="36"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71" fillId="36"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0" fontId="152" fillId="101" borderId="0" applyNumberFormat="0" applyBorder="0" applyAlignment="0" applyProtection="0"/>
    <xf numFmtId="191" fontId="152" fillId="101" borderId="0" applyNumberFormat="0" applyBorder="0" applyAlignment="0" applyProtection="0"/>
    <xf numFmtId="0" fontId="153" fillId="101" borderId="0" applyNumberFormat="0" applyBorder="0" applyAlignment="0" applyProtection="0"/>
    <xf numFmtId="0" fontId="71" fillId="28" borderId="0" applyNumberFormat="0" applyBorder="0" applyAlignment="0" applyProtection="0"/>
    <xf numFmtId="0" fontId="35" fillId="2" borderId="0" applyNumberFormat="0" applyBorder="0" applyAlignment="0" applyProtection="0"/>
    <xf numFmtId="0" fontId="1" fillId="2" borderId="0" applyNumberFormat="0" applyBorder="0" applyAlignment="0" applyProtection="0"/>
    <xf numFmtId="0" fontId="72" fillId="28" borderId="0" applyNumberFormat="0" applyBorder="0" applyAlignment="0" applyProtection="0"/>
    <xf numFmtId="0" fontId="35" fillId="2" borderId="0" applyNumberFormat="0" applyBorder="0" applyAlignment="0" applyProtection="0"/>
    <xf numFmtId="0" fontId="1" fillId="2" borderId="0" applyNumberFormat="0" applyBorder="0" applyAlignment="0" applyProtection="0"/>
    <xf numFmtId="191" fontId="1" fillId="2" borderId="0" applyNumberFormat="0" applyBorder="0" applyAlignment="0" applyProtection="0"/>
    <xf numFmtId="0" fontId="153" fillId="101" borderId="0" applyNumberFormat="0" applyBorder="0" applyAlignment="0" applyProtection="0"/>
    <xf numFmtId="0" fontId="153" fillId="101" borderId="0" applyNumberFormat="0" applyBorder="0" applyAlignment="0" applyProtection="0"/>
    <xf numFmtId="0" fontId="153" fillId="101" borderId="0" applyNumberFormat="0" applyBorder="0" applyAlignment="0" applyProtection="0"/>
    <xf numFmtId="0" fontId="153" fillId="30" borderId="0" applyNumberFormat="0" applyBorder="0" applyAlignment="0" applyProtection="0"/>
    <xf numFmtId="0" fontId="153" fillId="30" borderId="0" applyNumberFormat="0" applyBorder="0" applyAlignment="0" applyProtection="0"/>
    <xf numFmtId="0" fontId="153" fillId="30" borderId="0" applyNumberFormat="0" applyBorder="0" applyAlignment="0" applyProtection="0"/>
    <xf numFmtId="0" fontId="153" fillId="30" borderId="0" applyNumberFormat="0" applyBorder="0" applyAlignment="0" applyProtection="0"/>
    <xf numFmtId="0" fontId="153" fillId="30" borderId="0" applyNumberFormat="0" applyBorder="0" applyAlignment="0" applyProtection="0"/>
    <xf numFmtId="0" fontId="153" fillId="30" borderId="0" applyNumberFormat="0" applyBorder="0" applyAlignment="0" applyProtection="0"/>
    <xf numFmtId="0" fontId="71" fillId="37" borderId="0" applyNumberFormat="0" applyBorder="0" applyAlignment="0" applyProtection="0"/>
    <xf numFmtId="0" fontId="152" fillId="30" borderId="0" applyNumberFormat="0" applyBorder="0" applyAlignment="0" applyProtection="0"/>
    <xf numFmtId="0" fontId="71" fillId="38" borderId="0" applyNumberFormat="0" applyBorder="0" applyAlignment="0" applyProtection="0"/>
    <xf numFmtId="0" fontId="71" fillId="39" borderId="0" applyNumberFormat="0" applyBorder="0" applyAlignment="0" applyProtection="0"/>
    <xf numFmtId="0" fontId="1" fillId="40" borderId="0" applyNumberFormat="0" applyBorder="0" applyAlignment="0" applyProtection="0"/>
    <xf numFmtId="0" fontId="71" fillId="37"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71" fillId="37"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71" fillId="37"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71" fillId="37"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0" fontId="152" fillId="30" borderId="0" applyNumberFormat="0" applyBorder="0" applyAlignment="0" applyProtection="0"/>
    <xf numFmtId="191" fontId="152" fillId="30" borderId="0" applyNumberFormat="0" applyBorder="0" applyAlignment="0" applyProtection="0"/>
    <xf numFmtId="0" fontId="153" fillId="30" borderId="0" applyNumberFormat="0" applyBorder="0" applyAlignment="0" applyProtection="0"/>
    <xf numFmtId="0" fontId="71" fillId="39" borderId="0" applyNumberFormat="0" applyBorder="0" applyAlignment="0" applyProtection="0"/>
    <xf numFmtId="0" fontId="35" fillId="40" borderId="0" applyNumberFormat="0" applyBorder="0" applyAlignment="0" applyProtection="0"/>
    <xf numFmtId="0" fontId="1" fillId="40" borderId="0" applyNumberFormat="0" applyBorder="0" applyAlignment="0" applyProtection="0"/>
    <xf numFmtId="0" fontId="72" fillId="39" borderId="0" applyNumberFormat="0" applyBorder="0" applyAlignment="0" applyProtection="0"/>
    <xf numFmtId="0" fontId="35" fillId="40" borderId="0" applyNumberFormat="0" applyBorder="0" applyAlignment="0" applyProtection="0"/>
    <xf numFmtId="0" fontId="1" fillId="40" borderId="0" applyNumberFormat="0" applyBorder="0" applyAlignment="0" applyProtection="0"/>
    <xf numFmtId="191" fontId="1" fillId="40" borderId="0" applyNumberFormat="0" applyBorder="0" applyAlignment="0" applyProtection="0"/>
    <xf numFmtId="0" fontId="153" fillId="30" borderId="0" applyNumberFormat="0" applyBorder="0" applyAlignment="0" applyProtection="0"/>
    <xf numFmtId="0" fontId="153" fillId="30" borderId="0" applyNumberFormat="0" applyBorder="0" applyAlignment="0" applyProtection="0"/>
    <xf numFmtId="0" fontId="153" fillId="30" borderId="0" applyNumberFormat="0" applyBorder="0" applyAlignment="0" applyProtection="0"/>
    <xf numFmtId="0" fontId="155" fillId="41" borderId="0" applyNumberFormat="0" applyBorder="0" applyAlignment="0" applyProtection="0"/>
    <xf numFmtId="0" fontId="155" fillId="41" borderId="0" applyNumberFormat="0" applyBorder="0" applyAlignment="0" applyProtection="0"/>
    <xf numFmtId="0" fontId="155" fillId="41" borderId="0" applyNumberFormat="0" applyBorder="0" applyAlignment="0" applyProtection="0"/>
    <xf numFmtId="0" fontId="155" fillId="41" borderId="0" applyNumberFormat="0" applyBorder="0" applyAlignment="0" applyProtection="0"/>
    <xf numFmtId="0" fontId="155" fillId="41" borderId="0" applyNumberFormat="0" applyBorder="0" applyAlignment="0" applyProtection="0"/>
    <xf numFmtId="0" fontId="155"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41" fillId="44" borderId="0" applyNumberFormat="0" applyBorder="0" applyAlignment="0" applyProtection="0"/>
    <xf numFmtId="0" fontId="73" fillId="42" borderId="0" applyNumberFormat="0" applyBorder="0" applyAlignment="0" applyProtection="0"/>
    <xf numFmtId="0" fontId="154" fillId="41" borderId="0" applyNumberFormat="0" applyBorder="0" applyAlignment="0" applyProtection="0"/>
    <xf numFmtId="0" fontId="154" fillId="41" borderId="0" applyNumberFormat="0" applyBorder="0" applyAlignment="0" applyProtection="0"/>
    <xf numFmtId="191" fontId="154" fillId="41" borderId="0" applyNumberFormat="0" applyBorder="0" applyAlignment="0" applyProtection="0"/>
    <xf numFmtId="0" fontId="10" fillId="44" borderId="0" applyNumberFormat="0" applyBorder="0" applyAlignment="0" applyProtection="0"/>
    <xf numFmtId="0" fontId="73" fillId="43" borderId="0" applyNumberFormat="0" applyBorder="0" applyAlignment="0" applyProtection="0"/>
    <xf numFmtId="0" fontId="10" fillId="44" borderId="0" applyNumberFormat="0" applyBorder="0" applyAlignment="0" applyProtection="0"/>
    <xf numFmtId="0" fontId="41" fillId="44" borderId="0" applyNumberFormat="0" applyBorder="0" applyAlignment="0" applyProtection="0"/>
    <xf numFmtId="0" fontId="74" fillId="43" borderId="0" applyNumberFormat="0" applyBorder="0" applyAlignment="0" applyProtection="0"/>
    <xf numFmtId="0" fontId="10" fillId="44" borderId="0" applyNumberFormat="0" applyBorder="0" applyAlignment="0" applyProtection="0"/>
    <xf numFmtId="0" fontId="41" fillId="44" borderId="0" applyNumberFormat="0" applyBorder="0" applyAlignment="0" applyProtection="0"/>
    <xf numFmtId="191" fontId="41" fillId="44" borderId="0" applyNumberFormat="0" applyBorder="0" applyAlignment="0" applyProtection="0"/>
    <xf numFmtId="0" fontId="155" fillId="41" borderId="0" applyNumberFormat="0" applyBorder="0" applyAlignment="0" applyProtection="0"/>
    <xf numFmtId="0" fontId="155" fillId="41" borderId="0" applyNumberFormat="0" applyBorder="0" applyAlignment="0" applyProtection="0"/>
    <xf numFmtId="0" fontId="155" fillId="41" borderId="0" applyNumberFormat="0" applyBorder="0" applyAlignment="0" applyProtection="0"/>
    <xf numFmtId="0" fontId="155" fillId="102" borderId="0" applyNumberFormat="0" applyBorder="0" applyAlignment="0" applyProtection="0"/>
    <xf numFmtId="0" fontId="155" fillId="102" borderId="0" applyNumberFormat="0" applyBorder="0" applyAlignment="0" applyProtection="0"/>
    <xf numFmtId="0" fontId="155" fillId="102" borderId="0" applyNumberFormat="0" applyBorder="0" applyAlignment="0" applyProtection="0"/>
    <xf numFmtId="0" fontId="155" fillId="102" borderId="0" applyNumberFormat="0" applyBorder="0" applyAlignment="0" applyProtection="0"/>
    <xf numFmtId="0" fontId="155" fillId="102" borderId="0" applyNumberFormat="0" applyBorder="0" applyAlignment="0" applyProtection="0"/>
    <xf numFmtId="0" fontId="155" fillId="102" borderId="0" applyNumberFormat="0" applyBorder="0" applyAlignment="0" applyProtection="0"/>
    <xf numFmtId="0" fontId="73" fillId="29" borderId="0" applyNumberFormat="0" applyBorder="0" applyAlignment="0" applyProtection="0"/>
    <xf numFmtId="0" fontId="73" fillId="29" borderId="0" applyNumberFormat="0" applyBorder="0" applyAlignment="0" applyProtection="0"/>
    <xf numFmtId="0" fontId="41" fillId="8" borderId="0" applyNumberFormat="0" applyBorder="0" applyAlignment="0" applyProtection="0"/>
    <xf numFmtId="0" fontId="73" fillId="29" borderId="0" applyNumberFormat="0" applyBorder="0" applyAlignment="0" applyProtection="0"/>
    <xf numFmtId="0" fontId="154" fillId="102" borderId="0" applyNumberFormat="0" applyBorder="0" applyAlignment="0" applyProtection="0"/>
    <xf numFmtId="0" fontId="154" fillId="102" borderId="0" applyNumberFormat="0" applyBorder="0" applyAlignment="0" applyProtection="0"/>
    <xf numFmtId="191" fontId="154" fillId="102" borderId="0" applyNumberFormat="0" applyBorder="0" applyAlignment="0" applyProtection="0"/>
    <xf numFmtId="0" fontId="10" fillId="8" borderId="0" applyNumberFormat="0" applyBorder="0" applyAlignment="0" applyProtection="0"/>
    <xf numFmtId="0" fontId="73" fillId="29" borderId="0" applyNumberFormat="0" applyBorder="0" applyAlignment="0" applyProtection="0"/>
    <xf numFmtId="0" fontId="10" fillId="8" borderId="0" applyNumberFormat="0" applyBorder="0" applyAlignment="0" applyProtection="0"/>
    <xf numFmtId="0" fontId="41" fillId="8" borderId="0" applyNumberFormat="0" applyBorder="0" applyAlignment="0" applyProtection="0"/>
    <xf numFmtId="0" fontId="74" fillId="29" borderId="0" applyNumberFormat="0" applyBorder="0" applyAlignment="0" applyProtection="0"/>
    <xf numFmtId="0" fontId="10" fillId="8" borderId="0" applyNumberFormat="0" applyBorder="0" applyAlignment="0" applyProtection="0"/>
    <xf numFmtId="0" fontId="41" fillId="8" borderId="0" applyNumberFormat="0" applyBorder="0" applyAlignment="0" applyProtection="0"/>
    <xf numFmtId="191" fontId="41" fillId="8" borderId="0" applyNumberFormat="0" applyBorder="0" applyAlignment="0" applyProtection="0"/>
    <xf numFmtId="0" fontId="155" fillId="102" borderId="0" applyNumberFormat="0" applyBorder="0" applyAlignment="0" applyProtection="0"/>
    <xf numFmtId="0" fontId="155" fillId="102" borderId="0" applyNumberFormat="0" applyBorder="0" applyAlignment="0" applyProtection="0"/>
    <xf numFmtId="0" fontId="155" fillId="102" borderId="0" applyNumberFormat="0" applyBorder="0" applyAlignment="0" applyProtection="0"/>
    <xf numFmtId="0" fontId="155" fillId="30" borderId="0" applyNumberFormat="0" applyBorder="0" applyAlignment="0" applyProtection="0"/>
    <xf numFmtId="0" fontId="155" fillId="30" borderId="0" applyNumberFormat="0" applyBorder="0" applyAlignment="0" applyProtection="0"/>
    <xf numFmtId="0" fontId="155" fillId="30" borderId="0" applyNumberFormat="0" applyBorder="0" applyAlignment="0" applyProtection="0"/>
    <xf numFmtId="0" fontId="155" fillId="30" borderId="0" applyNumberFormat="0" applyBorder="0" applyAlignment="0" applyProtection="0"/>
    <xf numFmtId="0" fontId="155" fillId="30" borderId="0" applyNumberFormat="0" applyBorder="0" applyAlignment="0" applyProtection="0"/>
    <xf numFmtId="0" fontId="155" fillId="30" borderId="0" applyNumberFormat="0" applyBorder="0" applyAlignment="0" applyProtection="0"/>
    <xf numFmtId="0" fontId="73" fillId="46" borderId="0" applyNumberFormat="0" applyBorder="0" applyAlignment="0" applyProtection="0"/>
    <xf numFmtId="0" fontId="73" fillId="33" borderId="0" applyNumberFormat="0" applyBorder="0" applyAlignment="0" applyProtection="0"/>
    <xf numFmtId="0" fontId="41" fillId="34" borderId="0" applyNumberFormat="0" applyBorder="0" applyAlignment="0" applyProtection="0"/>
    <xf numFmtId="0" fontId="73" fillId="46" borderId="0" applyNumberFormat="0" applyBorder="0" applyAlignment="0" applyProtection="0"/>
    <xf numFmtId="0" fontId="154" fillId="30" borderId="0" applyNumberFormat="0" applyBorder="0" applyAlignment="0" applyProtection="0"/>
    <xf numFmtId="0" fontId="154" fillId="30" borderId="0" applyNumberFormat="0" applyBorder="0" applyAlignment="0" applyProtection="0"/>
    <xf numFmtId="191" fontId="154" fillId="30" borderId="0" applyNumberFormat="0" applyBorder="0" applyAlignment="0" applyProtection="0"/>
    <xf numFmtId="0" fontId="73" fillId="47" borderId="0" applyNumberFormat="0" applyBorder="0" applyAlignment="0" applyProtection="0"/>
    <xf numFmtId="0" fontId="10" fillId="34" borderId="0" applyNumberFormat="0" applyBorder="0" applyAlignment="0" applyProtection="0"/>
    <xf numFmtId="0" fontId="73" fillId="33" borderId="0" applyNumberFormat="0" applyBorder="0" applyAlignment="0" applyProtection="0"/>
    <xf numFmtId="0" fontId="10" fillId="34" borderId="0" applyNumberFormat="0" applyBorder="0" applyAlignment="0" applyProtection="0"/>
    <xf numFmtId="0" fontId="41" fillId="34" borderId="0" applyNumberFormat="0" applyBorder="0" applyAlignment="0" applyProtection="0"/>
    <xf numFmtId="0" fontId="74" fillId="33" borderId="0" applyNumberFormat="0" applyBorder="0" applyAlignment="0" applyProtection="0"/>
    <xf numFmtId="0" fontId="10" fillId="34" borderId="0" applyNumberFormat="0" applyBorder="0" applyAlignment="0" applyProtection="0"/>
    <xf numFmtId="0" fontId="41" fillId="34" borderId="0" applyNumberFormat="0" applyBorder="0" applyAlignment="0" applyProtection="0"/>
    <xf numFmtId="191" fontId="41" fillId="34" borderId="0" applyNumberFormat="0" applyBorder="0" applyAlignment="0" applyProtection="0"/>
    <xf numFmtId="0" fontId="155" fillId="30" borderId="0" applyNumberFormat="0" applyBorder="0" applyAlignment="0" applyProtection="0"/>
    <xf numFmtId="0" fontId="155" fillId="30" borderId="0" applyNumberFormat="0" applyBorder="0" applyAlignment="0" applyProtection="0"/>
    <xf numFmtId="0" fontId="155" fillId="30" borderId="0" applyNumberFormat="0" applyBorder="0" applyAlignment="0" applyProtection="0"/>
    <xf numFmtId="0" fontId="155" fillId="27" borderId="0" applyNumberFormat="0" applyBorder="0" applyAlignment="0" applyProtection="0"/>
    <xf numFmtId="0" fontId="155" fillId="27" borderId="0" applyNumberFormat="0" applyBorder="0" applyAlignment="0" applyProtection="0"/>
    <xf numFmtId="0" fontId="155" fillId="27" borderId="0" applyNumberFormat="0" applyBorder="0" applyAlignment="0" applyProtection="0"/>
    <xf numFmtId="0" fontId="155" fillId="27" borderId="0" applyNumberFormat="0" applyBorder="0" applyAlignment="0" applyProtection="0"/>
    <xf numFmtId="0" fontId="155" fillId="27" borderId="0" applyNumberFormat="0" applyBorder="0" applyAlignment="0" applyProtection="0"/>
    <xf numFmtId="0" fontId="155" fillId="27" borderId="0" applyNumberFormat="0" applyBorder="0" applyAlignment="0" applyProtection="0"/>
    <xf numFmtId="0" fontId="73" fillId="19" borderId="0" applyNumberFormat="0" applyBorder="0" applyAlignment="0" applyProtection="0"/>
    <xf numFmtId="0" fontId="73" fillId="9" borderId="0" applyNumberFormat="0" applyBorder="0" applyAlignment="0" applyProtection="0"/>
    <xf numFmtId="0" fontId="41" fillId="48" borderId="0" applyNumberFormat="0" applyBorder="0" applyAlignment="0" applyProtection="0"/>
    <xf numFmtId="0" fontId="73" fillId="19" borderId="0" applyNumberFormat="0" applyBorder="0" applyAlignment="0" applyProtection="0"/>
    <xf numFmtId="0" fontId="154" fillId="27" borderId="0" applyNumberFormat="0" applyBorder="0" applyAlignment="0" applyProtection="0"/>
    <xf numFmtId="0" fontId="154" fillId="27" borderId="0" applyNumberFormat="0" applyBorder="0" applyAlignment="0" applyProtection="0"/>
    <xf numFmtId="191" fontId="154" fillId="27" borderId="0" applyNumberFormat="0" applyBorder="0" applyAlignment="0" applyProtection="0"/>
    <xf numFmtId="0" fontId="73" fillId="49" borderId="0" applyNumberFormat="0" applyBorder="0" applyAlignment="0" applyProtection="0"/>
    <xf numFmtId="0" fontId="10" fillId="48" borderId="0" applyNumberFormat="0" applyBorder="0" applyAlignment="0" applyProtection="0"/>
    <xf numFmtId="0" fontId="73" fillId="9" borderId="0" applyNumberFormat="0" applyBorder="0" applyAlignment="0" applyProtection="0"/>
    <xf numFmtId="0" fontId="10" fillId="48" borderId="0" applyNumberFormat="0" applyBorder="0" applyAlignment="0" applyProtection="0"/>
    <xf numFmtId="0" fontId="41" fillId="48" borderId="0" applyNumberFormat="0" applyBorder="0" applyAlignment="0" applyProtection="0"/>
    <xf numFmtId="0" fontId="74" fillId="9" borderId="0" applyNumberFormat="0" applyBorder="0" applyAlignment="0" applyProtection="0"/>
    <xf numFmtId="0" fontId="10" fillId="48" borderId="0" applyNumberFormat="0" applyBorder="0" applyAlignment="0" applyProtection="0"/>
    <xf numFmtId="0" fontId="41" fillId="48" borderId="0" applyNumberFormat="0" applyBorder="0" applyAlignment="0" applyProtection="0"/>
    <xf numFmtId="191" fontId="41" fillId="48" borderId="0" applyNumberFormat="0" applyBorder="0" applyAlignment="0" applyProtection="0"/>
    <xf numFmtId="0" fontId="155" fillId="27" borderId="0" applyNumberFormat="0" applyBorder="0" applyAlignment="0" applyProtection="0"/>
    <xf numFmtId="0" fontId="155" fillId="27" borderId="0" applyNumberFormat="0" applyBorder="0" applyAlignment="0" applyProtection="0"/>
    <xf numFmtId="0" fontId="155" fillId="27" borderId="0" applyNumberFormat="0" applyBorder="0" applyAlignment="0" applyProtection="0"/>
    <xf numFmtId="0" fontId="155" fillId="103" borderId="0" applyNumberFormat="0" applyBorder="0" applyAlignment="0" applyProtection="0"/>
    <xf numFmtId="0" fontId="155" fillId="103" borderId="0" applyNumberFormat="0" applyBorder="0" applyAlignment="0" applyProtection="0"/>
    <xf numFmtId="0" fontId="155" fillId="103" borderId="0" applyNumberFormat="0" applyBorder="0" applyAlignment="0" applyProtection="0"/>
    <xf numFmtId="0" fontId="155" fillId="103" borderId="0" applyNumberFormat="0" applyBorder="0" applyAlignment="0" applyProtection="0"/>
    <xf numFmtId="0" fontId="155" fillId="103" borderId="0" applyNumberFormat="0" applyBorder="0" applyAlignment="0" applyProtection="0"/>
    <xf numFmtId="0" fontId="155" fillId="103" borderId="0" applyNumberFormat="0" applyBorder="0" applyAlignment="0" applyProtection="0"/>
    <xf numFmtId="0" fontId="73" fillId="28" borderId="0" applyNumberFormat="0" applyBorder="0" applyAlignment="0" applyProtection="0"/>
    <xf numFmtId="0" fontId="73" fillId="50" borderId="0" applyNumberFormat="0" applyBorder="0" applyAlignment="0" applyProtection="0"/>
    <xf numFmtId="0" fontId="41" fillId="41" borderId="0" applyNumberFormat="0" applyBorder="0" applyAlignment="0" applyProtection="0"/>
    <xf numFmtId="0" fontId="73" fillId="28" borderId="0" applyNumberFormat="0" applyBorder="0" applyAlignment="0" applyProtection="0"/>
    <xf numFmtId="0" fontId="154" fillId="103" borderId="0" applyNumberFormat="0" applyBorder="0" applyAlignment="0" applyProtection="0"/>
    <xf numFmtId="0" fontId="154" fillId="103" borderId="0" applyNumberFormat="0" applyBorder="0" applyAlignment="0" applyProtection="0"/>
    <xf numFmtId="191" fontId="154" fillId="103" borderId="0" applyNumberFormat="0" applyBorder="0" applyAlignment="0" applyProtection="0"/>
    <xf numFmtId="0" fontId="10" fillId="41" borderId="0" applyNumberFormat="0" applyBorder="0" applyAlignment="0" applyProtection="0"/>
    <xf numFmtId="0" fontId="73" fillId="50" borderId="0" applyNumberFormat="0" applyBorder="0" applyAlignment="0" applyProtection="0"/>
    <xf numFmtId="0" fontId="10" fillId="41" borderId="0" applyNumberFormat="0" applyBorder="0" applyAlignment="0" applyProtection="0"/>
    <xf numFmtId="0" fontId="41" fillId="41" borderId="0" applyNumberFormat="0" applyBorder="0" applyAlignment="0" applyProtection="0"/>
    <xf numFmtId="0" fontId="74" fillId="50" borderId="0" applyNumberFormat="0" applyBorder="0" applyAlignment="0" applyProtection="0"/>
    <xf numFmtId="0" fontId="10" fillId="41" borderId="0" applyNumberFormat="0" applyBorder="0" applyAlignment="0" applyProtection="0"/>
    <xf numFmtId="0" fontId="41" fillId="41" borderId="0" applyNumberFormat="0" applyBorder="0" applyAlignment="0" applyProtection="0"/>
    <xf numFmtId="191" fontId="41" fillId="41" borderId="0" applyNumberFormat="0" applyBorder="0" applyAlignment="0" applyProtection="0"/>
    <xf numFmtId="0" fontId="155" fillId="103" borderId="0" applyNumberFormat="0" applyBorder="0" applyAlignment="0" applyProtection="0"/>
    <xf numFmtId="0" fontId="155" fillId="103" borderId="0" applyNumberFormat="0" applyBorder="0" applyAlignment="0" applyProtection="0"/>
    <xf numFmtId="0" fontId="155" fillId="103" borderId="0" applyNumberFormat="0" applyBorder="0" applyAlignment="0" applyProtection="0"/>
    <xf numFmtId="0" fontId="155" fillId="8" borderId="0" applyNumberFormat="0" applyBorder="0" applyAlignment="0" applyProtection="0"/>
    <xf numFmtId="0" fontId="155" fillId="8" borderId="0" applyNumberFormat="0" applyBorder="0" applyAlignment="0" applyProtection="0"/>
    <xf numFmtId="0" fontId="155" fillId="8" borderId="0" applyNumberFormat="0" applyBorder="0" applyAlignment="0" applyProtection="0"/>
    <xf numFmtId="0" fontId="155" fillId="8" borderId="0" applyNumberFormat="0" applyBorder="0" applyAlignment="0" applyProtection="0"/>
    <xf numFmtId="0" fontId="155" fillId="8" borderId="0" applyNumberFormat="0" applyBorder="0" applyAlignment="0" applyProtection="0"/>
    <xf numFmtId="0" fontId="155" fillId="8" borderId="0" applyNumberFormat="0" applyBorder="0" applyAlignment="0" applyProtection="0"/>
    <xf numFmtId="0" fontId="73" fillId="39" borderId="0" applyNumberFormat="0" applyBorder="0" applyAlignment="0" applyProtection="0"/>
    <xf numFmtId="0" fontId="73" fillId="51" borderId="0" applyNumberFormat="0" applyBorder="0" applyAlignment="0" applyProtection="0"/>
    <xf numFmtId="0" fontId="41" fillId="52" borderId="0" applyNumberFormat="0" applyBorder="0" applyAlignment="0" applyProtection="0"/>
    <xf numFmtId="0" fontId="73" fillId="39" borderId="0" applyNumberFormat="0" applyBorder="0" applyAlignment="0" applyProtection="0"/>
    <xf numFmtId="0" fontId="154" fillId="8" borderId="0" applyNumberFormat="0" applyBorder="0" applyAlignment="0" applyProtection="0"/>
    <xf numFmtId="0" fontId="154" fillId="8" borderId="0" applyNumberFormat="0" applyBorder="0" applyAlignment="0" applyProtection="0"/>
    <xf numFmtId="191" fontId="154" fillId="8" borderId="0" applyNumberFormat="0" applyBorder="0" applyAlignment="0" applyProtection="0"/>
    <xf numFmtId="0" fontId="10" fillId="52" borderId="0" applyNumberFormat="0" applyBorder="0" applyAlignment="0" applyProtection="0"/>
    <xf numFmtId="0" fontId="73" fillId="51" borderId="0" applyNumberFormat="0" applyBorder="0" applyAlignment="0" applyProtection="0"/>
    <xf numFmtId="0" fontId="10" fillId="52" borderId="0" applyNumberFormat="0" applyBorder="0" applyAlignment="0" applyProtection="0"/>
    <xf numFmtId="0" fontId="41" fillId="52" borderId="0" applyNumberFormat="0" applyBorder="0" applyAlignment="0" applyProtection="0"/>
    <xf numFmtId="0" fontId="74" fillId="51" borderId="0" applyNumberFormat="0" applyBorder="0" applyAlignment="0" applyProtection="0"/>
    <xf numFmtId="0" fontId="10" fillId="52" borderId="0" applyNumberFormat="0" applyBorder="0" applyAlignment="0" applyProtection="0"/>
    <xf numFmtId="0" fontId="41" fillId="52" borderId="0" applyNumberFormat="0" applyBorder="0" applyAlignment="0" applyProtection="0"/>
    <xf numFmtId="191" fontId="41" fillId="52" borderId="0" applyNumberFormat="0" applyBorder="0" applyAlignment="0" applyProtection="0"/>
    <xf numFmtId="0" fontId="155" fillId="8" borderId="0" applyNumberFormat="0" applyBorder="0" applyAlignment="0" applyProtection="0"/>
    <xf numFmtId="0" fontId="155" fillId="8" borderId="0" applyNumberFormat="0" applyBorder="0" applyAlignment="0" applyProtection="0"/>
    <xf numFmtId="0" fontId="155" fillId="8" borderId="0" applyNumberFormat="0" applyBorder="0" applyAlignment="0" applyProtection="0"/>
    <xf numFmtId="0" fontId="155" fillId="41" borderId="0" applyNumberFormat="0" applyBorder="0" applyAlignment="0" applyProtection="0"/>
    <xf numFmtId="0" fontId="155" fillId="41" borderId="0" applyNumberFormat="0" applyBorder="0" applyAlignment="0" applyProtection="0"/>
    <xf numFmtId="0" fontId="155" fillId="41" borderId="0" applyNumberFormat="0" applyBorder="0" applyAlignment="0" applyProtection="0"/>
    <xf numFmtId="0" fontId="155" fillId="41" borderId="0" applyNumberFormat="0" applyBorder="0" applyAlignment="0" applyProtection="0"/>
    <xf numFmtId="0" fontId="155" fillId="41" borderId="0" applyNumberFormat="0" applyBorder="0" applyAlignment="0" applyProtection="0"/>
    <xf numFmtId="0" fontId="155" fillId="41"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41" fillId="55" borderId="0" applyNumberFormat="0" applyBorder="0" applyAlignment="0" applyProtection="0"/>
    <xf numFmtId="0" fontId="73" fillId="56" borderId="0" applyNumberFormat="0" applyBorder="0" applyAlignment="0" applyProtection="0"/>
    <xf numFmtId="0" fontId="154" fillId="41" borderId="0" applyNumberFormat="0" applyBorder="0" applyAlignment="0" applyProtection="0"/>
    <xf numFmtId="0" fontId="154" fillId="41" borderId="0" applyNumberFormat="0" applyBorder="0" applyAlignment="0" applyProtection="0"/>
    <xf numFmtId="191" fontId="154" fillId="41" borderId="0" applyNumberFormat="0" applyBorder="0" applyAlignment="0" applyProtection="0"/>
    <xf numFmtId="0" fontId="73" fillId="57" borderId="0" applyNumberFormat="0" applyBorder="0" applyAlignment="0" applyProtection="0"/>
    <xf numFmtId="0" fontId="10" fillId="55" borderId="0" applyNumberFormat="0" applyBorder="0" applyAlignment="0" applyProtection="0"/>
    <xf numFmtId="0" fontId="73" fillId="54" borderId="0" applyNumberFormat="0" applyBorder="0" applyAlignment="0" applyProtection="0"/>
    <xf numFmtId="0" fontId="10" fillId="55" borderId="0" applyNumberFormat="0" applyBorder="0" applyAlignment="0" applyProtection="0"/>
    <xf numFmtId="0" fontId="41" fillId="55" borderId="0" applyNumberFormat="0" applyBorder="0" applyAlignment="0" applyProtection="0"/>
    <xf numFmtId="0" fontId="74" fillId="54" borderId="0" applyNumberFormat="0" applyBorder="0" applyAlignment="0" applyProtection="0"/>
    <xf numFmtId="0" fontId="10" fillId="55" borderId="0" applyNumberFormat="0" applyBorder="0" applyAlignment="0" applyProtection="0"/>
    <xf numFmtId="0" fontId="41" fillId="55" borderId="0" applyNumberFormat="0" applyBorder="0" applyAlignment="0" applyProtection="0"/>
    <xf numFmtId="191" fontId="41" fillId="55" borderId="0" applyNumberFormat="0" applyBorder="0" applyAlignment="0" applyProtection="0"/>
    <xf numFmtId="0" fontId="155" fillId="41" borderId="0" applyNumberFormat="0" applyBorder="0" applyAlignment="0" applyProtection="0"/>
    <xf numFmtId="0" fontId="155" fillId="41" borderId="0" applyNumberFormat="0" applyBorder="0" applyAlignment="0" applyProtection="0"/>
    <xf numFmtId="0" fontId="155" fillId="41" borderId="0" applyNumberFormat="0" applyBorder="0" applyAlignment="0" applyProtection="0"/>
    <xf numFmtId="0" fontId="155" fillId="104" borderId="0" applyNumberFormat="0" applyBorder="0" applyAlignment="0" applyProtection="0"/>
    <xf numFmtId="0" fontId="155" fillId="104" borderId="0" applyNumberFormat="0" applyBorder="0" applyAlignment="0" applyProtection="0"/>
    <xf numFmtId="0" fontId="155" fillId="104" borderId="0" applyNumberFormat="0" applyBorder="0" applyAlignment="0" applyProtection="0"/>
    <xf numFmtId="0" fontId="155" fillId="104" borderId="0" applyNumberFormat="0" applyBorder="0" applyAlignment="0" applyProtection="0"/>
    <xf numFmtId="0" fontId="155" fillId="104" borderId="0" applyNumberFormat="0" applyBorder="0" applyAlignment="0" applyProtection="0"/>
    <xf numFmtId="0" fontId="155" fillId="104" borderId="0" applyNumberFormat="0" applyBorder="0" applyAlignment="0" applyProtection="0"/>
    <xf numFmtId="0" fontId="73" fillId="59" borderId="0" applyNumberFormat="0" applyBorder="0" applyAlignment="0" applyProtection="0"/>
    <xf numFmtId="0" fontId="73" fillId="60" borderId="0" applyNumberFormat="0" applyBorder="0" applyAlignment="0" applyProtection="0"/>
    <xf numFmtId="0" fontId="41" fillId="58" borderId="0" applyNumberFormat="0" applyBorder="0" applyAlignment="0" applyProtection="0"/>
    <xf numFmtId="0" fontId="73" fillId="59" borderId="0" applyNumberFormat="0" applyBorder="0" applyAlignment="0" applyProtection="0"/>
    <xf numFmtId="0" fontId="154" fillId="104" borderId="0" applyNumberFormat="0" applyBorder="0" applyAlignment="0" applyProtection="0"/>
    <xf numFmtId="0" fontId="154" fillId="104" borderId="0" applyNumberFormat="0" applyBorder="0" applyAlignment="0" applyProtection="0"/>
    <xf numFmtId="191" fontId="154" fillId="104" borderId="0" applyNumberFormat="0" applyBorder="0" applyAlignment="0" applyProtection="0"/>
    <xf numFmtId="0" fontId="73" fillId="61" borderId="0" applyNumberFormat="0" applyBorder="0" applyAlignment="0" applyProtection="0"/>
    <xf numFmtId="0" fontId="10" fillId="58" borderId="0" applyNumberFormat="0" applyBorder="0" applyAlignment="0" applyProtection="0"/>
    <xf numFmtId="0" fontId="73" fillId="60" borderId="0" applyNumberFormat="0" applyBorder="0" applyAlignment="0" applyProtection="0"/>
    <xf numFmtId="0" fontId="10" fillId="58" borderId="0" applyNumberFormat="0" applyBorder="0" applyAlignment="0" applyProtection="0"/>
    <xf numFmtId="0" fontId="41" fillId="58" borderId="0" applyNumberFormat="0" applyBorder="0" applyAlignment="0" applyProtection="0"/>
    <xf numFmtId="0" fontId="74" fillId="60" borderId="0" applyNumberFormat="0" applyBorder="0" applyAlignment="0" applyProtection="0"/>
    <xf numFmtId="0" fontId="10" fillId="58" borderId="0" applyNumberFormat="0" applyBorder="0" applyAlignment="0" applyProtection="0"/>
    <xf numFmtId="0" fontId="41" fillId="58" borderId="0" applyNumberFormat="0" applyBorder="0" applyAlignment="0" applyProtection="0"/>
    <xf numFmtId="191" fontId="41" fillId="58" borderId="0" applyNumberFormat="0" applyBorder="0" applyAlignment="0" applyProtection="0"/>
    <xf numFmtId="0" fontId="155" fillId="104" borderId="0" applyNumberFormat="0" applyBorder="0" applyAlignment="0" applyProtection="0"/>
    <xf numFmtId="0" fontId="155" fillId="104" borderId="0" applyNumberFormat="0" applyBorder="0" applyAlignment="0" applyProtection="0"/>
    <xf numFmtId="0" fontId="155" fillId="104" borderId="0" applyNumberFormat="0" applyBorder="0" applyAlignment="0" applyProtection="0"/>
    <xf numFmtId="0" fontId="155" fillId="105" borderId="0" applyNumberFormat="0" applyBorder="0" applyAlignment="0" applyProtection="0"/>
    <xf numFmtId="0" fontId="155" fillId="105" borderId="0" applyNumberFormat="0" applyBorder="0" applyAlignment="0" applyProtection="0"/>
    <xf numFmtId="0" fontId="155" fillId="105" borderId="0" applyNumberFormat="0" applyBorder="0" applyAlignment="0" applyProtection="0"/>
    <xf numFmtId="0" fontId="155" fillId="105" borderId="0" applyNumberFormat="0" applyBorder="0" applyAlignment="0" applyProtection="0"/>
    <xf numFmtId="0" fontId="155" fillId="105" borderId="0" applyNumberFormat="0" applyBorder="0" applyAlignment="0" applyProtection="0"/>
    <xf numFmtId="0" fontId="155" fillId="105" borderId="0" applyNumberFormat="0" applyBorder="0" applyAlignment="0" applyProtection="0"/>
    <xf numFmtId="0" fontId="73" fillId="63" borderId="0" applyNumberFormat="0" applyBorder="0" applyAlignment="0" applyProtection="0"/>
    <xf numFmtId="0" fontId="73" fillId="64" borderId="0" applyNumberFormat="0" applyBorder="0" applyAlignment="0" applyProtection="0"/>
    <xf numFmtId="0" fontId="41" fillId="62" borderId="0" applyNumberFormat="0" applyBorder="0" applyAlignment="0" applyProtection="0"/>
    <xf numFmtId="0" fontId="73" fillId="63" borderId="0" applyNumberFormat="0" applyBorder="0" applyAlignment="0" applyProtection="0"/>
    <xf numFmtId="0" fontId="154" fillId="105" borderId="0" applyNumberFormat="0" applyBorder="0" applyAlignment="0" applyProtection="0"/>
    <xf numFmtId="0" fontId="154" fillId="105" borderId="0" applyNumberFormat="0" applyBorder="0" applyAlignment="0" applyProtection="0"/>
    <xf numFmtId="191" fontId="154" fillId="105" borderId="0" applyNumberFormat="0" applyBorder="0" applyAlignment="0" applyProtection="0"/>
    <xf numFmtId="0" fontId="73" fillId="65" borderId="0" applyNumberFormat="0" applyBorder="0" applyAlignment="0" applyProtection="0"/>
    <xf numFmtId="0" fontId="10" fillId="62" borderId="0" applyNumberFormat="0" applyBorder="0" applyAlignment="0" applyProtection="0"/>
    <xf numFmtId="0" fontId="73" fillId="64" borderId="0" applyNumberFormat="0" applyBorder="0" applyAlignment="0" applyProtection="0"/>
    <xf numFmtId="0" fontId="10" fillId="62" borderId="0" applyNumberFormat="0" applyBorder="0" applyAlignment="0" applyProtection="0"/>
    <xf numFmtId="0" fontId="41" fillId="62" borderId="0" applyNumberFormat="0" applyBorder="0" applyAlignment="0" applyProtection="0"/>
    <xf numFmtId="0" fontId="74" fillId="64" borderId="0" applyNumberFormat="0" applyBorder="0" applyAlignment="0" applyProtection="0"/>
    <xf numFmtId="0" fontId="10" fillId="62" borderId="0" applyNumberFormat="0" applyBorder="0" applyAlignment="0" applyProtection="0"/>
    <xf numFmtId="0" fontId="41" fillId="62" borderId="0" applyNumberFormat="0" applyBorder="0" applyAlignment="0" applyProtection="0"/>
    <xf numFmtId="191" fontId="41" fillId="62" borderId="0" applyNumberFormat="0" applyBorder="0" applyAlignment="0" applyProtection="0"/>
    <xf numFmtId="0" fontId="155" fillId="105" borderId="0" applyNumberFormat="0" applyBorder="0" applyAlignment="0" applyProtection="0"/>
    <xf numFmtId="0" fontId="155" fillId="105" borderId="0" applyNumberFormat="0" applyBorder="0" applyAlignment="0" applyProtection="0"/>
    <xf numFmtId="0" fontId="155" fillId="105" borderId="0" applyNumberFormat="0" applyBorder="0" applyAlignment="0" applyProtection="0"/>
    <xf numFmtId="0" fontId="155" fillId="66" borderId="0" applyNumberFormat="0" applyBorder="0" applyAlignment="0" applyProtection="0"/>
    <xf numFmtId="0" fontId="155" fillId="66" borderId="0" applyNumberFormat="0" applyBorder="0" applyAlignment="0" applyProtection="0"/>
    <xf numFmtId="0" fontId="155" fillId="66" borderId="0" applyNumberFormat="0" applyBorder="0" applyAlignment="0" applyProtection="0"/>
    <xf numFmtId="0" fontId="155" fillId="66" borderId="0" applyNumberFormat="0" applyBorder="0" applyAlignment="0" applyProtection="0"/>
    <xf numFmtId="0" fontId="155" fillId="66" borderId="0" applyNumberFormat="0" applyBorder="0" applyAlignment="0" applyProtection="0"/>
    <xf numFmtId="0" fontId="155" fillId="66" borderId="0" applyNumberFormat="0" applyBorder="0" applyAlignment="0" applyProtection="0"/>
    <xf numFmtId="0" fontId="73" fillId="67" borderId="0" applyNumberFormat="0" applyBorder="0" applyAlignment="0" applyProtection="0"/>
    <xf numFmtId="0" fontId="73" fillId="9" borderId="0" applyNumberFormat="0" applyBorder="0" applyAlignment="0" applyProtection="0"/>
    <xf numFmtId="0" fontId="41" fillId="48" borderId="0" applyNumberFormat="0" applyBorder="0" applyAlignment="0" applyProtection="0"/>
    <xf numFmtId="0" fontId="73" fillId="67" borderId="0" applyNumberFormat="0" applyBorder="0" applyAlignment="0" applyProtection="0"/>
    <xf numFmtId="0" fontId="154" fillId="66" borderId="0" applyNumberFormat="0" applyBorder="0" applyAlignment="0" applyProtection="0"/>
    <xf numFmtId="0" fontId="154" fillId="66" borderId="0" applyNumberFormat="0" applyBorder="0" applyAlignment="0" applyProtection="0"/>
    <xf numFmtId="191" fontId="154" fillId="66" borderId="0" applyNumberFormat="0" applyBorder="0" applyAlignment="0" applyProtection="0"/>
    <xf numFmtId="0" fontId="73" fillId="68" borderId="0" applyNumberFormat="0" applyBorder="0" applyAlignment="0" applyProtection="0"/>
    <xf numFmtId="0" fontId="10" fillId="48" borderId="0" applyNumberFormat="0" applyBorder="0" applyAlignment="0" applyProtection="0"/>
    <xf numFmtId="0" fontId="73" fillId="9" borderId="0" applyNumberFormat="0" applyBorder="0" applyAlignment="0" applyProtection="0"/>
    <xf numFmtId="0" fontId="10" fillId="48" borderId="0" applyNumberFormat="0" applyBorder="0" applyAlignment="0" applyProtection="0"/>
    <xf numFmtId="0" fontId="41" fillId="48" borderId="0" applyNumberFormat="0" applyBorder="0" applyAlignment="0" applyProtection="0"/>
    <xf numFmtId="0" fontId="74" fillId="9" borderId="0" applyNumberFormat="0" applyBorder="0" applyAlignment="0" applyProtection="0"/>
    <xf numFmtId="0" fontId="10" fillId="48" borderId="0" applyNumberFormat="0" applyBorder="0" applyAlignment="0" applyProtection="0"/>
    <xf numFmtId="0" fontId="41" fillId="48" borderId="0" applyNumberFormat="0" applyBorder="0" applyAlignment="0" applyProtection="0"/>
    <xf numFmtId="191" fontId="41" fillId="48" borderId="0" applyNumberFormat="0" applyBorder="0" applyAlignment="0" applyProtection="0"/>
    <xf numFmtId="0" fontId="155" fillId="66" borderId="0" applyNumberFormat="0" applyBorder="0" applyAlignment="0" applyProtection="0"/>
    <xf numFmtId="0" fontId="155" fillId="66" borderId="0" applyNumberFormat="0" applyBorder="0" applyAlignment="0" applyProtection="0"/>
    <xf numFmtId="0" fontId="155" fillId="66" borderId="0" applyNumberFormat="0" applyBorder="0" applyAlignment="0" applyProtection="0"/>
    <xf numFmtId="0" fontId="155" fillId="106" borderId="0" applyNumberFormat="0" applyBorder="0" applyAlignment="0" applyProtection="0"/>
    <xf numFmtId="0" fontId="155" fillId="106" borderId="0" applyNumberFormat="0" applyBorder="0" applyAlignment="0" applyProtection="0"/>
    <xf numFmtId="0" fontId="155" fillId="106" borderId="0" applyNumberFormat="0" applyBorder="0" applyAlignment="0" applyProtection="0"/>
    <xf numFmtId="0" fontId="155" fillId="106" borderId="0" applyNumberFormat="0" applyBorder="0" applyAlignment="0" applyProtection="0"/>
    <xf numFmtId="0" fontId="155" fillId="106" borderId="0" applyNumberFormat="0" applyBorder="0" applyAlignment="0" applyProtection="0"/>
    <xf numFmtId="0" fontId="155" fillId="106"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41" fillId="41" borderId="0" applyNumberFormat="0" applyBorder="0" applyAlignment="0" applyProtection="0"/>
    <xf numFmtId="0" fontId="73" fillId="50" borderId="0" applyNumberFormat="0" applyBorder="0" applyAlignment="0" applyProtection="0"/>
    <xf numFmtId="0" fontId="154" fillId="106" borderId="0" applyNumberFormat="0" applyBorder="0" applyAlignment="0" applyProtection="0"/>
    <xf numFmtId="0" fontId="154" fillId="106" borderId="0" applyNumberFormat="0" applyBorder="0" applyAlignment="0" applyProtection="0"/>
    <xf numFmtId="191" fontId="154" fillId="106" borderId="0" applyNumberFormat="0" applyBorder="0" applyAlignment="0" applyProtection="0"/>
    <xf numFmtId="0" fontId="10" fillId="41" borderId="0" applyNumberFormat="0" applyBorder="0" applyAlignment="0" applyProtection="0"/>
    <xf numFmtId="0" fontId="73" fillId="50" borderId="0" applyNumberFormat="0" applyBorder="0" applyAlignment="0" applyProtection="0"/>
    <xf numFmtId="0" fontId="10" fillId="41" borderId="0" applyNumberFormat="0" applyBorder="0" applyAlignment="0" applyProtection="0"/>
    <xf numFmtId="0" fontId="41" fillId="41" borderId="0" applyNumberFormat="0" applyBorder="0" applyAlignment="0" applyProtection="0"/>
    <xf numFmtId="0" fontId="74" fillId="50" borderId="0" applyNumberFormat="0" applyBorder="0" applyAlignment="0" applyProtection="0"/>
    <xf numFmtId="0" fontId="10" fillId="41" borderId="0" applyNumberFormat="0" applyBorder="0" applyAlignment="0" applyProtection="0"/>
    <xf numFmtId="0" fontId="41" fillId="41" borderId="0" applyNumberFormat="0" applyBorder="0" applyAlignment="0" applyProtection="0"/>
    <xf numFmtId="191" fontId="41" fillId="41" borderId="0" applyNumberFormat="0" applyBorder="0" applyAlignment="0" applyProtection="0"/>
    <xf numFmtId="0" fontId="155" fillId="106" borderId="0" applyNumberFormat="0" applyBorder="0" applyAlignment="0" applyProtection="0"/>
    <xf numFmtId="0" fontId="155" fillId="106" borderId="0" applyNumberFormat="0" applyBorder="0" applyAlignment="0" applyProtection="0"/>
    <xf numFmtId="0" fontId="155" fillId="106" borderId="0" applyNumberFormat="0" applyBorder="0" applyAlignment="0" applyProtection="0"/>
    <xf numFmtId="0" fontId="155" fillId="107" borderId="0" applyNumberFormat="0" applyBorder="0" applyAlignment="0" applyProtection="0"/>
    <xf numFmtId="0" fontId="155" fillId="107" borderId="0" applyNumberFormat="0" applyBorder="0" applyAlignment="0" applyProtection="0"/>
    <xf numFmtId="0" fontId="155" fillId="107" borderId="0" applyNumberFormat="0" applyBorder="0" applyAlignment="0" applyProtection="0"/>
    <xf numFmtId="0" fontId="155" fillId="107" borderId="0" applyNumberFormat="0" applyBorder="0" applyAlignment="0" applyProtection="0"/>
    <xf numFmtId="0" fontId="155" fillId="107" borderId="0" applyNumberFormat="0" applyBorder="0" applyAlignment="0" applyProtection="0"/>
    <xf numFmtId="0" fontId="155" fillId="107" borderId="0" applyNumberFormat="0" applyBorder="0" applyAlignment="0" applyProtection="0"/>
    <xf numFmtId="0" fontId="73" fillId="51" borderId="0" applyNumberFormat="0" applyBorder="0" applyAlignment="0" applyProtection="0"/>
    <xf numFmtId="0" fontId="73" fillId="69" borderId="0" applyNumberFormat="0" applyBorder="0" applyAlignment="0" applyProtection="0"/>
    <xf numFmtId="0" fontId="41" fillId="45" borderId="0" applyNumberFormat="0" applyBorder="0" applyAlignment="0" applyProtection="0"/>
    <xf numFmtId="0" fontId="73" fillId="51" borderId="0" applyNumberFormat="0" applyBorder="0" applyAlignment="0" applyProtection="0"/>
    <xf numFmtId="0" fontId="154" fillId="107" borderId="0" applyNumberFormat="0" applyBorder="0" applyAlignment="0" applyProtection="0"/>
    <xf numFmtId="0" fontId="154" fillId="107" borderId="0" applyNumberFormat="0" applyBorder="0" applyAlignment="0" applyProtection="0"/>
    <xf numFmtId="191" fontId="154" fillId="107" borderId="0" applyNumberFormat="0" applyBorder="0" applyAlignment="0" applyProtection="0"/>
    <xf numFmtId="0" fontId="73" fillId="70" borderId="0" applyNumberFormat="0" applyBorder="0" applyAlignment="0" applyProtection="0"/>
    <xf numFmtId="0" fontId="10" fillId="45" borderId="0" applyNumberFormat="0" applyBorder="0" applyAlignment="0" applyProtection="0"/>
    <xf numFmtId="0" fontId="73" fillId="69" borderId="0" applyNumberFormat="0" applyBorder="0" applyAlignment="0" applyProtection="0"/>
    <xf numFmtId="0" fontId="10" fillId="45" borderId="0" applyNumberFormat="0" applyBorder="0" applyAlignment="0" applyProtection="0"/>
    <xf numFmtId="0" fontId="41" fillId="45" borderId="0" applyNumberFormat="0" applyBorder="0" applyAlignment="0" applyProtection="0"/>
    <xf numFmtId="0" fontId="74" fillId="69" borderId="0" applyNumberFormat="0" applyBorder="0" applyAlignment="0" applyProtection="0"/>
    <xf numFmtId="0" fontId="10" fillId="45" borderId="0" applyNumberFormat="0" applyBorder="0" applyAlignment="0" applyProtection="0"/>
    <xf numFmtId="0" fontId="41" fillId="45" borderId="0" applyNumberFormat="0" applyBorder="0" applyAlignment="0" applyProtection="0"/>
    <xf numFmtId="191" fontId="41" fillId="45" borderId="0" applyNumberFormat="0" applyBorder="0" applyAlignment="0" applyProtection="0"/>
    <xf numFmtId="0" fontId="155" fillId="107" borderId="0" applyNumberFormat="0" applyBorder="0" applyAlignment="0" applyProtection="0"/>
    <xf numFmtId="0" fontId="155" fillId="107" borderId="0" applyNumberFormat="0" applyBorder="0" applyAlignment="0" applyProtection="0"/>
    <xf numFmtId="0" fontId="155" fillId="107" borderId="0" applyNumberFormat="0" applyBorder="0" applyAlignment="0" applyProtection="0"/>
    <xf numFmtId="0" fontId="157" fillId="108" borderId="0" applyNumberFormat="0" applyBorder="0" applyAlignment="0" applyProtection="0"/>
    <xf numFmtId="0" fontId="157" fillId="108" borderId="0" applyNumberFormat="0" applyBorder="0" applyAlignment="0" applyProtection="0"/>
    <xf numFmtId="0" fontId="157" fillId="108" borderId="0" applyNumberFormat="0" applyBorder="0" applyAlignment="0" applyProtection="0"/>
    <xf numFmtId="0" fontId="157" fillId="108" borderId="0" applyNumberFormat="0" applyBorder="0" applyAlignment="0" applyProtection="0"/>
    <xf numFmtId="0" fontId="157" fillId="108" borderId="0" applyNumberFormat="0" applyBorder="0" applyAlignment="0" applyProtection="0"/>
    <xf numFmtId="0" fontId="157" fillId="108" borderId="0" applyNumberFormat="0" applyBorder="0" applyAlignment="0" applyProtection="0"/>
    <xf numFmtId="0" fontId="75" fillId="71" borderId="0" applyNumberFormat="0" applyBorder="0" applyAlignment="0" applyProtection="0"/>
    <xf numFmtId="0" fontId="76" fillId="10" borderId="0" applyNumberFormat="0" applyBorder="0" applyAlignment="0" applyProtection="0"/>
    <xf numFmtId="0" fontId="42" fillId="11" borderId="0" applyNumberFormat="0" applyBorder="0" applyAlignment="0" applyProtection="0"/>
    <xf numFmtId="0" fontId="75" fillId="71" borderId="0" applyNumberFormat="0" applyBorder="0" applyAlignment="0" applyProtection="0"/>
    <xf numFmtId="0" fontId="156" fillId="108" borderId="0" applyNumberFormat="0" applyBorder="0" applyAlignment="0" applyProtection="0"/>
    <xf numFmtId="0" fontId="156" fillId="108" borderId="0" applyNumberFormat="0" applyBorder="0" applyAlignment="0" applyProtection="0"/>
    <xf numFmtId="191" fontId="156" fillId="108" borderId="0" applyNumberFormat="0" applyBorder="0" applyAlignment="0" applyProtection="0"/>
    <xf numFmtId="0" fontId="75" fillId="72" borderId="0" applyNumberFormat="0" applyBorder="0" applyAlignment="0" applyProtection="0"/>
    <xf numFmtId="0" fontId="76" fillId="10" borderId="0" applyNumberFormat="0" applyBorder="0" applyAlignment="0" applyProtection="0"/>
    <xf numFmtId="0" fontId="128" fillId="11" borderId="0" applyNumberFormat="0" applyBorder="0" applyAlignment="0" applyProtection="0"/>
    <xf numFmtId="0" fontId="42" fillId="11" borderId="0" applyNumberFormat="0" applyBorder="0" applyAlignment="0" applyProtection="0"/>
    <xf numFmtId="0" fontId="77" fillId="10" borderId="0" applyNumberFormat="0" applyBorder="0" applyAlignment="0" applyProtection="0"/>
    <xf numFmtId="0" fontId="128" fillId="11" borderId="0" applyNumberFormat="0" applyBorder="0" applyAlignment="0" applyProtection="0"/>
    <xf numFmtId="0" fontId="42" fillId="11" borderId="0" applyNumberFormat="0" applyBorder="0" applyAlignment="0" applyProtection="0"/>
    <xf numFmtId="191" fontId="42" fillId="11" borderId="0" applyNumberFormat="0" applyBorder="0" applyAlignment="0" applyProtection="0"/>
    <xf numFmtId="0" fontId="157" fillId="108" borderId="0" applyNumberFormat="0" applyBorder="0" applyAlignment="0" applyProtection="0"/>
    <xf numFmtId="0" fontId="157" fillId="108" borderId="0" applyNumberFormat="0" applyBorder="0" applyAlignment="0" applyProtection="0"/>
    <xf numFmtId="0" fontId="157" fillId="108" borderId="0" applyNumberFormat="0" applyBorder="0" applyAlignment="0" applyProtection="0"/>
    <xf numFmtId="0" fontId="158" fillId="3" borderId="222" applyNumberFormat="0" applyAlignment="0" applyProtection="0"/>
    <xf numFmtId="0" fontId="158" fillId="3" borderId="222" applyNumberFormat="0" applyAlignment="0" applyProtection="0"/>
    <xf numFmtId="0" fontId="158" fillId="3" borderId="222" applyNumberFormat="0" applyAlignment="0" applyProtection="0"/>
    <xf numFmtId="0" fontId="158" fillId="3" borderId="222" applyNumberFormat="0" applyAlignment="0" applyProtection="0"/>
    <xf numFmtId="0" fontId="158" fillId="3" borderId="222" applyNumberFormat="0" applyAlignment="0" applyProtection="0"/>
    <xf numFmtId="0" fontId="158" fillId="3" borderId="222" applyNumberFormat="0" applyAlignment="0" applyProtection="0"/>
    <xf numFmtId="0" fontId="78" fillId="73" borderId="2" applyNumberFormat="0" applyAlignment="0" applyProtection="0"/>
    <xf numFmtId="0" fontId="79" fillId="74" borderId="1" applyNumberFormat="0" applyAlignment="0" applyProtection="0"/>
    <xf numFmtId="0" fontId="119" fillId="27" borderId="1" applyNumberFormat="0" applyAlignment="0" applyProtection="0"/>
    <xf numFmtId="0" fontId="78" fillId="73" borderId="2" applyNumberFormat="0" applyAlignment="0" applyProtection="0"/>
    <xf numFmtId="0" fontId="159" fillId="3" borderId="222" applyNumberFormat="0" applyAlignment="0" applyProtection="0"/>
    <xf numFmtId="0" fontId="159" fillId="3" borderId="222" applyNumberFormat="0" applyAlignment="0" applyProtection="0"/>
    <xf numFmtId="191" fontId="159" fillId="3" borderId="222" applyNumberFormat="0" applyAlignment="0" applyProtection="0"/>
    <xf numFmtId="0" fontId="141" fillId="75" borderId="3" applyNumberFormat="0" applyAlignment="0" applyProtection="0"/>
    <xf numFmtId="0" fontId="79" fillId="74" borderId="1" applyNumberFormat="0" applyAlignment="0" applyProtection="0"/>
    <xf numFmtId="0" fontId="129" fillId="27" borderId="1" applyNumberFormat="0" applyAlignment="0" applyProtection="0"/>
    <xf numFmtId="0" fontId="119" fillId="27" borderId="1" applyNumberFormat="0" applyAlignment="0" applyProtection="0"/>
    <xf numFmtId="0" fontId="80" fillId="74" borderId="1" applyNumberFormat="0" applyAlignment="0" applyProtection="0"/>
    <xf numFmtId="0" fontId="129" fillId="27" borderId="1" applyNumberFormat="0" applyAlignment="0" applyProtection="0"/>
    <xf numFmtId="0" fontId="119" fillId="27" borderId="1" applyNumberFormat="0" applyAlignment="0" applyProtection="0"/>
    <xf numFmtId="191" fontId="119" fillId="27" borderId="1" applyNumberFormat="0" applyAlignment="0" applyProtection="0"/>
    <xf numFmtId="0" fontId="158" fillId="3" borderId="222" applyNumberFormat="0" applyAlignment="0" applyProtection="0"/>
    <xf numFmtId="0" fontId="158" fillId="3" borderId="222" applyNumberFormat="0" applyAlignment="0" applyProtection="0"/>
    <xf numFmtId="0" fontId="158" fillId="3" borderId="222" applyNumberFormat="0" applyAlignment="0" applyProtection="0"/>
    <xf numFmtId="0" fontId="161" fillId="109" borderId="223" applyNumberFormat="0" applyAlignment="0" applyProtection="0"/>
    <xf numFmtId="0" fontId="161" fillId="109" borderId="223" applyNumberFormat="0" applyAlignment="0" applyProtection="0"/>
    <xf numFmtId="0" fontId="161" fillId="109" borderId="223" applyNumberFormat="0" applyAlignment="0" applyProtection="0"/>
    <xf numFmtId="0" fontId="161" fillId="109" borderId="223" applyNumberFormat="0" applyAlignment="0" applyProtection="0"/>
    <xf numFmtId="0" fontId="161" fillId="109" borderId="223" applyNumberFormat="0" applyAlignment="0" applyProtection="0"/>
    <xf numFmtId="0" fontId="161" fillId="109" borderId="223" applyNumberFormat="0" applyAlignment="0" applyProtection="0"/>
    <xf numFmtId="0" fontId="81" fillId="43" borderId="4" applyNumberFormat="0" applyAlignment="0" applyProtection="0"/>
    <xf numFmtId="0" fontId="81" fillId="77" borderId="4" applyNumberFormat="0" applyAlignment="0" applyProtection="0"/>
    <xf numFmtId="0" fontId="43" fillId="76" borderId="4" applyNumberFormat="0" applyAlignment="0" applyProtection="0"/>
    <xf numFmtId="0" fontId="81" fillId="43" borderId="4" applyNumberFormat="0" applyAlignment="0" applyProtection="0"/>
    <xf numFmtId="0" fontId="160" fillId="109" borderId="223" applyNumberFormat="0" applyAlignment="0" applyProtection="0"/>
    <xf numFmtId="0" fontId="160" fillId="109" borderId="223" applyNumberFormat="0" applyAlignment="0" applyProtection="0"/>
    <xf numFmtId="191" fontId="160" fillId="109" borderId="223" applyNumberFormat="0" applyAlignment="0" applyProtection="0"/>
    <xf numFmtId="0" fontId="81" fillId="78" borderId="4" applyNumberFormat="0" applyAlignment="0" applyProtection="0"/>
    <xf numFmtId="0" fontId="81" fillId="77" borderId="4" applyNumberFormat="0" applyAlignment="0" applyProtection="0"/>
    <xf numFmtId="0" fontId="19" fillId="76" borderId="4" applyNumberFormat="0" applyAlignment="0" applyProtection="0"/>
    <xf numFmtId="0" fontId="43" fillId="76" borderId="4" applyNumberFormat="0" applyAlignment="0" applyProtection="0"/>
    <xf numFmtId="0" fontId="82" fillId="77" borderId="4" applyNumberFormat="0" applyAlignment="0" applyProtection="0"/>
    <xf numFmtId="0" fontId="19" fillId="76" borderId="4" applyNumberFormat="0" applyAlignment="0" applyProtection="0"/>
    <xf numFmtId="0" fontId="43" fillId="76" borderId="4" applyNumberFormat="0" applyAlignment="0" applyProtection="0"/>
    <xf numFmtId="191" fontId="43" fillId="76" borderId="4" applyNumberFormat="0" applyAlignment="0" applyProtection="0"/>
    <xf numFmtId="0" fontId="161" fillId="109" borderId="223" applyNumberFormat="0" applyAlignment="0" applyProtection="0"/>
    <xf numFmtId="0" fontId="161" fillId="109" borderId="223" applyNumberFormat="0" applyAlignment="0" applyProtection="0"/>
    <xf numFmtId="0" fontId="161" fillId="109" borderId="223" applyNumberFormat="0" applyAlignment="0" applyProtection="0"/>
    <xf numFmtId="164" fontId="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27" fillId="0" borderId="0" applyFont="0" applyFill="0" applyBorder="0" applyAlignment="0" applyProtection="0"/>
    <xf numFmtId="184" fontId="83" fillId="0" borderId="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84" fontId="83" fillId="0" borderId="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6" fontId="37" fillId="0" borderId="0" applyFill="0" applyBorder="0" applyAlignment="0" applyProtection="0"/>
    <xf numFmtId="176" fontId="37" fillId="0" borderId="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184" fontId="37" fillId="0" borderId="0" applyFill="0" applyBorder="0" applyAlignment="0" applyProtection="0"/>
    <xf numFmtId="43" fontId="51" fillId="0" borderId="0" applyFont="0" applyFill="0" applyBorder="0" applyAlignment="0" applyProtection="0"/>
    <xf numFmtId="176" fontId="37" fillId="0" borderId="0" applyFill="0" applyBorder="0" applyAlignment="0" applyProtection="0"/>
    <xf numFmtId="43" fontId="7" fillId="0" borderId="0" applyFont="0" applyFill="0" applyBorder="0" applyAlignment="0" applyProtection="0"/>
    <xf numFmtId="184" fontId="37" fillId="0" borderId="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176" fontId="37" fillId="0" borderId="0" applyFill="0" applyBorder="0" applyAlignment="0" applyProtection="0"/>
    <xf numFmtId="176" fontId="37" fillId="0" borderId="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84" fontId="37" fillId="0" borderId="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184" fontId="83"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43" fontId="7" fillId="0" borderId="0" applyFont="0" applyFill="0" applyBorder="0" applyAlignment="0" applyProtection="0"/>
    <xf numFmtId="184" fontId="37" fillId="0" borderId="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184" fontId="83" fillId="0" borderId="0" applyFill="0" applyBorder="0" applyAlignment="0" applyProtection="0"/>
    <xf numFmtId="176" fontId="37" fillId="0" borderId="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176" fontId="37"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184" fontId="37" fillId="0" borderId="0" applyFill="0" applyBorder="0" applyAlignment="0" applyProtection="0"/>
    <xf numFmtId="184" fontId="37" fillId="0" borderId="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184" fontId="37" fillId="0" borderId="0" applyFill="0" applyBorder="0" applyAlignment="0" applyProtection="0"/>
    <xf numFmtId="184" fontId="37"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83" fillId="0" borderId="0" applyFill="0" applyBorder="0" applyAlignment="0" applyProtection="0"/>
    <xf numFmtId="3" fontId="37" fillId="0" borderId="0" applyFill="0" applyBorder="0" applyAlignment="0" applyProtection="0"/>
    <xf numFmtId="3" fontId="7" fillId="0" borderId="0" applyFont="0" applyFill="0" applyBorder="0" applyAlignment="0" applyProtection="0"/>
    <xf numFmtId="3" fontId="37" fillId="0" borderId="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185" fontId="83" fillId="0" borderId="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186" fontId="37" fillId="0" borderId="0" applyFill="0" applyBorder="0" applyAlignment="0" applyProtection="0"/>
    <xf numFmtId="186" fontId="37" fillId="0" borderId="0" applyFill="0" applyBorder="0" applyAlignment="0" applyProtection="0"/>
    <xf numFmtId="44" fontId="51" fillId="0" borderId="0" applyFont="0" applyFill="0" applyBorder="0" applyAlignment="0" applyProtection="0"/>
    <xf numFmtId="44" fontId="1" fillId="0" borderId="0" applyFont="0" applyFill="0" applyBorder="0" applyAlignment="0" applyProtection="0"/>
    <xf numFmtId="185" fontId="37" fillId="0" borderId="0" applyFill="0" applyBorder="0" applyAlignment="0" applyProtection="0"/>
    <xf numFmtId="44" fontId="51" fillId="0" borderId="0" applyFont="0" applyFill="0" applyBorder="0" applyAlignment="0" applyProtection="0"/>
    <xf numFmtId="186" fontId="37" fillId="0" borderId="0" applyFill="0" applyBorder="0" applyAlignment="0" applyProtection="0"/>
    <xf numFmtId="44" fontId="7" fillId="0" borderId="0" applyFont="0" applyFill="0" applyBorder="0" applyAlignment="0" applyProtection="0"/>
    <xf numFmtId="185" fontId="37" fillId="0" borderId="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51" fillId="0" borderId="0" applyFont="0" applyFill="0" applyBorder="0" applyAlignment="0" applyProtection="0"/>
    <xf numFmtId="185" fontId="83" fillId="0" borderId="0" applyFill="0" applyBorder="0" applyAlignment="0" applyProtection="0"/>
    <xf numFmtId="186" fontId="3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86" fontId="3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7" fillId="0" borderId="0" applyFont="0" applyFill="0" applyBorder="0" applyAlignment="0" applyProtection="0"/>
    <xf numFmtId="185" fontId="37" fillId="0" borderId="0" applyFill="0" applyBorder="0" applyAlignment="0" applyProtection="0"/>
    <xf numFmtId="44" fontId="7" fillId="0" borderId="0" applyFont="0" applyFill="0" applyBorder="0" applyAlignment="0" applyProtection="0"/>
    <xf numFmtId="44" fontId="51" fillId="0" borderId="0" applyFont="0" applyFill="0" applyBorder="0" applyAlignment="0" applyProtection="0"/>
    <xf numFmtId="0" fontId="37" fillId="0" borderId="0" applyNumberForma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187" fontId="83" fillId="0" borderId="0" applyFill="0" applyBorder="0" applyAlignment="0" applyProtection="0"/>
    <xf numFmtId="187" fontId="37" fillId="0" borderId="0" applyFill="0" applyBorder="0" applyAlignment="0" applyProtection="0"/>
    <xf numFmtId="5" fontId="7" fillId="0" borderId="0" applyFont="0" applyFill="0" applyBorder="0" applyAlignment="0" applyProtection="0"/>
    <xf numFmtId="187" fontId="37" fillId="0" borderId="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14" fontId="83" fillId="0" borderId="0" applyFill="0" applyBorder="0" applyAlignment="0" applyProtection="0"/>
    <xf numFmtId="14" fontId="37" fillId="0" borderId="0" applyFill="0" applyBorder="0" applyAlignment="0" applyProtection="0"/>
    <xf numFmtId="14" fontId="7" fillId="0" borderId="0" applyFont="0" applyFill="0" applyBorder="0" applyAlignment="0" applyProtection="0"/>
    <xf numFmtId="14" fontId="37" fillId="0" borderId="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0" fontId="87" fillId="15" borderId="0" applyNumberFormat="0" applyBorder="0" applyAlignment="0" applyProtection="0"/>
    <xf numFmtId="0" fontId="143" fillId="79" borderId="0" applyNumberFormat="0" applyBorder="0" applyAlignment="0" applyProtection="0"/>
    <xf numFmtId="0" fontId="70" fillId="0" borderId="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44" fillId="0" borderId="0" applyNumberFormat="0" applyFill="0" applyBorder="0" applyAlignment="0" applyProtection="0"/>
    <xf numFmtId="0" fontId="84"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191" fontId="162" fillId="0" borderId="0" applyNumberFormat="0" applyFill="0" applyBorder="0" applyAlignment="0" applyProtection="0"/>
    <xf numFmtId="0" fontId="142" fillId="0" borderId="0" applyNumberFormat="0" applyFill="0" applyBorder="0" applyAlignment="0" applyProtection="0"/>
    <xf numFmtId="0" fontId="85" fillId="0" borderId="0" applyNumberFormat="0" applyFill="0" applyBorder="0" applyAlignment="0" applyProtection="0"/>
    <xf numFmtId="0" fontId="130" fillId="0" borderId="0" applyNumberFormat="0" applyFill="0" applyBorder="0" applyAlignment="0" applyProtection="0"/>
    <xf numFmtId="0" fontId="44" fillId="0" borderId="0" applyNumberFormat="0" applyFill="0" applyBorder="0" applyAlignment="0" applyProtection="0"/>
    <xf numFmtId="0" fontId="86" fillId="0" borderId="0" applyNumberFormat="0" applyFill="0" applyBorder="0" applyAlignment="0" applyProtection="0"/>
    <xf numFmtId="0" fontId="130" fillId="0" borderId="0" applyNumberFormat="0" applyFill="0" applyBorder="0" applyAlignment="0" applyProtection="0"/>
    <xf numFmtId="0" fontId="44" fillId="0" borderId="0" applyNumberFormat="0" applyFill="0" applyBorder="0" applyAlignment="0" applyProtection="0"/>
    <xf numFmtId="191" fontId="44"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4" fillId="3" borderId="224" applyNumberFormat="0" applyAlignment="0" applyProtection="0">
      <alignment horizontal="right" vertical="center"/>
    </xf>
    <xf numFmtId="0" fontId="165" fillId="80" borderId="224" applyNumberFormat="0">
      <alignment horizontal="center" vertical="center"/>
    </xf>
    <xf numFmtId="2" fontId="83" fillId="0" borderId="0" applyFill="0" applyBorder="0" applyAlignment="0" applyProtection="0"/>
    <xf numFmtId="2" fontId="37" fillId="0" borderId="0" applyFill="0" applyBorder="0" applyAlignment="0" applyProtection="0"/>
    <xf numFmtId="2" fontId="7" fillId="0" borderId="0" applyFont="0" applyFill="0" applyBorder="0" applyAlignment="0" applyProtection="0"/>
    <xf numFmtId="2" fontId="37" fillId="0" borderId="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0" fontId="167" fillId="110" borderId="0" applyNumberFormat="0" applyBorder="0" applyAlignment="0" applyProtection="0"/>
    <xf numFmtId="0" fontId="167" fillId="110" borderId="0" applyNumberFormat="0" applyBorder="0" applyAlignment="0" applyProtection="0"/>
    <xf numFmtId="0" fontId="167" fillId="110" borderId="0" applyNumberFormat="0" applyBorder="0" applyAlignment="0" applyProtection="0"/>
    <xf numFmtId="0" fontId="167" fillId="110" borderId="0" applyNumberFormat="0" applyBorder="0" applyAlignment="0" applyProtection="0"/>
    <xf numFmtId="0" fontId="167" fillId="110" borderId="0" applyNumberFormat="0" applyBorder="0" applyAlignment="0" applyProtection="0"/>
    <xf numFmtId="0" fontId="167" fillId="110" borderId="0" applyNumberFormat="0" applyBorder="0" applyAlignment="0" applyProtection="0"/>
    <xf numFmtId="0" fontId="87" fillId="81" borderId="0" applyNumberFormat="0" applyBorder="0" applyAlignment="0" applyProtection="0"/>
    <xf numFmtId="0" fontId="87" fillId="15" borderId="0" applyNumberFormat="0" applyBorder="0" applyAlignment="0" applyProtection="0"/>
    <xf numFmtId="0" fontId="45" fillId="16" borderId="0" applyNumberFormat="0" applyBorder="0" applyAlignment="0" applyProtection="0"/>
    <xf numFmtId="0" fontId="87" fillId="81" borderId="0" applyNumberFormat="0" applyBorder="0" applyAlignment="0" applyProtection="0"/>
    <xf numFmtId="0" fontId="166" fillId="110" borderId="0" applyNumberFormat="0" applyBorder="0" applyAlignment="0" applyProtection="0"/>
    <xf numFmtId="0" fontId="166" fillId="110" borderId="0" applyNumberFormat="0" applyBorder="0" applyAlignment="0" applyProtection="0"/>
    <xf numFmtId="191" fontId="166" fillId="110" borderId="0" applyNumberFormat="0" applyBorder="0" applyAlignment="0" applyProtection="0"/>
    <xf numFmtId="0" fontId="143" fillId="82" borderId="0" applyNumberFormat="0" applyBorder="0" applyAlignment="0" applyProtection="0"/>
    <xf numFmtId="0" fontId="87" fillId="15" borderId="0" applyNumberFormat="0" applyBorder="0" applyAlignment="0" applyProtection="0"/>
    <xf numFmtId="0" fontId="131" fillId="16" borderId="0" applyNumberFormat="0" applyBorder="0" applyAlignment="0" applyProtection="0"/>
    <xf numFmtId="0" fontId="45" fillId="16" borderId="0" applyNumberFormat="0" applyBorder="0" applyAlignment="0" applyProtection="0"/>
    <xf numFmtId="0" fontId="88" fillId="15" borderId="0" applyNumberFormat="0" applyBorder="0" applyAlignment="0" applyProtection="0"/>
    <xf numFmtId="0" fontId="131" fillId="16" borderId="0" applyNumberFormat="0" applyBorder="0" applyAlignment="0" applyProtection="0"/>
    <xf numFmtId="0" fontId="45" fillId="16" borderId="0" applyNumberFormat="0" applyBorder="0" applyAlignment="0" applyProtection="0"/>
    <xf numFmtId="191" fontId="45" fillId="16" borderId="0" applyNumberFormat="0" applyBorder="0" applyAlignment="0" applyProtection="0"/>
    <xf numFmtId="0" fontId="167" fillId="110" borderId="0" applyNumberFormat="0" applyBorder="0" applyAlignment="0" applyProtection="0"/>
    <xf numFmtId="0" fontId="167" fillId="110" borderId="0" applyNumberFormat="0" applyBorder="0" applyAlignment="0" applyProtection="0"/>
    <xf numFmtId="0" fontId="167" fillId="110" borderId="0" applyNumberFormat="0" applyBorder="0" applyAlignment="0" applyProtection="0"/>
    <xf numFmtId="0" fontId="89" fillId="74" borderId="0" applyNumberFormat="0" applyBorder="0" applyAlignment="0" applyProtection="0"/>
    <xf numFmtId="0" fontId="89" fillId="74" borderId="0" applyNumberFormat="0" applyBorder="0" applyAlignment="0" applyProtection="0"/>
    <xf numFmtId="38" fontId="13" fillId="83" borderId="0" applyNumberFormat="0" applyBorder="0" applyAlignment="0" applyProtection="0"/>
    <xf numFmtId="38" fontId="13" fillId="83" borderId="0" applyNumberFormat="0" applyBorder="0" applyAlignment="0" applyProtection="0"/>
    <xf numFmtId="0" fontId="89" fillId="84" borderId="0" applyNumberFormat="0" applyBorder="0" applyAlignment="0" applyProtection="0"/>
    <xf numFmtId="0" fontId="132" fillId="0" borderId="6" applyNumberFormat="0" applyFill="0" applyAlignment="0" applyProtection="0"/>
    <xf numFmtId="0" fontId="132" fillId="0" borderId="6" applyNumberFormat="0" applyFill="0" applyAlignment="0" applyProtection="0"/>
    <xf numFmtId="0" fontId="132" fillId="0" borderId="6" applyNumberFormat="0" applyFill="0" applyAlignment="0" applyProtection="0"/>
    <xf numFmtId="0" fontId="132" fillId="0" borderId="6" applyNumberFormat="0" applyFill="0" applyAlignment="0" applyProtection="0"/>
    <xf numFmtId="0" fontId="132" fillId="0" borderId="6" applyNumberFormat="0" applyFill="0" applyAlignment="0" applyProtection="0"/>
    <xf numFmtId="0" fontId="132" fillId="0" borderId="6" applyNumberFormat="0" applyFill="0" applyAlignment="0" applyProtection="0"/>
    <xf numFmtId="0" fontId="90" fillId="0" borderId="7" applyNumberFormat="0" applyFill="0" applyAlignment="0" applyProtection="0"/>
    <xf numFmtId="0" fontId="90" fillId="0" borderId="7" applyNumberFormat="0" applyFill="0" applyAlignment="0" applyProtection="0"/>
    <xf numFmtId="0" fontId="168" fillId="0" borderId="6" applyNumberFormat="0" applyFill="0" applyAlignment="0" applyProtection="0"/>
    <xf numFmtId="0" fontId="91" fillId="0" borderId="8" applyNumberFormat="0" applyFill="0" applyAlignment="0" applyProtection="0"/>
    <xf numFmtId="0" fontId="120" fillId="0" borderId="8" applyNumberFormat="0" applyFill="0" applyAlignment="0" applyProtection="0"/>
    <xf numFmtId="0" fontId="168" fillId="0" borderId="6" applyNumberFormat="0" applyFill="0" applyAlignment="0" applyProtection="0"/>
    <xf numFmtId="191" fontId="168" fillId="0" borderId="6" applyNumberFormat="0" applyFill="0" applyAlignment="0" applyProtection="0"/>
    <xf numFmtId="0" fontId="37" fillId="0" borderId="0" applyNumberFormat="0" applyFill="0" applyAlignment="0" applyProtection="0"/>
    <xf numFmtId="0" fontId="117" fillId="0" borderId="0" applyNumberFormat="0" applyFont="0" applyFill="0" applyAlignment="0" applyProtection="0"/>
    <xf numFmtId="0" fontId="91" fillId="0" borderId="8" applyNumberFormat="0" applyFill="0" applyAlignment="0" applyProtection="0"/>
    <xf numFmtId="0" fontId="133" fillId="0" borderId="8" applyNumberFormat="0" applyFill="0" applyAlignment="0" applyProtection="0"/>
    <xf numFmtId="0" fontId="120" fillId="0" borderId="8" applyNumberFormat="0" applyFill="0" applyAlignment="0" applyProtection="0"/>
    <xf numFmtId="0" fontId="117" fillId="0" borderId="0" applyNumberFormat="0" applyFont="0" applyFill="0" applyAlignment="0" applyProtection="0"/>
    <xf numFmtId="0" fontId="120" fillId="0" borderId="8" applyNumberFormat="0" applyFill="0" applyAlignment="0" applyProtection="0"/>
    <xf numFmtId="191" fontId="120" fillId="0" borderId="8" applyNumberFormat="0" applyFill="0" applyAlignment="0" applyProtection="0"/>
    <xf numFmtId="0" fontId="132" fillId="0" borderId="6" applyNumberFormat="0" applyFill="0" applyAlignment="0" applyProtection="0"/>
    <xf numFmtId="0" fontId="132" fillId="0" borderId="6" applyNumberFormat="0" applyFill="0" applyAlignment="0" applyProtection="0"/>
    <xf numFmtId="0" fontId="134" fillId="0" borderId="225" applyNumberFormat="0" applyFill="0" applyAlignment="0" applyProtection="0"/>
    <xf numFmtId="0" fontId="134" fillId="0" borderId="225" applyNumberFormat="0" applyFill="0" applyAlignment="0" applyProtection="0"/>
    <xf numFmtId="0" fontId="134" fillId="0" borderId="225" applyNumberFormat="0" applyFill="0" applyAlignment="0" applyProtection="0"/>
    <xf numFmtId="0" fontId="134" fillId="0" borderId="225" applyNumberFormat="0" applyFill="0" applyAlignment="0" applyProtection="0"/>
    <xf numFmtId="0" fontId="134" fillId="0" borderId="225" applyNumberFormat="0" applyFill="0" applyAlignment="0" applyProtection="0"/>
    <xf numFmtId="0" fontId="134" fillId="0" borderId="225" applyNumberFormat="0" applyFill="0" applyAlignment="0" applyProtection="0"/>
    <xf numFmtId="0" fontId="92" fillId="0" borderId="10" applyNumberFormat="0" applyFill="0" applyAlignment="0" applyProtection="0"/>
    <xf numFmtId="0" fontId="92" fillId="0" borderId="10" applyNumberFormat="0" applyFill="0" applyAlignment="0" applyProtection="0"/>
    <xf numFmtId="0" fontId="169" fillId="0" borderId="225" applyNumberFormat="0" applyFill="0" applyAlignment="0" applyProtection="0"/>
    <xf numFmtId="0" fontId="93" fillId="0" borderId="9" applyNumberFormat="0" applyFill="0" applyAlignment="0" applyProtection="0"/>
    <xf numFmtId="0" fontId="121" fillId="0" borderId="9" applyNumberFormat="0" applyFill="0" applyAlignment="0" applyProtection="0"/>
    <xf numFmtId="0" fontId="169" fillId="0" borderId="225" applyNumberFormat="0" applyFill="0" applyAlignment="0" applyProtection="0"/>
    <xf numFmtId="191" fontId="169" fillId="0" borderId="225" applyNumberFormat="0" applyFill="0" applyAlignment="0" applyProtection="0"/>
    <xf numFmtId="0" fontId="37" fillId="0" borderId="0" applyNumberFormat="0" applyFill="0" applyAlignment="0" applyProtection="0"/>
    <xf numFmtId="0" fontId="118" fillId="0" borderId="0" applyNumberFormat="0" applyFont="0" applyFill="0" applyAlignment="0" applyProtection="0"/>
    <xf numFmtId="0" fontId="93" fillId="0" borderId="9" applyNumberFormat="0" applyFill="0" applyAlignment="0" applyProtection="0"/>
    <xf numFmtId="0" fontId="135" fillId="0" borderId="9" applyNumberFormat="0" applyFill="0" applyAlignment="0" applyProtection="0"/>
    <xf numFmtId="0" fontId="121" fillId="0" borderId="9" applyNumberFormat="0" applyFill="0" applyAlignment="0" applyProtection="0"/>
    <xf numFmtId="0" fontId="118" fillId="0" borderId="0" applyNumberFormat="0" applyFont="0" applyFill="0" applyAlignment="0" applyProtection="0"/>
    <xf numFmtId="0" fontId="121" fillId="0" borderId="9" applyNumberFormat="0" applyFill="0" applyAlignment="0" applyProtection="0"/>
    <xf numFmtId="191" fontId="121" fillId="0" borderId="9" applyNumberFormat="0" applyFill="0" applyAlignment="0" applyProtection="0"/>
    <xf numFmtId="0" fontId="134" fillId="0" borderId="225" applyNumberFormat="0" applyFill="0" applyAlignment="0" applyProtection="0"/>
    <xf numFmtId="0" fontId="134" fillId="0" borderId="225" applyNumberFormat="0" applyFill="0" applyAlignment="0" applyProtection="0"/>
    <xf numFmtId="0" fontId="136" fillId="0" borderId="11" applyNumberFormat="0" applyFill="0" applyAlignment="0" applyProtection="0"/>
    <xf numFmtId="0" fontId="136" fillId="0" borderId="11" applyNumberFormat="0" applyFill="0" applyAlignment="0" applyProtection="0"/>
    <xf numFmtId="0" fontId="136" fillId="0" borderId="11" applyNumberFormat="0" applyFill="0" applyAlignment="0" applyProtection="0"/>
    <xf numFmtId="0" fontId="136" fillId="0" borderId="11" applyNumberFormat="0" applyFill="0" applyAlignment="0" applyProtection="0"/>
    <xf numFmtId="0" fontId="136" fillId="0" borderId="11" applyNumberFormat="0" applyFill="0" applyAlignment="0" applyProtection="0"/>
    <xf numFmtId="0" fontId="136" fillId="0" borderId="11" applyNumberFormat="0" applyFill="0" applyAlignment="0" applyProtection="0"/>
    <xf numFmtId="0" fontId="94" fillId="0" borderId="12" applyNumberFormat="0" applyFill="0" applyAlignment="0" applyProtection="0"/>
    <xf numFmtId="0" fontId="95" fillId="0" borderId="13" applyNumberFormat="0" applyFill="0" applyAlignment="0" applyProtection="0"/>
    <xf numFmtId="0" fontId="122" fillId="0" borderId="14" applyNumberFormat="0" applyFill="0" applyAlignment="0" applyProtection="0"/>
    <xf numFmtId="0" fontId="94" fillId="0" borderId="12" applyNumberFormat="0" applyFill="0" applyAlignment="0" applyProtection="0"/>
    <xf numFmtId="0" fontId="170" fillId="0" borderId="11" applyNumberFormat="0" applyFill="0" applyAlignment="0" applyProtection="0"/>
    <xf numFmtId="0" fontId="170" fillId="0" borderId="11" applyNumberFormat="0" applyFill="0" applyAlignment="0" applyProtection="0"/>
    <xf numFmtId="191" fontId="170" fillId="0" borderId="11" applyNumberFormat="0" applyFill="0" applyAlignment="0" applyProtection="0"/>
    <xf numFmtId="0" fontId="95" fillId="0" borderId="13" applyNumberFormat="0" applyFill="0" applyAlignment="0" applyProtection="0"/>
    <xf numFmtId="0" fontId="137" fillId="0" borderId="14" applyNumberFormat="0" applyFill="0" applyAlignment="0" applyProtection="0"/>
    <xf numFmtId="0" fontId="122" fillId="0" borderId="14" applyNumberFormat="0" applyFill="0" applyAlignment="0" applyProtection="0"/>
    <xf numFmtId="0" fontId="96" fillId="0" borderId="13" applyNumberFormat="0" applyFill="0" applyAlignment="0" applyProtection="0"/>
    <xf numFmtId="0" fontId="137" fillId="0" borderId="14" applyNumberFormat="0" applyFill="0" applyAlignment="0" applyProtection="0"/>
    <xf numFmtId="0" fontId="122" fillId="0" borderId="14" applyNumberFormat="0" applyFill="0" applyAlignment="0" applyProtection="0"/>
    <xf numFmtId="191" fontId="122" fillId="0" borderId="14" applyNumberFormat="0" applyFill="0" applyAlignment="0" applyProtection="0"/>
    <xf numFmtId="0" fontId="136" fillId="0" borderId="11" applyNumberFormat="0" applyFill="0" applyAlignment="0" applyProtection="0"/>
    <xf numFmtId="0" fontId="136" fillId="0" borderId="11" applyNumberFormat="0" applyFill="0" applyAlignment="0" applyProtection="0"/>
    <xf numFmtId="0" fontId="136" fillId="0" borderId="11" applyNumberFormat="0" applyFill="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22" fillId="0" borderId="0" applyNumberFormat="0" applyFill="0" applyBorder="0" applyAlignment="0" applyProtection="0"/>
    <xf numFmtId="0" fontId="94"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191" fontId="170" fillId="0" borderId="0" applyNumberFormat="0" applyFill="0" applyBorder="0" applyAlignment="0" applyProtection="0"/>
    <xf numFmtId="0" fontId="95" fillId="0" borderId="0" applyNumberFormat="0" applyFill="0" applyBorder="0" applyAlignment="0" applyProtection="0"/>
    <xf numFmtId="0" fontId="137" fillId="0" borderId="0" applyNumberFormat="0" applyFill="0" applyBorder="0" applyAlignment="0" applyProtection="0"/>
    <xf numFmtId="0" fontId="122" fillId="0" borderId="0" applyNumberFormat="0" applyFill="0" applyBorder="0" applyAlignment="0" applyProtection="0"/>
    <xf numFmtId="0" fontId="96" fillId="0" borderId="0" applyNumberFormat="0" applyFill="0" applyBorder="0" applyAlignment="0" applyProtection="0"/>
    <xf numFmtId="0" fontId="137" fillId="0" borderId="0" applyNumberFormat="0" applyFill="0" applyBorder="0" applyAlignment="0" applyProtection="0"/>
    <xf numFmtId="0" fontId="122" fillId="0" borderId="0" applyNumberFormat="0" applyFill="0" applyBorder="0" applyAlignment="0" applyProtection="0"/>
    <xf numFmtId="191" fontId="122"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97" fillId="0" borderId="0" applyNumberFormat="0" applyFill="0" applyBorder="0" applyAlignment="0" applyProtection="0"/>
    <xf numFmtId="0" fontId="126" fillId="0" borderId="0" applyNumberFormat="0" applyFill="0" applyBorder="0" applyAlignment="0" applyProtection="0">
      <alignment vertical="top"/>
      <protection locked="0"/>
    </xf>
    <xf numFmtId="0" fontId="98" fillId="0" borderId="0" applyNumberFormat="0" applyFill="0" applyBorder="0" applyAlignment="0" applyProtection="0"/>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191" fontId="116" fillId="0" borderId="0" applyNumberFormat="0" applyFill="0" applyBorder="0" applyAlignment="0" applyProtection="0">
      <alignment vertical="top"/>
      <protection locked="0"/>
    </xf>
    <xf numFmtId="0" fontId="98" fillId="0" borderId="0" applyNumberFormat="0" applyFill="0" applyBorder="0" applyAlignment="0" applyProtection="0"/>
    <xf numFmtId="0" fontId="89" fillId="85" borderId="0" applyNumberFormat="0" applyBorder="0" applyAlignment="0" applyProtection="0"/>
    <xf numFmtId="0" fontId="89" fillId="85" borderId="0" applyNumberFormat="0" applyBorder="0" applyAlignment="0" applyProtection="0"/>
    <xf numFmtId="10" fontId="13" fillId="86" borderId="15" applyNumberFormat="0" applyBorder="0" applyAlignment="0" applyProtection="0"/>
    <xf numFmtId="10" fontId="13" fillId="86" borderId="15" applyNumberFormat="0" applyBorder="0" applyAlignment="0" applyProtection="0"/>
    <xf numFmtId="0" fontId="99" fillId="26" borderId="1" applyNumberFormat="0" applyAlignment="0" applyProtection="0"/>
    <xf numFmtId="0" fontId="46" fillId="3" borderId="1" applyNumberFormat="0" applyAlignment="0" applyProtection="0"/>
    <xf numFmtId="0" fontId="99" fillId="26" borderId="1" applyNumberFormat="0" applyAlignment="0" applyProtection="0"/>
    <xf numFmtId="0" fontId="46" fillId="3" borderId="1" applyNumberFormat="0" applyAlignment="0" applyProtection="0"/>
    <xf numFmtId="0" fontId="99" fillId="26" borderId="1" applyNumberFormat="0" applyAlignment="0" applyProtection="0"/>
    <xf numFmtId="0" fontId="46" fillId="3" borderId="1" applyNumberFormat="0" applyAlignment="0" applyProtection="0"/>
    <xf numFmtId="0" fontId="99" fillId="26" borderId="1" applyNumberFormat="0" applyAlignment="0" applyProtection="0"/>
    <xf numFmtId="0" fontId="46" fillId="3" borderId="1" applyNumberFormat="0" applyAlignment="0" applyProtection="0"/>
    <xf numFmtId="0" fontId="99" fillId="26" borderId="1" applyNumberFormat="0" applyAlignment="0" applyProtection="0"/>
    <xf numFmtId="0" fontId="46" fillId="3" borderId="1" applyNumberFormat="0" applyAlignment="0" applyProtection="0"/>
    <xf numFmtId="0" fontId="99" fillId="26" borderId="1" applyNumberFormat="0" applyAlignment="0" applyProtection="0"/>
    <xf numFmtId="0" fontId="46" fillId="3" borderId="1" applyNumberFormat="0" applyAlignment="0" applyProtection="0"/>
    <xf numFmtId="0" fontId="99" fillId="26" borderId="1" applyNumberFormat="0" applyAlignment="0" applyProtection="0"/>
    <xf numFmtId="0" fontId="46" fillId="3" borderId="1" applyNumberFormat="0" applyAlignment="0" applyProtection="0"/>
    <xf numFmtId="0" fontId="99" fillId="26" borderId="1" applyNumberFormat="0" applyAlignment="0" applyProtection="0"/>
    <xf numFmtId="0" fontId="46" fillId="3" borderId="1" applyNumberFormat="0" applyAlignment="0" applyProtection="0"/>
    <xf numFmtId="0" fontId="99" fillId="26" borderId="1" applyNumberFormat="0" applyAlignment="0" applyProtection="0"/>
    <xf numFmtId="0" fontId="46" fillId="3" borderId="1" applyNumberFormat="0" applyAlignment="0" applyProtection="0"/>
    <xf numFmtId="0" fontId="99" fillId="26" borderId="1" applyNumberFormat="0" applyAlignment="0" applyProtection="0"/>
    <xf numFmtId="0" fontId="46" fillId="3" borderId="1" applyNumberFormat="0" applyAlignment="0" applyProtection="0"/>
    <xf numFmtId="0" fontId="100" fillId="26" borderId="2" applyNumberFormat="0" applyAlignment="0" applyProtection="0"/>
    <xf numFmtId="0" fontId="99" fillId="26" borderId="1" applyNumberFormat="0" applyAlignment="0" applyProtection="0"/>
    <xf numFmtId="0" fontId="46" fillId="3" borderId="1" applyNumberFormat="0" applyAlignment="0" applyProtection="0"/>
    <xf numFmtId="0" fontId="100" fillId="26" borderId="2" applyNumberFormat="0" applyAlignment="0" applyProtection="0"/>
    <xf numFmtId="0" fontId="171" fillId="30" borderId="222" applyNumberFormat="0" applyAlignment="0" applyProtection="0"/>
    <xf numFmtId="0" fontId="171" fillId="30" borderId="222" applyNumberFormat="0" applyAlignment="0" applyProtection="0"/>
    <xf numFmtId="191" fontId="171" fillId="30" borderId="222" applyNumberFormat="0" applyAlignment="0" applyProtection="0"/>
    <xf numFmtId="0" fontId="100" fillId="26" borderId="3" applyNumberFormat="0" applyAlignment="0" applyProtection="0"/>
    <xf numFmtId="0" fontId="99" fillId="26" borderId="1" applyNumberFormat="0" applyAlignment="0" applyProtection="0"/>
    <xf numFmtId="0" fontId="46" fillId="3" borderId="1" applyNumberFormat="0" applyAlignment="0" applyProtection="0"/>
    <xf numFmtId="0" fontId="99" fillId="26" borderId="1" applyNumberFormat="0" applyAlignment="0" applyProtection="0"/>
    <xf numFmtId="0" fontId="46" fillId="3" borderId="1" applyNumberFormat="0" applyAlignment="0" applyProtection="0"/>
    <xf numFmtId="0" fontId="99" fillId="26" borderId="1" applyNumberFormat="0" applyAlignment="0" applyProtection="0"/>
    <xf numFmtId="0" fontId="46" fillId="3" borderId="1" applyNumberFormat="0" applyAlignment="0" applyProtection="0"/>
    <xf numFmtId="0" fontId="99" fillId="26" borderId="1" applyNumberFormat="0" applyAlignment="0" applyProtection="0"/>
    <xf numFmtId="0" fontId="46" fillId="3" borderId="1" applyNumberFormat="0" applyAlignment="0" applyProtection="0"/>
    <xf numFmtId="0" fontId="99" fillId="26" borderId="1" applyNumberFormat="0" applyAlignment="0" applyProtection="0"/>
    <xf numFmtId="0" fontId="46" fillId="3" borderId="1" applyNumberFormat="0" applyAlignment="0" applyProtection="0"/>
    <xf numFmtId="0" fontId="99" fillId="26" borderId="1" applyNumberFormat="0" applyAlignment="0" applyProtection="0"/>
    <xf numFmtId="0" fontId="46" fillId="3" borderId="1" applyNumberFormat="0" applyAlignment="0" applyProtection="0"/>
    <xf numFmtId="0" fontId="99" fillId="26" borderId="1" applyNumberFormat="0" applyAlignment="0" applyProtection="0"/>
    <xf numFmtId="0" fontId="46" fillId="3" borderId="1" applyNumberFormat="0" applyAlignment="0" applyProtection="0"/>
    <xf numFmtId="0" fontId="99" fillId="26" borderId="1" applyNumberFormat="0" applyAlignment="0" applyProtection="0"/>
    <xf numFmtId="0" fontId="46" fillId="3" borderId="1" applyNumberFormat="0" applyAlignment="0" applyProtection="0"/>
    <xf numFmtId="0" fontId="99" fillId="26" borderId="1" applyNumberFormat="0" applyAlignment="0" applyProtection="0"/>
    <xf numFmtId="0" fontId="46" fillId="3" borderId="1" applyNumberFormat="0" applyAlignment="0" applyProtection="0"/>
    <xf numFmtId="0" fontId="101" fillId="26" borderId="1" applyNumberFormat="0" applyAlignment="0" applyProtection="0"/>
    <xf numFmtId="0" fontId="138" fillId="3" borderId="1" applyNumberFormat="0" applyAlignment="0" applyProtection="0"/>
    <xf numFmtId="0" fontId="99" fillId="26" borderId="1" applyNumberFormat="0" applyAlignment="0" applyProtection="0"/>
    <xf numFmtId="0" fontId="138" fillId="3" borderId="1" applyNumberFormat="0" applyAlignment="0" applyProtection="0"/>
    <xf numFmtId="0" fontId="46" fillId="3" borderId="1" applyNumberFormat="0" applyAlignment="0" applyProtection="0"/>
    <xf numFmtId="0" fontId="46" fillId="3" borderId="1" applyNumberFormat="0" applyAlignment="0" applyProtection="0"/>
    <xf numFmtId="191" fontId="46" fillId="3" borderId="1" applyNumberFormat="0" applyAlignment="0" applyProtection="0"/>
    <xf numFmtId="0" fontId="46" fillId="3" borderId="1" applyNumberFormat="0" applyAlignment="0" applyProtection="0"/>
    <xf numFmtId="0" fontId="46" fillId="3" borderId="1" applyNumberFormat="0" applyAlignment="0" applyProtection="0"/>
    <xf numFmtId="0" fontId="46" fillId="3" borderId="1" applyNumberFormat="0" applyAlignment="0" applyProtection="0"/>
    <xf numFmtId="0" fontId="46" fillId="3" borderId="1" applyNumberFormat="0" applyAlignment="0" applyProtection="0"/>
    <xf numFmtId="0" fontId="46" fillId="3" borderId="1" applyNumberFormat="0" applyAlignment="0" applyProtection="0"/>
    <xf numFmtId="0" fontId="46" fillId="3" borderId="1" applyNumberFormat="0" applyAlignment="0" applyProtection="0"/>
    <xf numFmtId="0" fontId="138" fillId="3" borderId="1" applyNumberFormat="0" applyAlignment="0" applyProtection="0"/>
    <xf numFmtId="0" fontId="99" fillId="26" borderId="1" applyNumberFormat="0" applyAlignment="0" applyProtection="0"/>
    <xf numFmtId="0" fontId="138" fillId="3" borderId="1" applyNumberFormat="0" applyAlignment="0" applyProtection="0"/>
    <xf numFmtId="0" fontId="46" fillId="3" borderId="1" applyNumberFormat="0" applyAlignment="0" applyProtection="0"/>
    <xf numFmtId="0" fontId="99" fillId="26" borderId="1" applyNumberFormat="0" applyAlignment="0" applyProtection="0"/>
    <xf numFmtId="0" fontId="138" fillId="3" borderId="1" applyNumberFormat="0" applyAlignment="0" applyProtection="0"/>
    <xf numFmtId="0" fontId="46" fillId="3" borderId="1" applyNumberFormat="0" applyAlignment="0" applyProtection="0"/>
    <xf numFmtId="0" fontId="99" fillId="26" borderId="1" applyNumberFormat="0" applyAlignment="0" applyProtection="0"/>
    <xf numFmtId="0" fontId="46" fillId="3" borderId="1" applyNumberFormat="0" applyAlignment="0" applyProtection="0"/>
    <xf numFmtId="0" fontId="99" fillId="26" borderId="1" applyNumberFormat="0" applyAlignment="0" applyProtection="0"/>
    <xf numFmtId="0" fontId="46" fillId="3" borderId="1" applyNumberFormat="0" applyAlignment="0" applyProtection="0"/>
    <xf numFmtId="0" fontId="99" fillId="26" borderId="1" applyNumberFormat="0" applyAlignment="0" applyProtection="0"/>
    <xf numFmtId="0" fontId="46" fillId="3" borderId="1" applyNumberFormat="0" applyAlignment="0" applyProtection="0"/>
    <xf numFmtId="0" fontId="99" fillId="26" borderId="1" applyNumberFormat="0" applyAlignment="0" applyProtection="0"/>
    <xf numFmtId="0" fontId="46" fillId="3" borderId="1" applyNumberFormat="0" applyAlignment="0" applyProtection="0"/>
    <xf numFmtId="0" fontId="172" fillId="0" borderId="226" applyNumberFormat="0" applyFill="0" applyAlignment="0" applyProtection="0"/>
    <xf numFmtId="0" fontId="172" fillId="0" borderId="226" applyNumberFormat="0" applyFill="0" applyAlignment="0" applyProtection="0"/>
    <xf numFmtId="0" fontId="172" fillId="0" borderId="226" applyNumberFormat="0" applyFill="0" applyAlignment="0" applyProtection="0"/>
    <xf numFmtId="0" fontId="172" fillId="0" borderId="226" applyNumberFormat="0" applyFill="0" applyAlignment="0" applyProtection="0"/>
    <xf numFmtId="0" fontId="172" fillId="0" borderId="226" applyNumberFormat="0" applyFill="0" applyAlignment="0" applyProtection="0"/>
    <xf numFmtId="0" fontId="172" fillId="0" borderId="226" applyNumberFormat="0" applyFill="0" applyAlignment="0" applyProtection="0"/>
    <xf numFmtId="0" fontId="102" fillId="0" borderId="17" applyNumberFormat="0" applyFill="0" applyAlignment="0" applyProtection="0"/>
    <xf numFmtId="0" fontId="103" fillId="0" borderId="16" applyNumberFormat="0" applyFill="0" applyAlignment="0" applyProtection="0"/>
    <xf numFmtId="0" fontId="123" fillId="0" borderId="16" applyNumberFormat="0" applyFill="0" applyAlignment="0" applyProtection="0"/>
    <xf numFmtId="0" fontId="102" fillId="0" borderId="17" applyNumberFormat="0" applyFill="0" applyAlignment="0" applyProtection="0"/>
    <xf numFmtId="0" fontId="173" fillId="0" borderId="226" applyNumberFormat="0" applyFill="0" applyAlignment="0" applyProtection="0"/>
    <xf numFmtId="0" fontId="173" fillId="0" borderId="226" applyNumberFormat="0" applyFill="0" applyAlignment="0" applyProtection="0"/>
    <xf numFmtId="191" fontId="173" fillId="0" borderId="226" applyNumberFormat="0" applyFill="0" applyAlignment="0" applyProtection="0"/>
    <xf numFmtId="0" fontId="144" fillId="0" borderId="18" applyNumberFormat="0" applyFill="0" applyAlignment="0" applyProtection="0"/>
    <xf numFmtId="0" fontId="103" fillId="0" borderId="16" applyNumberFormat="0" applyFill="0" applyAlignment="0" applyProtection="0"/>
    <xf numFmtId="0" fontId="139" fillId="0" borderId="16" applyNumberFormat="0" applyFill="0" applyAlignment="0" applyProtection="0"/>
    <xf numFmtId="0" fontId="123" fillId="0" borderId="16" applyNumberFormat="0" applyFill="0" applyAlignment="0" applyProtection="0"/>
    <xf numFmtId="0" fontId="104" fillId="0" borderId="16" applyNumberFormat="0" applyFill="0" applyAlignment="0" applyProtection="0"/>
    <xf numFmtId="0" fontId="139" fillId="0" borderId="16" applyNumberFormat="0" applyFill="0" applyAlignment="0" applyProtection="0"/>
    <xf numFmtId="0" fontId="123" fillId="0" borderId="16" applyNumberFormat="0" applyFill="0" applyAlignment="0" applyProtection="0"/>
    <xf numFmtId="191" fontId="123" fillId="0" borderId="16" applyNumberFormat="0" applyFill="0" applyAlignment="0" applyProtection="0"/>
    <xf numFmtId="0" fontId="172" fillId="0" borderId="226" applyNumberFormat="0" applyFill="0" applyAlignment="0" applyProtection="0"/>
    <xf numFmtId="0" fontId="172" fillId="0" borderId="226" applyNumberFormat="0" applyFill="0" applyAlignment="0" applyProtection="0"/>
    <xf numFmtId="0" fontId="172" fillId="0" borderId="226" applyNumberFormat="0" applyFill="0" applyAlignment="0" applyProtection="0"/>
    <xf numFmtId="188" fontId="70" fillId="0" borderId="0"/>
    <xf numFmtId="188" fontId="70" fillId="0" borderId="0"/>
    <xf numFmtId="188" fontId="7" fillId="0" borderId="0"/>
    <xf numFmtId="188" fontId="7" fillId="0" borderId="0"/>
    <xf numFmtId="189" fontId="70" fillId="0" borderId="0"/>
    <xf numFmtId="189" fontId="70" fillId="0" borderId="0"/>
    <xf numFmtId="172" fontId="7" fillId="0" borderId="0"/>
    <xf numFmtId="172" fontId="7" fillId="0" borderId="0"/>
    <xf numFmtId="188" fontId="70" fillId="0" borderId="0"/>
    <xf numFmtId="188" fontId="70" fillId="0" borderId="0"/>
    <xf numFmtId="188" fontId="7" fillId="0" borderId="0"/>
    <xf numFmtId="188" fontId="7" fillId="0" borderId="0"/>
    <xf numFmtId="188" fontId="70" fillId="0" borderId="0"/>
    <xf numFmtId="188" fontId="70" fillId="0" borderId="0"/>
    <xf numFmtId="188" fontId="7" fillId="0" borderId="0"/>
    <xf numFmtId="188" fontId="7" fillId="0" borderId="0"/>
    <xf numFmtId="188" fontId="70" fillId="0" borderId="0"/>
    <xf numFmtId="188" fontId="70" fillId="0" borderId="0"/>
    <xf numFmtId="188" fontId="7" fillId="0" borderId="0"/>
    <xf numFmtId="188" fontId="7" fillId="0" borderId="0"/>
    <xf numFmtId="188" fontId="70" fillId="0" borderId="0"/>
    <xf numFmtId="188" fontId="70" fillId="0" borderId="0"/>
    <xf numFmtId="188" fontId="7" fillId="0" borderId="0"/>
    <xf numFmtId="188" fontId="7" fillId="0" borderId="0"/>
    <xf numFmtId="0" fontId="174" fillId="111" borderId="0" applyNumberFormat="0" applyBorder="0" applyAlignment="0" applyProtection="0"/>
    <xf numFmtId="0" fontId="174" fillId="111" borderId="0" applyNumberFormat="0" applyBorder="0" applyAlignment="0" applyProtection="0"/>
    <xf numFmtId="0" fontId="174" fillId="111" borderId="0" applyNumberFormat="0" applyBorder="0" applyAlignment="0" applyProtection="0"/>
    <xf numFmtId="0" fontId="174" fillId="111" borderId="0" applyNumberFormat="0" applyBorder="0" applyAlignment="0" applyProtection="0"/>
    <xf numFmtId="0" fontId="174" fillId="111" borderId="0" applyNumberFormat="0" applyBorder="0" applyAlignment="0" applyProtection="0"/>
    <xf numFmtId="0" fontId="174" fillId="111" borderId="0" applyNumberFormat="0" applyBorder="0" applyAlignment="0" applyProtection="0"/>
    <xf numFmtId="0" fontId="105" fillId="87" borderId="0" applyNumberFormat="0" applyBorder="0" applyAlignment="0" applyProtection="0"/>
    <xf numFmtId="0" fontId="106" fillId="88" borderId="0" applyNumberFormat="0" applyBorder="0" applyAlignment="0" applyProtection="0"/>
    <xf numFmtId="0" fontId="124" fillId="30" borderId="0" applyNumberFormat="0" applyBorder="0" applyAlignment="0" applyProtection="0"/>
    <xf numFmtId="0" fontId="105" fillId="87" borderId="0" applyNumberFormat="0" applyBorder="0" applyAlignment="0" applyProtection="0"/>
    <xf numFmtId="0" fontId="175" fillId="111" borderId="0" applyNumberFormat="0" applyBorder="0" applyAlignment="0" applyProtection="0"/>
    <xf numFmtId="0" fontId="175" fillId="111" borderId="0" applyNumberFormat="0" applyBorder="0" applyAlignment="0" applyProtection="0"/>
    <xf numFmtId="191" fontId="175" fillId="111" borderId="0" applyNumberFormat="0" applyBorder="0" applyAlignment="0" applyProtection="0"/>
    <xf numFmtId="0" fontId="145" fillId="89" borderId="0" applyNumberFormat="0" applyBorder="0" applyAlignment="0" applyProtection="0"/>
    <xf numFmtId="0" fontId="106" fillId="88" borderId="0" applyNumberFormat="0" applyBorder="0" applyAlignment="0" applyProtection="0"/>
    <xf numFmtId="0" fontId="140" fillId="30" borderId="0" applyNumberFormat="0" applyBorder="0" applyAlignment="0" applyProtection="0"/>
    <xf numFmtId="0" fontId="124" fillId="30" borderId="0" applyNumberFormat="0" applyBorder="0" applyAlignment="0" applyProtection="0"/>
    <xf numFmtId="0" fontId="107" fillId="88" borderId="0" applyNumberFormat="0" applyBorder="0" applyAlignment="0" applyProtection="0"/>
    <xf numFmtId="0" fontId="140" fillId="30" borderId="0" applyNumberFormat="0" applyBorder="0" applyAlignment="0" applyProtection="0"/>
    <xf numFmtId="0" fontId="124" fillId="30" borderId="0" applyNumberFormat="0" applyBorder="0" applyAlignment="0" applyProtection="0"/>
    <xf numFmtId="191" fontId="124" fillId="30" borderId="0" applyNumberFormat="0" applyBorder="0" applyAlignment="0" applyProtection="0"/>
    <xf numFmtId="0" fontId="174" fillId="111" borderId="0" applyNumberFormat="0" applyBorder="0" applyAlignment="0" applyProtection="0"/>
    <xf numFmtId="0" fontId="174" fillId="111" borderId="0" applyNumberFormat="0" applyBorder="0" applyAlignment="0" applyProtection="0"/>
    <xf numFmtId="0" fontId="174" fillId="111" borderId="0" applyNumberFormat="0" applyBorder="0" applyAlignment="0" applyProtection="0"/>
    <xf numFmtId="190" fontId="70" fillId="0" borderId="0"/>
    <xf numFmtId="190" fontId="70" fillId="0" borderId="0"/>
    <xf numFmtId="192" fontId="7" fillId="0" borderId="0"/>
    <xf numFmtId="192" fontId="7" fillId="0" borderId="0"/>
    <xf numFmtId="0" fontId="70" fillId="0" borderId="0"/>
    <xf numFmtId="0" fontId="7" fillId="0" borderId="0"/>
    <xf numFmtId="0" fontId="152" fillId="0" borderId="0"/>
    <xf numFmtId="0" fontId="152" fillId="0" borderId="0"/>
    <xf numFmtId="0" fontId="71"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191" fontId="7"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7" fillId="0" borderId="0"/>
    <xf numFmtId="0" fontId="152" fillId="0" borderId="0"/>
    <xf numFmtId="0" fontId="7" fillId="0" borderId="0"/>
    <xf numFmtId="0" fontId="7" fillId="0" borderId="0"/>
    <xf numFmtId="0" fontId="7" fillId="0" borderId="0"/>
    <xf numFmtId="0" fontId="152" fillId="0" borderId="0"/>
    <xf numFmtId="0" fontId="2" fillId="0" borderId="0"/>
    <xf numFmtId="0" fontId="70" fillId="0" borderId="0"/>
    <xf numFmtId="0" fontId="71" fillId="0" borderId="0"/>
    <xf numFmtId="0" fontId="152" fillId="0" borderId="0"/>
    <xf numFmtId="0" fontId="7" fillId="0" borderId="0"/>
    <xf numFmtId="0" fontId="70" fillId="0" borderId="0"/>
    <xf numFmtId="0" fontId="152" fillId="0" borderId="0"/>
    <xf numFmtId="0" fontId="7" fillId="0" borderId="0"/>
    <xf numFmtId="0" fontId="7" fillId="0" borderId="0"/>
    <xf numFmtId="0" fontId="152" fillId="0" borderId="0"/>
    <xf numFmtId="0" fontId="71" fillId="0" borderId="0"/>
    <xf numFmtId="0" fontId="7" fillId="0" borderId="0"/>
    <xf numFmtId="191" fontId="7" fillId="0" borderId="0"/>
    <xf numFmtId="0" fontId="70" fillId="0" borderId="0"/>
    <xf numFmtId="0" fontId="2" fillId="0" borderId="0"/>
    <xf numFmtId="0" fontId="152" fillId="0" borderId="0"/>
    <xf numFmtId="0" fontId="152" fillId="0" borderId="0"/>
    <xf numFmtId="0" fontId="2" fillId="0" borderId="0"/>
    <xf numFmtId="0" fontId="2" fillId="0" borderId="0"/>
    <xf numFmtId="0" fontId="152" fillId="0" borderId="0"/>
    <xf numFmtId="0" fontId="15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153" fillId="0" borderId="0"/>
    <xf numFmtId="0" fontId="152" fillId="0" borderId="0"/>
    <xf numFmtId="0" fontId="71" fillId="0" borderId="0"/>
    <xf numFmtId="0" fontId="108" fillId="0" borderId="0"/>
    <xf numFmtId="0" fontId="176" fillId="0" borderId="0"/>
    <xf numFmtId="0" fontId="70" fillId="0" borderId="0"/>
    <xf numFmtId="0" fontId="7" fillId="0" borderId="0"/>
    <xf numFmtId="0" fontId="71"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71"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71" fillId="0" borderId="0"/>
    <xf numFmtId="0" fontId="152" fillId="0" borderId="0"/>
    <xf numFmtId="0" fontId="152" fillId="0" borderId="0"/>
    <xf numFmtId="0" fontId="152" fillId="0" borderId="0"/>
    <xf numFmtId="0" fontId="152" fillId="0" borderId="0"/>
    <xf numFmtId="0" fontId="152" fillId="0" borderId="0"/>
    <xf numFmtId="0" fontId="71" fillId="0" borderId="0"/>
    <xf numFmtId="0" fontId="152" fillId="0" borderId="0"/>
    <xf numFmtId="0" fontId="152" fillId="0" borderId="0"/>
    <xf numFmtId="0" fontId="152" fillId="0" borderId="0"/>
    <xf numFmtId="191" fontId="152" fillId="0" borderId="0"/>
    <xf numFmtId="0" fontId="7" fillId="0" borderId="0"/>
    <xf numFmtId="0" fontId="15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3" fillId="0" borderId="0"/>
    <xf numFmtId="0" fontId="152" fillId="0" borderId="0"/>
    <xf numFmtId="0" fontId="71" fillId="0" borderId="0"/>
    <xf numFmtId="0" fontId="70" fillId="0" borderId="0"/>
    <xf numFmtId="0" fontId="7" fillId="0" borderId="0"/>
    <xf numFmtId="0" fontId="71" fillId="0" borderId="0"/>
    <xf numFmtId="0" fontId="71"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71"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71"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71"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71" fillId="0" borderId="0"/>
    <xf numFmtId="0" fontId="152" fillId="0" borderId="0"/>
    <xf numFmtId="0" fontId="152" fillId="0" borderId="0"/>
    <xf numFmtId="0" fontId="152" fillId="0" borderId="0"/>
    <xf numFmtId="0" fontId="152" fillId="0" borderId="0"/>
    <xf numFmtId="0" fontId="152" fillId="0" borderId="0"/>
    <xf numFmtId="0" fontId="71" fillId="0" borderId="0"/>
    <xf numFmtId="0" fontId="152" fillId="0" borderId="0"/>
    <xf numFmtId="0" fontId="152" fillId="0" borderId="0"/>
    <xf numFmtId="0" fontId="152" fillId="0" borderId="0"/>
    <xf numFmtId="191" fontId="15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3" fillId="0" borderId="0"/>
    <xf numFmtId="0" fontId="71" fillId="0" borderId="0"/>
    <xf numFmtId="0" fontId="7" fillId="0" borderId="0"/>
    <xf numFmtId="0" fontId="152" fillId="0" borderId="0"/>
    <xf numFmtId="0" fontId="71" fillId="0" borderId="0"/>
    <xf numFmtId="0" fontId="71" fillId="0" borderId="0"/>
    <xf numFmtId="0" fontId="152" fillId="0" borderId="0"/>
    <xf numFmtId="0" fontId="71" fillId="0" borderId="0"/>
    <xf numFmtId="0" fontId="152" fillId="0" borderId="0"/>
    <xf numFmtId="0" fontId="71" fillId="0" borderId="0"/>
    <xf numFmtId="0" fontId="152" fillId="0" borderId="0"/>
    <xf numFmtId="0" fontId="70" fillId="0" borderId="0"/>
    <xf numFmtId="0" fontId="7" fillId="0" borderId="0"/>
    <xf numFmtId="0" fontId="152" fillId="0" borderId="0"/>
    <xf numFmtId="191" fontId="152" fillId="0" borderId="0"/>
    <xf numFmtId="0" fontId="15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1" fillId="0" borderId="0"/>
    <xf numFmtId="0" fontId="71" fillId="0" borderId="0"/>
    <xf numFmtId="0" fontId="152" fillId="0" borderId="0"/>
    <xf numFmtId="0" fontId="70" fillId="0" borderId="0"/>
    <xf numFmtId="0" fontId="7" fillId="0" borderId="0"/>
    <xf numFmtId="191" fontId="152" fillId="0" borderId="0"/>
    <xf numFmtId="0" fontId="15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52" fillId="0" borderId="0"/>
    <xf numFmtId="0" fontId="152" fillId="0" borderId="0"/>
    <xf numFmtId="0" fontId="7" fillId="0" borderId="0"/>
    <xf numFmtId="0" fontId="7" fillId="0" borderId="0"/>
    <xf numFmtId="0" fontId="152" fillId="0" borderId="0"/>
    <xf numFmtId="0" fontId="152" fillId="0" borderId="0"/>
    <xf numFmtId="0" fontId="70" fillId="0" borderId="0"/>
    <xf numFmtId="0" fontId="152" fillId="0" borderId="0"/>
    <xf numFmtId="0" fontId="146" fillId="0" borderId="0"/>
    <xf numFmtId="0" fontId="7" fillId="0" borderId="0"/>
    <xf numFmtId="0" fontId="7" fillId="0" borderId="0"/>
    <xf numFmtId="0" fontId="35" fillId="0" borderId="0"/>
    <xf numFmtId="0" fontId="35" fillId="0" borderId="0"/>
    <xf numFmtId="0" fontId="35" fillId="0" borderId="0"/>
    <xf numFmtId="0" fontId="7" fillId="0" borderId="0"/>
    <xf numFmtId="0" fontId="70" fillId="0" borderId="0"/>
    <xf numFmtId="0" fontId="152" fillId="0" borderId="0"/>
    <xf numFmtId="0" fontId="7" fillId="0" borderId="0"/>
    <xf numFmtId="0" fontId="152" fillId="0" borderId="0"/>
    <xf numFmtId="0" fontId="152" fillId="0" borderId="0"/>
    <xf numFmtId="0" fontId="71" fillId="0" borderId="0"/>
    <xf numFmtId="0" fontId="71" fillId="0" borderId="0"/>
    <xf numFmtId="0" fontId="152" fillId="0" borderId="0"/>
    <xf numFmtId="0" fontId="152" fillId="0" borderId="0"/>
    <xf numFmtId="0" fontId="152" fillId="0" borderId="0"/>
    <xf numFmtId="0" fontId="4" fillId="0" borderId="0"/>
    <xf numFmtId="0" fontId="35" fillId="112" borderId="227" applyNumberFormat="0" applyFont="0" applyAlignment="0" applyProtection="0"/>
    <xf numFmtId="0" fontId="52" fillId="112" borderId="227" applyNumberFormat="0" applyFont="0" applyAlignment="0" applyProtection="0"/>
    <xf numFmtId="0" fontId="35" fillId="112" borderId="227" applyNumberFormat="0" applyFont="0" applyAlignment="0" applyProtection="0"/>
    <xf numFmtId="0" fontId="52" fillId="112" borderId="227" applyNumberFormat="0" applyFont="0" applyAlignment="0" applyProtection="0"/>
    <xf numFmtId="0" fontId="35" fillId="112" borderId="227" applyNumberFormat="0" applyFont="0" applyAlignment="0" applyProtection="0"/>
    <xf numFmtId="0" fontId="52" fillId="112" borderId="227" applyNumberFormat="0" applyFont="0" applyAlignment="0" applyProtection="0"/>
    <xf numFmtId="0" fontId="35" fillId="112" borderId="227" applyNumberFormat="0" applyFont="0" applyAlignment="0" applyProtection="0"/>
    <xf numFmtId="0" fontId="52" fillId="112" borderId="227" applyNumberFormat="0" applyFont="0" applyAlignment="0" applyProtection="0"/>
    <xf numFmtId="0" fontId="35" fillId="112" borderId="227" applyNumberFormat="0" applyFont="0" applyAlignment="0" applyProtection="0"/>
    <xf numFmtId="0" fontId="52" fillId="112" borderId="227" applyNumberFormat="0" applyFont="0" applyAlignment="0" applyProtection="0"/>
    <xf numFmtId="0" fontId="35" fillId="112" borderId="227" applyNumberFormat="0" applyFont="0" applyAlignment="0" applyProtection="0"/>
    <xf numFmtId="0" fontId="52" fillId="112" borderId="227" applyNumberFormat="0" applyFont="0" applyAlignment="0" applyProtection="0"/>
    <xf numFmtId="0" fontId="83" fillId="85" borderId="20" applyNumberFormat="0" applyAlignment="0" applyProtection="0"/>
    <xf numFmtId="0" fontId="51" fillId="112" borderId="227" applyNumberFormat="0" applyFont="0" applyAlignment="0" applyProtection="0"/>
    <xf numFmtId="0" fontId="37" fillId="85" borderId="21" applyNumberFormat="0" applyAlignment="0" applyProtection="0"/>
    <xf numFmtId="0" fontId="37" fillId="85" borderId="19" applyNumberFormat="0" applyAlignment="0" applyProtection="0"/>
    <xf numFmtId="0" fontId="7" fillId="12" borderId="19" applyNumberFormat="0" applyFont="0" applyAlignment="0" applyProtection="0"/>
    <xf numFmtId="0" fontId="37" fillId="85" borderId="20" applyNumberFormat="0" applyAlignment="0" applyProtection="0"/>
    <xf numFmtId="0" fontId="51" fillId="112" borderId="227" applyNumberFormat="0" applyFont="0" applyAlignment="0" applyProtection="0"/>
    <xf numFmtId="0" fontId="51" fillId="112" borderId="227" applyNumberFormat="0" applyFont="0" applyAlignment="0" applyProtection="0"/>
    <xf numFmtId="0" fontId="51" fillId="112" borderId="227" applyNumberFormat="0" applyFont="0" applyAlignment="0" applyProtection="0"/>
    <xf numFmtId="0" fontId="51" fillId="112" borderId="227" applyNumberFormat="0" applyFont="0" applyAlignment="0" applyProtection="0"/>
    <xf numFmtId="0" fontId="51" fillId="112" borderId="227" applyNumberFormat="0" applyFont="0" applyAlignment="0" applyProtection="0"/>
    <xf numFmtId="0" fontId="51" fillId="112" borderId="227" applyNumberFormat="0" applyFont="0" applyAlignment="0" applyProtection="0"/>
    <xf numFmtId="0" fontId="51" fillId="112" borderId="227" applyNumberFormat="0" applyFont="0" applyAlignment="0" applyProtection="0"/>
    <xf numFmtId="0" fontId="51" fillId="112" borderId="227" applyNumberFormat="0" applyFont="0" applyAlignment="0" applyProtection="0"/>
    <xf numFmtId="0" fontId="51" fillId="112" borderId="227" applyNumberFormat="0" applyFont="0" applyAlignment="0" applyProtection="0"/>
    <xf numFmtId="0" fontId="51" fillId="112" borderId="227" applyNumberFormat="0" applyFont="0" applyAlignment="0" applyProtection="0"/>
    <xf numFmtId="0" fontId="51" fillId="112" borderId="227" applyNumberFormat="0" applyFont="0" applyAlignment="0" applyProtection="0"/>
    <xf numFmtId="0" fontId="37" fillId="85" borderId="20" applyNumberFormat="0" applyAlignment="0" applyProtection="0"/>
    <xf numFmtId="0" fontId="51" fillId="112" borderId="227" applyNumberFormat="0" applyFont="0" applyAlignment="0" applyProtection="0"/>
    <xf numFmtId="0" fontId="51" fillId="112" borderId="227" applyNumberFormat="0" applyFont="0" applyAlignment="0" applyProtection="0"/>
    <xf numFmtId="0" fontId="51" fillId="112" borderId="227" applyNumberFormat="0" applyFont="0" applyAlignment="0" applyProtection="0"/>
    <xf numFmtId="0" fontId="51" fillId="112" borderId="227" applyNumberFormat="0" applyFont="0" applyAlignment="0" applyProtection="0"/>
    <xf numFmtId="0" fontId="51" fillId="112" borderId="227" applyNumberFormat="0" applyFont="0" applyAlignment="0" applyProtection="0"/>
    <xf numFmtId="0" fontId="51" fillId="112" borderId="227" applyNumberFormat="0" applyFont="0" applyAlignment="0" applyProtection="0"/>
    <xf numFmtId="0" fontId="51" fillId="112" borderId="227" applyNumberFormat="0" applyFont="0" applyAlignment="0" applyProtection="0"/>
    <xf numFmtId="0" fontId="51" fillId="112" borderId="227" applyNumberFormat="0" applyFont="0" applyAlignment="0" applyProtection="0"/>
    <xf numFmtId="0" fontId="37" fillId="85" borderId="20" applyNumberFormat="0" applyAlignment="0" applyProtection="0"/>
    <xf numFmtId="0" fontId="51" fillId="112" borderId="227" applyNumberFormat="0" applyFont="0" applyAlignment="0" applyProtection="0"/>
    <xf numFmtId="0" fontId="51" fillId="112" borderId="227" applyNumberFormat="0" applyFont="0" applyAlignment="0" applyProtection="0"/>
    <xf numFmtId="0" fontId="51" fillId="112" borderId="227" applyNumberFormat="0" applyFont="0" applyAlignment="0" applyProtection="0"/>
    <xf numFmtId="0" fontId="51" fillId="112" borderId="227" applyNumberFormat="0" applyFont="0" applyAlignment="0" applyProtection="0"/>
    <xf numFmtId="0" fontId="51" fillId="112" borderId="227" applyNumberFormat="0" applyFont="0" applyAlignment="0" applyProtection="0"/>
    <xf numFmtId="0" fontId="37" fillId="85" borderId="20" applyNumberFormat="0" applyAlignment="0" applyProtection="0"/>
    <xf numFmtId="0" fontId="51" fillId="112" borderId="227" applyNumberFormat="0" applyFont="0" applyAlignment="0" applyProtection="0"/>
    <xf numFmtId="0" fontId="51" fillId="112" borderId="227" applyNumberFormat="0" applyFont="0" applyAlignment="0" applyProtection="0"/>
    <xf numFmtId="0" fontId="51" fillId="112" borderId="227" applyNumberFormat="0" applyFont="0" applyAlignment="0" applyProtection="0"/>
    <xf numFmtId="191" fontId="51" fillId="112" borderId="227" applyNumberFormat="0" applyFont="0" applyAlignment="0" applyProtection="0"/>
    <xf numFmtId="0" fontId="35" fillId="112" borderId="227" applyNumberFormat="0" applyFont="0" applyAlignment="0" applyProtection="0"/>
    <xf numFmtId="0" fontId="37" fillId="85" borderId="19" applyNumberFormat="0" applyAlignment="0" applyProtection="0"/>
    <xf numFmtId="0" fontId="52" fillId="112" borderId="227" applyNumberFormat="0" applyFont="0" applyAlignment="0" applyProtection="0"/>
    <xf numFmtId="0" fontId="8" fillId="12" borderId="19" applyNumberFormat="0" applyFont="0" applyAlignment="0" applyProtection="0"/>
    <xf numFmtId="0" fontId="7" fillId="12" borderId="19" applyNumberFormat="0" applyFont="0" applyAlignment="0" applyProtection="0"/>
    <xf numFmtId="0" fontId="7" fillId="12" borderId="19" applyNumberFormat="0" applyFont="0" applyAlignment="0" applyProtection="0"/>
    <xf numFmtId="0" fontId="52" fillId="112" borderId="227" applyNumberFormat="0" applyFont="0" applyAlignment="0" applyProtection="0"/>
    <xf numFmtId="191" fontId="7" fillId="12" borderId="19" applyNumberFormat="0" applyFont="0" applyAlignment="0" applyProtection="0"/>
    <xf numFmtId="0" fontId="52" fillId="112" borderId="227" applyNumberFormat="0" applyFont="0" applyAlignment="0" applyProtection="0"/>
    <xf numFmtId="0" fontId="35" fillId="112" borderId="227" applyNumberFormat="0" applyFont="0" applyAlignment="0" applyProtection="0"/>
    <xf numFmtId="0" fontId="52" fillId="112" borderId="227" applyNumberFormat="0" applyFont="0" applyAlignment="0" applyProtection="0"/>
    <xf numFmtId="0" fontId="35" fillId="112" borderId="227" applyNumberFormat="0" applyFont="0" applyAlignment="0" applyProtection="0"/>
    <xf numFmtId="0" fontId="52" fillId="112" borderId="227" applyNumberFormat="0" applyFont="0" applyAlignment="0" applyProtection="0"/>
    <xf numFmtId="0" fontId="35" fillId="112" borderId="227" applyNumberFormat="0" applyFont="0" applyAlignment="0" applyProtection="0"/>
    <xf numFmtId="0" fontId="52" fillId="112" borderId="227" applyNumberFormat="0" applyFont="0" applyAlignment="0" applyProtection="0"/>
    <xf numFmtId="0" fontId="35" fillId="112" borderId="227" applyNumberFormat="0" applyFont="0" applyAlignment="0" applyProtection="0"/>
    <xf numFmtId="0" fontId="52" fillId="112" borderId="227" applyNumberFormat="0" applyFont="0" applyAlignment="0" applyProtection="0"/>
    <xf numFmtId="0" fontId="178" fillId="3" borderId="228" applyNumberFormat="0" applyAlignment="0" applyProtection="0"/>
    <xf numFmtId="0" fontId="178" fillId="3" borderId="228" applyNumberFormat="0" applyAlignment="0" applyProtection="0"/>
    <xf numFmtId="0" fontId="178" fillId="3" borderId="228" applyNumberFormat="0" applyAlignment="0" applyProtection="0"/>
    <xf numFmtId="0" fontId="178" fillId="3" borderId="228" applyNumberFormat="0" applyAlignment="0" applyProtection="0"/>
    <xf numFmtId="0" fontId="178" fillId="3" borderId="228" applyNumberFormat="0" applyAlignment="0" applyProtection="0"/>
    <xf numFmtId="0" fontId="178" fillId="3" borderId="228" applyNumberFormat="0" applyAlignment="0" applyProtection="0"/>
    <xf numFmtId="0" fontId="109" fillId="73" borderId="22" applyNumberFormat="0" applyAlignment="0" applyProtection="0"/>
    <xf numFmtId="0" fontId="109" fillId="74" borderId="22" applyNumberFormat="0" applyAlignment="0" applyProtection="0"/>
    <xf numFmtId="0" fontId="47" fillId="27" borderId="22" applyNumberFormat="0" applyAlignment="0" applyProtection="0"/>
    <xf numFmtId="0" fontId="109" fillId="73" borderId="22" applyNumberFormat="0" applyAlignment="0" applyProtection="0"/>
    <xf numFmtId="0" fontId="177" fillId="3" borderId="228" applyNumberFormat="0" applyAlignment="0" applyProtection="0"/>
    <xf numFmtId="0" fontId="177" fillId="3" borderId="228" applyNumberFormat="0" applyAlignment="0" applyProtection="0"/>
    <xf numFmtId="191" fontId="177" fillId="3" borderId="228" applyNumberFormat="0" applyAlignment="0" applyProtection="0"/>
    <xf numFmtId="0" fontId="109" fillId="75" borderId="22" applyNumberFormat="0" applyAlignment="0" applyProtection="0"/>
    <xf numFmtId="0" fontId="109" fillId="74" borderId="22" applyNumberFormat="0" applyAlignment="0" applyProtection="0"/>
    <xf numFmtId="0" fontId="50" fillId="27" borderId="22" applyNumberFormat="0" applyAlignment="0" applyProtection="0"/>
    <xf numFmtId="0" fontId="47" fillId="27" borderId="22" applyNumberFormat="0" applyAlignment="0" applyProtection="0"/>
    <xf numFmtId="0" fontId="110" fillId="74" borderId="22" applyNumberFormat="0" applyAlignment="0" applyProtection="0"/>
    <xf numFmtId="0" fontId="50" fillId="27" borderId="22" applyNumberFormat="0" applyAlignment="0" applyProtection="0"/>
    <xf numFmtId="0" fontId="47" fillId="27" borderId="22" applyNumberFormat="0" applyAlignment="0" applyProtection="0"/>
    <xf numFmtId="191" fontId="47" fillId="27" borderId="22" applyNumberFormat="0" applyAlignment="0" applyProtection="0"/>
    <xf numFmtId="0" fontId="178" fillId="3" borderId="228" applyNumberFormat="0" applyAlignment="0" applyProtection="0"/>
    <xf numFmtId="0" fontId="178" fillId="3" borderId="228" applyNumberFormat="0" applyAlignment="0" applyProtection="0"/>
    <xf numFmtId="0" fontId="178" fillId="3" borderId="228" applyNumberFormat="0" applyAlignment="0" applyProtection="0"/>
    <xf numFmtId="9" fontId="24" fillId="0" borderId="0" applyFont="0" applyFill="0" applyBorder="0" applyAlignment="0" applyProtection="0"/>
    <xf numFmtId="10" fontId="83" fillId="0" borderId="0" applyFill="0" applyBorder="0" applyAlignment="0" applyProtection="0"/>
    <xf numFmtId="10" fontId="37" fillId="0" borderId="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37" fillId="0" borderId="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37" fillId="0" borderId="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127" fillId="0" borderId="0" applyFont="0" applyFill="0" applyBorder="0" applyAlignment="0" applyProtection="0"/>
    <xf numFmtId="9" fontId="83" fillId="0" borderId="0" applyFill="0" applyBorder="0" applyAlignment="0" applyProtection="0"/>
    <xf numFmtId="9" fontId="83" fillId="0" borderId="0" applyFill="0" applyBorder="0" applyAlignment="0" applyProtection="0"/>
    <xf numFmtId="9" fontId="83"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37" fillId="0" borderId="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83" fillId="0" borderId="0" applyFill="0" applyBorder="0" applyAlignment="0" applyProtection="0"/>
    <xf numFmtId="9" fontId="37" fillId="0" borderId="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37" fillId="0" borderId="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37" fillId="0" borderId="0" applyFill="0" applyBorder="0" applyAlignment="0" applyProtection="0"/>
    <xf numFmtId="9" fontId="51"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83" fillId="0" borderId="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7"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3" fillId="0" borderId="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51" fillId="0" borderId="0" applyFont="0" applyFill="0" applyBorder="0" applyAlignment="0" applyProtection="0"/>
    <xf numFmtId="9" fontId="37" fillId="0" borderId="0" applyFill="0" applyBorder="0" applyAlignment="0" applyProtection="0"/>
    <xf numFmtId="9" fontId="51"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0" fontId="37" fillId="0" borderId="0" applyNumberFormat="0" applyFill="0" applyBorder="0" applyAlignment="0" applyProtection="0"/>
    <xf numFmtId="0" fontId="127" fillId="0" borderId="0" applyNumberFormat="0" applyFont="0" applyFill="0" applyBorder="0" applyAlignment="0" applyProtection="0">
      <alignment horizontal="left"/>
    </xf>
    <xf numFmtId="0" fontId="179" fillId="0" borderId="0" applyNumberFormat="0" applyBorder="0" applyAlignment="0"/>
    <xf numFmtId="0" fontId="180" fillId="0" borderId="0" applyNumberFormat="0" applyBorder="0" applyAlignment="0"/>
    <xf numFmtId="0" fontId="181" fillId="0" borderId="0" applyNumberFormat="0" applyBorder="0" applyAlignment="0"/>
    <xf numFmtId="0" fontId="111" fillId="0" borderId="0" applyNumberFormat="0" applyFill="0" applyBorder="0" applyAlignment="0" applyProtection="0"/>
    <xf numFmtId="0" fontId="112" fillId="0" borderId="0" applyNumberFormat="0" applyFill="0" applyBorder="0" applyAlignment="0" applyProtection="0"/>
    <xf numFmtId="0" fontId="125" fillId="0" borderId="0" applyNumberFormat="0" applyFill="0" applyBorder="0" applyAlignment="0" applyProtection="0"/>
    <xf numFmtId="0" fontId="111"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91" fontId="53" fillId="0" borderId="0" applyNumberFormat="0" applyFill="0" applyBorder="0" applyAlignment="0" applyProtection="0"/>
    <xf numFmtId="0" fontId="112"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91" fontId="125" fillId="0" borderId="0" applyNumberFormat="0" applyFill="0" applyBorder="0" applyAlignment="0" applyProtection="0"/>
    <xf numFmtId="0" fontId="183" fillId="0" borderId="23" applyNumberFormat="0" applyFill="0" applyAlignment="0" applyProtection="0"/>
    <xf numFmtId="0" fontId="183" fillId="0" borderId="23" applyNumberFormat="0" applyFill="0" applyAlignment="0" applyProtection="0"/>
    <xf numFmtId="0" fontId="183" fillId="0" borderId="23" applyNumberFormat="0" applyFill="0" applyAlignment="0" applyProtection="0"/>
    <xf numFmtId="0" fontId="183" fillId="0" borderId="23" applyNumberFormat="0" applyFill="0" applyAlignment="0" applyProtection="0"/>
    <xf numFmtId="0" fontId="183" fillId="0" borderId="23" applyNumberFormat="0" applyFill="0" applyAlignment="0" applyProtection="0"/>
    <xf numFmtId="0" fontId="183" fillId="0" borderId="23" applyNumberFormat="0" applyFill="0" applyAlignment="0" applyProtection="0"/>
    <xf numFmtId="0" fontId="113" fillId="0" borderId="24" applyNumberFormat="0" applyFill="0" applyAlignment="0" applyProtection="0"/>
    <xf numFmtId="0" fontId="37" fillId="0" borderId="0" applyNumberFormat="0" applyBorder="0" applyAlignment="0" applyProtection="0"/>
    <xf numFmtId="0" fontId="7" fillId="0" borderId="25" applyNumberFormat="0" applyFont="0" applyBorder="0" applyAlignment="0" applyProtection="0"/>
    <xf numFmtId="0" fontId="113" fillId="0" borderId="24" applyNumberFormat="0" applyFill="0" applyAlignment="0" applyProtection="0"/>
    <xf numFmtId="0" fontId="182" fillId="0" borderId="23" applyNumberFormat="0" applyFill="0" applyAlignment="0" applyProtection="0"/>
    <xf numFmtId="0" fontId="113" fillId="0" borderId="26" applyNumberFormat="0" applyFill="0" applyAlignment="0" applyProtection="0"/>
    <xf numFmtId="0" fontId="48" fillId="0" borderId="26" applyNumberFormat="0" applyFill="0" applyAlignment="0" applyProtection="0"/>
    <xf numFmtId="0" fontId="182" fillId="0" borderId="23" applyNumberFormat="0" applyFill="0" applyAlignment="0" applyProtection="0"/>
    <xf numFmtId="191" fontId="182" fillId="0" borderId="23" applyNumberFormat="0" applyFill="0" applyAlignment="0" applyProtection="0"/>
    <xf numFmtId="0" fontId="37" fillId="0" borderId="0" applyNumberFormat="0" applyBorder="0" applyAlignment="0" applyProtection="0"/>
    <xf numFmtId="0" fontId="7" fillId="0" borderId="25" applyNumberFormat="0" applyFont="0" applyBorder="0" applyAlignment="0" applyProtection="0"/>
    <xf numFmtId="0" fontId="113" fillId="0" borderId="26" applyNumberFormat="0" applyFill="0" applyAlignment="0" applyProtection="0"/>
    <xf numFmtId="0" fontId="36" fillId="0" borderId="26" applyNumberFormat="0" applyFill="0" applyAlignment="0" applyProtection="0"/>
    <xf numFmtId="0" fontId="48" fillId="0" borderId="26" applyNumberFormat="0" applyFill="0" applyAlignment="0" applyProtection="0"/>
    <xf numFmtId="0" fontId="7" fillId="0" borderId="25" applyNumberFormat="0" applyFont="0" applyBorder="0" applyAlignment="0" applyProtection="0"/>
    <xf numFmtId="0" fontId="48" fillId="0" borderId="26" applyNumberFormat="0" applyFill="0" applyAlignment="0" applyProtection="0"/>
    <xf numFmtId="191" fontId="48" fillId="0" borderId="26" applyNumberFormat="0" applyFill="0" applyAlignment="0" applyProtection="0"/>
    <xf numFmtId="0" fontId="183" fillId="0" borderId="23" applyNumberFormat="0" applyFill="0" applyAlignment="0" applyProtection="0"/>
    <xf numFmtId="0" fontId="183" fillId="0" borderId="23"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31" fillId="0" borderId="0" applyNumberFormat="0" applyFill="0" applyBorder="0" applyAlignment="0" applyProtection="0"/>
    <xf numFmtId="0" fontId="114"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191" fontId="184" fillId="0" borderId="0" applyNumberFormat="0" applyFill="0" applyBorder="0" applyAlignment="0" applyProtection="0"/>
    <xf numFmtId="0" fontId="114" fillId="0" borderId="0" applyNumberFormat="0" applyFill="0" applyBorder="0" applyAlignment="0" applyProtection="0"/>
    <xf numFmtId="0" fontId="49" fillId="0" borderId="0" applyNumberFormat="0" applyFill="0" applyBorder="0" applyAlignment="0" applyProtection="0"/>
    <xf numFmtId="0" fontId="31" fillId="0" borderId="0" applyNumberFormat="0" applyFill="0" applyBorder="0" applyAlignment="0" applyProtection="0"/>
    <xf numFmtId="0" fontId="115" fillId="0" borderId="0" applyNumberFormat="0" applyFill="0" applyBorder="0" applyAlignment="0" applyProtection="0"/>
    <xf numFmtId="0" fontId="49" fillId="0" borderId="0" applyNumberFormat="0" applyFill="0" applyBorder="0" applyAlignment="0" applyProtection="0"/>
    <xf numFmtId="0" fontId="31" fillId="0" borderId="0" applyNumberFormat="0" applyFill="0" applyBorder="0" applyAlignment="0" applyProtection="0"/>
    <xf numFmtId="191" fontId="31"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cellStyleXfs>
  <cellXfs count="866">
    <xf numFmtId="0" fontId="0" fillId="0" borderId="0" xfId="0"/>
    <xf numFmtId="1" fontId="3" fillId="0" borderId="27" xfId="1740" applyNumberFormat="1" applyFont="1" applyFill="1" applyBorder="1" applyAlignment="1" applyProtection="1">
      <alignment horizontal="right"/>
      <protection locked="0"/>
    </xf>
    <xf numFmtId="0" fontId="7" fillId="0" borderId="0" xfId="0" applyFont="1" applyFill="1" applyProtection="1">
      <protection locked="0"/>
    </xf>
    <xf numFmtId="1" fontId="3" fillId="0" borderId="0" xfId="1740" applyNumberFormat="1" applyFont="1" applyFill="1" applyBorder="1" applyProtection="1">
      <protection locked="0"/>
    </xf>
    <xf numFmtId="1" fontId="3" fillId="0" borderId="0" xfId="0" applyNumberFormat="1" applyFont="1" applyFill="1" applyBorder="1" applyProtection="1">
      <protection locked="0"/>
    </xf>
    <xf numFmtId="1" fontId="3" fillId="0" borderId="0" xfId="0" applyNumberFormat="1" applyFont="1" applyFill="1" applyProtection="1">
      <protection locked="0"/>
    </xf>
    <xf numFmtId="1" fontId="5" fillId="0" borderId="0" xfId="1740" applyNumberFormat="1" applyFont="1" applyFill="1" applyBorder="1" applyProtection="1">
      <protection locked="0"/>
    </xf>
    <xf numFmtId="1" fontId="3" fillId="0" borderId="0" xfId="1046" applyNumberFormat="1" applyFont="1" applyFill="1" applyProtection="1">
      <protection locked="0"/>
    </xf>
    <xf numFmtId="0" fontId="7" fillId="90" borderId="28" xfId="0" applyFont="1" applyFill="1" applyBorder="1" applyProtection="1">
      <protection locked="0"/>
    </xf>
    <xf numFmtId="0" fontId="7" fillId="90" borderId="29" xfId="0" applyFont="1" applyFill="1" applyBorder="1" applyProtection="1">
      <protection locked="0"/>
    </xf>
    <xf numFmtId="0" fontId="14" fillId="0" borderId="0" xfId="0" applyFont="1" applyFill="1" applyProtection="1">
      <protection locked="0"/>
    </xf>
    <xf numFmtId="0" fontId="9" fillId="0" borderId="0" xfId="0" applyFont="1" applyFill="1" applyProtection="1">
      <protection locked="0"/>
    </xf>
    <xf numFmtId="0" fontId="7" fillId="0" borderId="0" xfId="0" applyFont="1"/>
    <xf numFmtId="0" fontId="19" fillId="91" borderId="30" xfId="0" applyFont="1" applyFill="1" applyBorder="1"/>
    <xf numFmtId="0" fontId="19" fillId="91" borderId="31" xfId="0" applyFont="1" applyFill="1" applyBorder="1"/>
    <xf numFmtId="0" fontId="19" fillId="91" borderId="32" xfId="0" applyFont="1" applyFill="1" applyBorder="1" applyAlignment="1">
      <alignment horizontal="right"/>
    </xf>
    <xf numFmtId="0" fontId="7" fillId="83" borderId="33" xfId="0" applyFont="1" applyFill="1" applyBorder="1"/>
    <xf numFmtId="0" fontId="7" fillId="83" borderId="34" xfId="0" applyFont="1" applyFill="1" applyBorder="1" applyAlignment="1">
      <alignment horizontal="right"/>
    </xf>
    <xf numFmtId="165" fontId="7" fillId="0" borderId="35" xfId="0" applyNumberFormat="1" applyFont="1" applyBorder="1"/>
    <xf numFmtId="165" fontId="7" fillId="0" borderId="36" xfId="0" applyNumberFormat="1" applyFont="1" applyBorder="1"/>
    <xf numFmtId="165" fontId="7" fillId="0" borderId="37" xfId="0" applyNumberFormat="1" applyFont="1" applyBorder="1"/>
    <xf numFmtId="165" fontId="7" fillId="0" borderId="38" xfId="0" applyNumberFormat="1" applyFont="1" applyBorder="1"/>
    <xf numFmtId="0" fontId="9" fillId="92" borderId="39" xfId="0" applyFont="1" applyFill="1" applyBorder="1" applyAlignment="1" applyProtection="1">
      <alignment horizontal="center"/>
      <protection locked="0"/>
    </xf>
    <xf numFmtId="0" fontId="25" fillId="93" borderId="40" xfId="0" applyFont="1" applyFill="1" applyBorder="1" applyAlignment="1" applyProtection="1">
      <alignment horizontal="center" wrapText="1"/>
      <protection locked="0"/>
    </xf>
    <xf numFmtId="0" fontId="6" fillId="83" borderId="40" xfId="0" applyFont="1" applyFill="1" applyBorder="1" applyAlignment="1" applyProtection="1">
      <alignment horizontal="center" wrapText="1"/>
      <protection locked="0"/>
    </xf>
    <xf numFmtId="2" fontId="9" fillId="92" borderId="41" xfId="0" applyNumberFormat="1" applyFont="1" applyFill="1" applyBorder="1" applyProtection="1">
      <protection locked="0"/>
    </xf>
    <xf numFmtId="0" fontId="9" fillId="0" borderId="39" xfId="0" applyFont="1" applyFill="1" applyBorder="1" applyAlignment="1" applyProtection="1">
      <alignment horizontal="right"/>
      <protection locked="0"/>
    </xf>
    <xf numFmtId="0" fontId="25" fillId="93" borderId="42" xfId="0" applyFont="1" applyFill="1" applyBorder="1" applyAlignment="1" applyProtection="1">
      <alignment horizontal="center" wrapText="1"/>
      <protection locked="0"/>
    </xf>
    <xf numFmtId="0" fontId="9" fillId="92" borderId="40" xfId="0" applyFont="1" applyFill="1" applyBorder="1" applyAlignment="1" applyProtection="1">
      <alignment horizontal="center"/>
      <protection locked="0"/>
    </xf>
    <xf numFmtId="2" fontId="20" fillId="0" borderId="43" xfId="0" applyNumberFormat="1" applyFont="1" applyFill="1" applyBorder="1" applyProtection="1">
      <protection locked="0"/>
    </xf>
    <xf numFmtId="0" fontId="9" fillId="92" borderId="44" xfId="0" applyFont="1" applyFill="1" applyBorder="1" applyAlignment="1" applyProtection="1">
      <alignment horizontal="right"/>
      <protection locked="0"/>
    </xf>
    <xf numFmtId="9" fontId="9" fillId="90" borderId="45" xfId="0" applyNumberFormat="1" applyFont="1" applyFill="1" applyBorder="1" applyAlignment="1" applyProtection="1">
      <alignment horizontal="center"/>
      <protection locked="0"/>
    </xf>
    <xf numFmtId="0" fontId="9" fillId="90" borderId="46" xfId="0" applyFont="1" applyFill="1" applyBorder="1" applyAlignment="1" applyProtection="1">
      <alignment horizontal="center"/>
      <protection locked="0"/>
    </xf>
    <xf numFmtId="0" fontId="27" fillId="0" borderId="47" xfId="0" applyFont="1" applyFill="1" applyBorder="1" applyProtection="1">
      <protection locked="0"/>
    </xf>
    <xf numFmtId="0" fontId="27" fillId="0" borderId="48" xfId="0" applyFont="1" applyFill="1" applyBorder="1" applyAlignment="1" applyProtection="1">
      <alignment horizontal="right"/>
      <protection locked="0"/>
    </xf>
    <xf numFmtId="0" fontId="15" fillId="0" borderId="0" xfId="0" applyFont="1" applyFill="1" applyProtection="1">
      <protection locked="0"/>
    </xf>
    <xf numFmtId="0" fontId="27" fillId="0" borderId="49" xfId="0" applyFont="1" applyFill="1" applyBorder="1" applyProtection="1">
      <protection locked="0"/>
    </xf>
    <xf numFmtId="0" fontId="27" fillId="0" borderId="50" xfId="0" applyFont="1" applyFill="1" applyBorder="1" applyAlignment="1" applyProtection="1">
      <alignment horizontal="right"/>
      <protection locked="0"/>
    </xf>
    <xf numFmtId="0" fontId="10" fillId="0" borderId="0" xfId="0" applyFont="1" applyFill="1" applyProtection="1"/>
    <xf numFmtId="0" fontId="7" fillId="0" borderId="0" xfId="0" applyFont="1" applyFill="1" applyProtection="1"/>
    <xf numFmtId="0" fontId="21" fillId="0" borderId="0" xfId="0" applyFont="1" applyFill="1" applyProtection="1"/>
    <xf numFmtId="0" fontId="8" fillId="0" borderId="0" xfId="0" applyFont="1" applyFill="1" applyBorder="1" applyProtection="1"/>
    <xf numFmtId="0" fontId="8" fillId="0" borderId="0" xfId="0" applyFont="1" applyFill="1" applyProtection="1"/>
    <xf numFmtId="0" fontId="22" fillId="0" borderId="0" xfId="0" applyFont="1" applyFill="1" applyProtection="1"/>
    <xf numFmtId="0" fontId="7" fillId="0" borderId="51" xfId="0" applyFont="1" applyFill="1" applyBorder="1" applyProtection="1"/>
    <xf numFmtId="0" fontId="7" fillId="0" borderId="52" xfId="0" applyFont="1" applyFill="1" applyBorder="1" applyProtection="1"/>
    <xf numFmtId="0" fontId="9" fillId="92" borderId="53" xfId="0" applyFont="1" applyFill="1" applyBorder="1" applyProtection="1"/>
    <xf numFmtId="165" fontId="15" fillId="0" borderId="54" xfId="0" applyNumberFormat="1" applyFont="1" applyFill="1" applyBorder="1" applyAlignment="1" applyProtection="1">
      <alignment horizontal="center"/>
    </xf>
    <xf numFmtId="170" fontId="15" fillId="0" borderId="55" xfId="0" applyNumberFormat="1" applyFont="1" applyFill="1" applyBorder="1" applyAlignment="1" applyProtection="1">
      <alignment horizontal="center"/>
    </xf>
    <xf numFmtId="0" fontId="9" fillId="92" borderId="56" xfId="0" applyFont="1" applyFill="1" applyBorder="1" applyProtection="1"/>
    <xf numFmtId="0" fontId="9" fillId="92" borderId="57" xfId="0" applyFont="1" applyFill="1" applyBorder="1" applyProtection="1"/>
    <xf numFmtId="0" fontId="9" fillId="92" borderId="58" xfId="0" applyFont="1" applyFill="1" applyBorder="1" applyProtection="1"/>
    <xf numFmtId="0" fontId="17" fillId="0" borderId="0" xfId="0" applyFont="1" applyFill="1" applyBorder="1" applyProtection="1"/>
    <xf numFmtId="0" fontId="7" fillId="0" borderId="0" xfId="0" applyFont="1" applyFill="1" applyBorder="1" applyProtection="1"/>
    <xf numFmtId="0" fontId="7" fillId="0" borderId="59" xfId="0" applyFont="1" applyFill="1" applyBorder="1" applyProtection="1"/>
    <xf numFmtId="165" fontId="15" fillId="0" borderId="60" xfId="0" applyNumberFormat="1" applyFont="1" applyFill="1" applyBorder="1" applyAlignment="1" applyProtection="1">
      <alignment horizontal="center"/>
    </xf>
    <xf numFmtId="0" fontId="15" fillId="0" borderId="61" xfId="0" applyFont="1" applyFill="1" applyBorder="1" applyAlignment="1" applyProtection="1">
      <alignment horizontal="center"/>
    </xf>
    <xf numFmtId="0" fontId="23" fillId="92" borderId="62" xfId="0" applyFont="1" applyFill="1" applyBorder="1" applyProtection="1"/>
    <xf numFmtId="0" fontId="9" fillId="92" borderId="63" xfId="0" applyFont="1" applyFill="1" applyBorder="1" applyProtection="1"/>
    <xf numFmtId="0" fontId="9" fillId="92" borderId="64" xfId="0" applyFont="1" applyFill="1" applyBorder="1" applyProtection="1"/>
    <xf numFmtId="0" fontId="0" fillId="0" borderId="0" xfId="0" applyProtection="1"/>
    <xf numFmtId="0" fontId="7" fillId="0" borderId="0" xfId="0" applyFont="1" applyProtection="1"/>
    <xf numFmtId="0" fontId="7" fillId="0" borderId="59" xfId="0" applyFont="1" applyBorder="1" applyProtection="1"/>
    <xf numFmtId="0" fontId="11" fillId="0" borderId="0" xfId="0" applyFont="1" applyFill="1" applyBorder="1" applyProtection="1"/>
    <xf numFmtId="170" fontId="15" fillId="0" borderId="61" xfId="0" applyNumberFormat="1" applyFont="1" applyFill="1" applyBorder="1" applyAlignment="1" applyProtection="1">
      <alignment horizontal="center"/>
    </xf>
    <xf numFmtId="0" fontId="9" fillId="92" borderId="62" xfId="0" applyFont="1" applyFill="1" applyBorder="1" applyProtection="1"/>
    <xf numFmtId="0" fontId="9" fillId="0" borderId="59" xfId="0" applyFont="1" applyBorder="1" applyAlignment="1" applyProtection="1">
      <alignment horizontal="right"/>
    </xf>
    <xf numFmtId="0" fontId="9" fillId="92" borderId="65" xfId="0" applyFont="1" applyFill="1" applyBorder="1" applyProtection="1"/>
    <xf numFmtId="165" fontId="15" fillId="0" borderId="66" xfId="0" applyNumberFormat="1" applyFont="1" applyFill="1" applyBorder="1" applyAlignment="1" applyProtection="1">
      <alignment horizontal="center"/>
    </xf>
    <xf numFmtId="10" fontId="15" fillId="0" borderId="67" xfId="1831" applyNumberFormat="1" applyFont="1" applyFill="1" applyBorder="1" applyAlignment="1" applyProtection="1">
      <alignment horizontal="center"/>
    </xf>
    <xf numFmtId="0" fontId="9" fillId="92" borderId="68" xfId="0" applyFont="1" applyFill="1" applyBorder="1" applyProtection="1"/>
    <xf numFmtId="0" fontId="9" fillId="92" borderId="69" xfId="0" applyFont="1" applyFill="1" applyBorder="1" applyProtection="1"/>
    <xf numFmtId="0" fontId="9" fillId="92" borderId="70" xfId="0" applyFont="1" applyFill="1" applyBorder="1" applyProtection="1"/>
    <xf numFmtId="0" fontId="7" fillId="0" borderId="71" xfId="0" applyFont="1" applyFill="1" applyBorder="1" applyProtection="1"/>
    <xf numFmtId="0" fontId="16" fillId="94" borderId="47" xfId="0" applyFont="1" applyFill="1" applyBorder="1" applyAlignment="1" applyProtection="1">
      <alignment vertical="center"/>
    </xf>
    <xf numFmtId="0" fontId="16" fillId="94" borderId="57" xfId="0" applyFont="1" applyFill="1" applyBorder="1" applyAlignment="1" applyProtection="1">
      <alignment vertical="center"/>
    </xf>
    <xf numFmtId="0" fontId="16" fillId="94" borderId="72" xfId="0" applyFont="1" applyFill="1" applyBorder="1" applyAlignment="1" applyProtection="1">
      <alignment horizontal="center" vertical="center"/>
    </xf>
    <xf numFmtId="0" fontId="7" fillId="0" borderId="53" xfId="0" applyFont="1" applyFill="1" applyBorder="1" applyAlignment="1" applyProtection="1">
      <alignment horizontal="center" vertical="center"/>
    </xf>
    <xf numFmtId="0" fontId="6" fillId="92" borderId="62" xfId="0" applyFont="1" applyFill="1" applyBorder="1" applyAlignment="1" applyProtection="1">
      <alignment horizontal="center" vertical="center" wrapText="1"/>
    </xf>
    <xf numFmtId="0" fontId="6" fillId="92" borderId="73" xfId="0" applyFont="1" applyFill="1" applyBorder="1" applyAlignment="1" applyProtection="1">
      <alignment horizontal="center" vertical="center" wrapText="1"/>
    </xf>
    <xf numFmtId="0" fontId="6" fillId="92" borderId="74" xfId="0" applyFont="1" applyFill="1" applyBorder="1" applyAlignment="1" applyProtection="1">
      <alignment horizontal="center" vertical="center" wrapText="1"/>
    </xf>
    <xf numFmtId="49" fontId="6" fillId="92" borderId="75" xfId="0" applyNumberFormat="1" applyFont="1" applyFill="1" applyBorder="1" applyAlignment="1" applyProtection="1">
      <alignment horizontal="center" wrapText="1"/>
    </xf>
    <xf numFmtId="49" fontId="6" fillId="92" borderId="76" xfId="0" applyNumberFormat="1" applyFont="1" applyFill="1" applyBorder="1" applyAlignment="1" applyProtection="1">
      <alignment horizontal="center" wrapText="1"/>
    </xf>
    <xf numFmtId="49" fontId="6" fillId="92" borderId="77" xfId="0" applyNumberFormat="1" applyFont="1" applyFill="1" applyBorder="1" applyAlignment="1" applyProtection="1">
      <alignment horizontal="center" wrapText="1"/>
    </xf>
    <xf numFmtId="0" fontId="23" fillId="92" borderId="78" xfId="0" applyFont="1" applyFill="1" applyBorder="1" applyAlignment="1" applyProtection="1">
      <alignment horizontal="center" vertical="center" wrapText="1"/>
    </xf>
    <xf numFmtId="0" fontId="11" fillId="92" borderId="53" xfId="0" applyFont="1" applyFill="1" applyBorder="1" applyProtection="1"/>
    <xf numFmtId="166" fontId="17" fillId="0" borderId="63" xfId="0" applyNumberFormat="1" applyFont="1" applyFill="1" applyBorder="1" applyAlignment="1" applyProtection="1">
      <alignment horizontal="right"/>
    </xf>
    <xf numFmtId="166" fontId="17" fillId="0" borderId="73" xfId="0" applyNumberFormat="1" applyFont="1" applyFill="1" applyBorder="1" applyAlignment="1" applyProtection="1">
      <alignment horizontal="right"/>
    </xf>
    <xf numFmtId="10" fontId="17" fillId="0" borderId="74" xfId="1831" applyNumberFormat="1" applyFont="1" applyFill="1" applyBorder="1" applyAlignment="1" applyProtection="1">
      <alignment horizontal="right"/>
    </xf>
    <xf numFmtId="0" fontId="7" fillId="92" borderId="79" xfId="0" applyFont="1" applyFill="1" applyBorder="1" applyProtection="1"/>
    <xf numFmtId="0" fontId="7" fillId="92" borderId="80" xfId="0" applyFont="1" applyFill="1" applyBorder="1" applyProtection="1"/>
    <xf numFmtId="0" fontId="7" fillId="92" borderId="81" xfId="0" applyFont="1" applyFill="1" applyBorder="1" applyProtection="1"/>
    <xf numFmtId="0" fontId="6" fillId="92" borderId="82" xfId="0" applyFont="1" applyFill="1" applyBorder="1" applyAlignment="1" applyProtection="1">
      <alignment horizontal="center"/>
    </xf>
    <xf numFmtId="0" fontId="6" fillId="92" borderId="83" xfId="0" applyFont="1" applyFill="1" applyBorder="1" applyAlignment="1" applyProtection="1">
      <alignment horizontal="right" vertical="center"/>
    </xf>
    <xf numFmtId="0" fontId="6" fillId="92" borderId="84" xfId="0" applyFont="1" applyFill="1" applyBorder="1" applyAlignment="1" applyProtection="1">
      <alignment horizontal="right" vertical="center"/>
    </xf>
    <xf numFmtId="0" fontId="6" fillId="92" borderId="85" xfId="0" applyFont="1" applyFill="1" applyBorder="1" applyAlignment="1" applyProtection="1">
      <alignment horizontal="right" vertical="center"/>
    </xf>
    <xf numFmtId="0" fontId="6" fillId="92" borderId="86" xfId="0" applyFont="1" applyFill="1" applyBorder="1" applyAlignment="1" applyProtection="1">
      <alignment horizontal="right" vertical="center"/>
    </xf>
    <xf numFmtId="0" fontId="6" fillId="92" borderId="87" xfId="0" applyFont="1" applyFill="1" applyBorder="1" applyAlignment="1" applyProtection="1">
      <alignment horizontal="right" vertical="center"/>
    </xf>
    <xf numFmtId="0" fontId="13" fillId="92" borderId="88" xfId="0" applyFont="1" applyFill="1" applyBorder="1" applyProtection="1"/>
    <xf numFmtId="166" fontId="17" fillId="0" borderId="89" xfId="0" applyNumberFormat="1" applyFont="1" applyFill="1" applyBorder="1" applyAlignment="1" applyProtection="1">
      <alignment horizontal="right"/>
    </xf>
    <xf numFmtId="166" fontId="17" fillId="0" borderId="90" xfId="0" applyNumberFormat="1" applyFont="1" applyFill="1" applyBorder="1" applyAlignment="1" applyProtection="1">
      <alignment horizontal="right"/>
    </xf>
    <xf numFmtId="10" fontId="17" fillId="0" borderId="54" xfId="1831" applyNumberFormat="1" applyFont="1" applyFill="1" applyBorder="1" applyAlignment="1" applyProtection="1">
      <alignment horizontal="right"/>
    </xf>
    <xf numFmtId="10" fontId="17" fillId="0" borderId="91" xfId="0" applyNumberFormat="1" applyFont="1" applyFill="1" applyBorder="1" applyAlignment="1" applyProtection="1">
      <alignment horizontal="right"/>
    </xf>
    <xf numFmtId="2" fontId="17" fillId="0" borderId="90" xfId="0" applyNumberFormat="1" applyFont="1" applyFill="1" applyBorder="1" applyAlignment="1" applyProtection="1">
      <alignment horizontal="right"/>
    </xf>
    <xf numFmtId="2" fontId="17" fillId="0" borderId="54" xfId="0" applyNumberFormat="1" applyFont="1" applyFill="1" applyBorder="1" applyAlignment="1" applyProtection="1">
      <alignment horizontal="right"/>
    </xf>
    <xf numFmtId="2" fontId="17" fillId="0" borderId="91" xfId="0" applyNumberFormat="1" applyFont="1" applyFill="1" applyBorder="1" applyAlignment="1" applyProtection="1">
      <alignment horizontal="center"/>
    </xf>
    <xf numFmtId="10" fontId="17" fillId="0" borderId="91" xfId="0" applyNumberFormat="1" applyFont="1" applyFill="1" applyBorder="1" applyAlignment="1" applyProtection="1">
      <alignment horizontal="center"/>
    </xf>
    <xf numFmtId="9" fontId="12" fillId="0" borderId="54" xfId="0" applyNumberFormat="1" applyFont="1" applyFill="1" applyBorder="1" applyAlignment="1" applyProtection="1">
      <alignment horizontal="center"/>
    </xf>
    <xf numFmtId="2" fontId="18" fillId="0" borderId="92" xfId="0" applyNumberFormat="1" applyFont="1" applyFill="1" applyBorder="1" applyAlignment="1" applyProtection="1">
      <alignment horizontal="right"/>
    </xf>
    <xf numFmtId="169" fontId="18" fillId="0" borderId="93" xfId="0" applyNumberFormat="1" applyFont="1" applyFill="1" applyBorder="1" applyAlignment="1" applyProtection="1">
      <alignment horizontal="right"/>
    </xf>
    <xf numFmtId="9" fontId="18" fillId="0" borderId="94" xfId="0" applyNumberFormat="1" applyFont="1" applyFill="1" applyBorder="1" applyAlignment="1" applyProtection="1">
      <alignment horizontal="right"/>
    </xf>
    <xf numFmtId="2" fontId="18" fillId="0" borderId="95" xfId="0" applyNumberFormat="1" applyFont="1" applyFill="1" applyBorder="1" applyAlignment="1" applyProtection="1">
      <alignment horizontal="right"/>
    </xf>
    <xf numFmtId="9" fontId="18" fillId="0" borderId="96" xfId="0" applyNumberFormat="1" applyFont="1" applyFill="1" applyBorder="1" applyAlignment="1" applyProtection="1">
      <alignment horizontal="right"/>
    </xf>
    <xf numFmtId="2" fontId="18" fillId="0" borderId="97" xfId="0" applyNumberFormat="1" applyFont="1" applyFill="1" applyBorder="1" applyAlignment="1" applyProtection="1">
      <alignment horizontal="right"/>
    </xf>
    <xf numFmtId="2" fontId="18" fillId="0" borderId="93" xfId="0" applyNumberFormat="1" applyFont="1" applyFill="1" applyBorder="1" applyAlignment="1" applyProtection="1">
      <alignment horizontal="right"/>
    </xf>
    <xf numFmtId="0" fontId="13" fillId="92" borderId="98" xfId="0" applyFont="1" applyFill="1" applyBorder="1" applyProtection="1"/>
    <xf numFmtId="166" fontId="17" fillId="0" borderId="99" xfId="0" applyNumberFormat="1" applyFont="1" applyFill="1" applyBorder="1" applyAlignment="1" applyProtection="1">
      <alignment horizontal="right"/>
    </xf>
    <xf numFmtId="166" fontId="17" fillId="0" borderId="43" xfId="0" applyNumberFormat="1" applyFont="1" applyFill="1" applyBorder="1" applyAlignment="1" applyProtection="1">
      <alignment horizontal="right"/>
    </xf>
    <xf numFmtId="10" fontId="17" fillId="0" borderId="60" xfId="1831" applyNumberFormat="1" applyFont="1" applyFill="1" applyBorder="1" applyAlignment="1" applyProtection="1">
      <alignment horizontal="right"/>
    </xf>
    <xf numFmtId="10" fontId="17" fillId="0" borderId="61" xfId="0" applyNumberFormat="1" applyFont="1" applyFill="1" applyBorder="1" applyAlignment="1" applyProtection="1">
      <alignment horizontal="right"/>
    </xf>
    <xf numFmtId="2" fontId="17" fillId="0" borderId="43" xfId="0" applyNumberFormat="1" applyFont="1" applyFill="1" applyBorder="1" applyAlignment="1" applyProtection="1">
      <alignment horizontal="right"/>
    </xf>
    <xf numFmtId="2" fontId="17" fillId="0" borderId="60" xfId="0" applyNumberFormat="1" applyFont="1" applyFill="1" applyBorder="1" applyAlignment="1" applyProtection="1">
      <alignment horizontal="right"/>
    </xf>
    <xf numFmtId="2" fontId="17" fillId="0" borderId="61" xfId="0" applyNumberFormat="1" applyFont="1" applyFill="1" applyBorder="1" applyAlignment="1" applyProtection="1">
      <alignment horizontal="center"/>
    </xf>
    <xf numFmtId="10" fontId="17" fillId="0" borderId="61" xfId="0" applyNumberFormat="1" applyFont="1" applyFill="1" applyBorder="1" applyAlignment="1" applyProtection="1">
      <alignment horizontal="center"/>
    </xf>
    <xf numFmtId="9" fontId="18" fillId="0" borderId="100" xfId="0" applyNumberFormat="1" applyFont="1" applyFill="1" applyBorder="1" applyAlignment="1" applyProtection="1">
      <alignment horizontal="center"/>
    </xf>
    <xf numFmtId="2" fontId="18" fillId="0" borderId="101" xfId="0" applyNumberFormat="1" applyFont="1" applyFill="1" applyBorder="1" applyAlignment="1" applyProtection="1">
      <alignment horizontal="right"/>
    </xf>
    <xf numFmtId="169" fontId="18" fillId="0" borderId="102" xfId="0" applyNumberFormat="1" applyFont="1" applyFill="1" applyBorder="1" applyAlignment="1" applyProtection="1">
      <alignment horizontal="right"/>
    </xf>
    <xf numFmtId="9" fontId="18" fillId="0" borderId="103" xfId="0" applyNumberFormat="1" applyFont="1" applyFill="1" applyBorder="1" applyAlignment="1" applyProtection="1">
      <alignment horizontal="right"/>
    </xf>
    <xf numFmtId="2" fontId="18" fillId="0" borderId="104" xfId="0" applyNumberFormat="1" applyFont="1" applyFill="1" applyBorder="1" applyAlignment="1" applyProtection="1">
      <alignment horizontal="right"/>
    </xf>
    <xf numFmtId="9" fontId="18" fillId="0" borderId="105" xfId="0" applyNumberFormat="1" applyFont="1" applyFill="1" applyBorder="1" applyAlignment="1" applyProtection="1">
      <alignment horizontal="right"/>
    </xf>
    <xf numFmtId="2" fontId="18" fillId="0" borderId="106" xfId="0" applyNumberFormat="1" applyFont="1" applyFill="1" applyBorder="1" applyAlignment="1" applyProtection="1">
      <alignment horizontal="right"/>
    </xf>
    <xf numFmtId="2" fontId="18" fillId="0" borderId="102" xfId="0" applyNumberFormat="1" applyFont="1" applyFill="1" applyBorder="1" applyAlignment="1" applyProtection="1">
      <alignment horizontal="right"/>
    </xf>
    <xf numFmtId="166" fontId="17" fillId="0" borderId="106" xfId="0" applyNumberFormat="1" applyFont="1" applyFill="1" applyBorder="1" applyAlignment="1" applyProtection="1">
      <alignment horizontal="right"/>
    </xf>
    <xf numFmtId="0" fontId="9" fillId="90" borderId="107" xfId="0" applyFont="1" applyFill="1" applyBorder="1" applyAlignment="1" applyProtection="1">
      <alignment horizontal="center"/>
      <protection locked="0"/>
    </xf>
    <xf numFmtId="2" fontId="20" fillId="0" borderId="108" xfId="0" applyNumberFormat="1" applyFont="1" applyFill="1" applyBorder="1" applyProtection="1">
      <protection locked="0"/>
    </xf>
    <xf numFmtId="2" fontId="17" fillId="0" borderId="61" xfId="0" applyNumberFormat="1" applyFont="1" applyFill="1" applyBorder="1" applyProtection="1">
      <protection locked="0"/>
    </xf>
    <xf numFmtId="2" fontId="17" fillId="0" borderId="43" xfId="0" applyNumberFormat="1" applyFont="1" applyFill="1" applyBorder="1" applyProtection="1">
      <protection locked="0"/>
    </xf>
    <xf numFmtId="0" fontId="7" fillId="0" borderId="44" xfId="0" applyFont="1" applyFill="1" applyBorder="1" applyProtection="1">
      <protection locked="0"/>
    </xf>
    <xf numFmtId="0" fontId="27" fillId="0" borderId="109" xfId="0" applyFont="1" applyFill="1" applyBorder="1" applyProtection="1">
      <protection locked="0"/>
    </xf>
    <xf numFmtId="0" fontId="27" fillId="0" borderId="110" xfId="0" applyFont="1" applyFill="1" applyBorder="1" applyAlignment="1" applyProtection="1">
      <alignment horizontal="right"/>
      <protection locked="0"/>
    </xf>
    <xf numFmtId="1" fontId="9" fillId="90" borderId="111" xfId="1046" applyNumberFormat="1" applyFont="1" applyFill="1" applyBorder="1" applyAlignment="1" applyProtection="1">
      <alignment horizontal="center"/>
      <protection locked="0"/>
    </xf>
    <xf numFmtId="0" fontId="19" fillId="95" borderId="112" xfId="0" applyFont="1" applyFill="1" applyBorder="1" applyAlignment="1" applyProtection="1">
      <alignment horizontal="center"/>
      <protection locked="0"/>
    </xf>
    <xf numFmtId="0" fontId="30" fillId="94" borderId="44" xfId="0" applyFont="1" applyFill="1" applyBorder="1" applyAlignment="1" applyProtection="1">
      <alignment horizontal="center" wrapText="1"/>
    </xf>
    <xf numFmtId="0" fontId="29" fillId="94" borderId="57" xfId="0" applyFont="1" applyFill="1" applyBorder="1" applyAlignment="1" applyProtection="1">
      <alignment horizontal="right" vertical="center"/>
    </xf>
    <xf numFmtId="0" fontId="7" fillId="0" borderId="0" xfId="1508" applyFont="1"/>
    <xf numFmtId="0" fontId="7" fillId="0" borderId="0" xfId="1508" applyFont="1" applyAlignment="1">
      <alignment horizontal="center"/>
    </xf>
    <xf numFmtId="0" fontId="7" fillId="0" borderId="0" xfId="1508" applyFont="1" applyAlignment="1">
      <alignment horizontal="left"/>
    </xf>
    <xf numFmtId="0" fontId="2" fillId="0" borderId="0" xfId="1508"/>
    <xf numFmtId="0" fontId="2" fillId="0" borderId="0" xfId="1508" applyAlignment="1">
      <alignment horizontal="center"/>
    </xf>
    <xf numFmtId="0" fontId="7" fillId="0" borderId="0" xfId="1508" applyFont="1" applyFill="1" applyBorder="1"/>
    <xf numFmtId="2" fontId="54" fillId="0" borderId="0" xfId="1508" applyNumberFormat="1" applyFont="1" applyFill="1" applyBorder="1" applyAlignment="1">
      <alignment horizontal="center"/>
    </xf>
    <xf numFmtId="0" fontId="7" fillId="0" borderId="0" xfId="1508" applyFont="1" applyFill="1" applyBorder="1" applyAlignment="1">
      <alignment horizontal="center"/>
    </xf>
    <xf numFmtId="0" fontId="7" fillId="0" borderId="15" xfId="1508" applyFont="1" applyFill="1" applyBorder="1" applyAlignment="1">
      <alignment horizontal="center"/>
    </xf>
    <xf numFmtId="0" fontId="32" fillId="0" borderId="0" xfId="1508" applyFont="1" applyFill="1" applyAlignment="1">
      <alignment horizontal="center"/>
    </xf>
    <xf numFmtId="0" fontId="32" fillId="0" borderId="0" xfId="1508" applyFont="1" applyFill="1" applyAlignment="1">
      <alignment horizontal="left"/>
    </xf>
    <xf numFmtId="0" fontId="11" fillId="0" borderId="0" xfId="1508" applyFont="1" applyFill="1" applyAlignment="1">
      <alignment horizontal="left"/>
    </xf>
    <xf numFmtId="0" fontId="55" fillId="0" borderId="0" xfId="1508" applyFont="1" applyBorder="1" applyAlignment="1">
      <alignment horizontal="left" vertical="center"/>
    </xf>
    <xf numFmtId="0" fontId="56" fillId="0" borderId="0" xfId="1508" applyFont="1" applyBorder="1" applyAlignment="1">
      <alignment horizontal="left" vertical="center"/>
    </xf>
    <xf numFmtId="165" fontId="7" fillId="0" borderId="15" xfId="1508" applyNumberFormat="1" applyFont="1" applyBorder="1" applyAlignment="1">
      <alignment horizontal="center"/>
    </xf>
    <xf numFmtId="0" fontId="9" fillId="0" borderId="0" xfId="1508" applyFont="1"/>
    <xf numFmtId="0" fontId="34" fillId="0" borderId="15" xfId="1508" applyFont="1" applyBorder="1" applyAlignment="1">
      <alignment horizontal="center"/>
    </xf>
    <xf numFmtId="165" fontId="34" fillId="0" borderId="15" xfId="1508" applyNumberFormat="1" applyFont="1" applyBorder="1" applyAlignment="1">
      <alignment horizontal="center"/>
    </xf>
    <xf numFmtId="0" fontId="7" fillId="0" borderId="15" xfId="1508" applyFont="1" applyBorder="1" applyAlignment="1">
      <alignment horizontal="center"/>
    </xf>
    <xf numFmtId="165" fontId="7" fillId="0" borderId="15" xfId="1508" applyNumberFormat="1" applyFont="1" applyFill="1" applyBorder="1" applyAlignment="1">
      <alignment horizontal="center"/>
    </xf>
    <xf numFmtId="2" fontId="7" fillId="0" borderId="0" xfId="1055" applyNumberFormat="1" applyFont="1" applyFill="1" applyBorder="1" applyAlignment="1">
      <alignment horizontal="center"/>
    </xf>
    <xf numFmtId="2" fontId="7" fillId="0" borderId="15" xfId="1055" applyNumberFormat="1" applyFont="1" applyFill="1" applyBorder="1" applyAlignment="1">
      <alignment horizontal="center"/>
    </xf>
    <xf numFmtId="49" fontId="7" fillId="0" borderId="15" xfId="1508" applyNumberFormat="1" applyFont="1" applyBorder="1" applyAlignment="1">
      <alignment horizontal="center"/>
    </xf>
    <xf numFmtId="0" fontId="7" fillId="0" borderId="15" xfId="1508" applyFont="1" applyBorder="1"/>
    <xf numFmtId="0" fontId="7" fillId="0" borderId="0" xfId="1508" applyFont="1" applyFill="1"/>
    <xf numFmtId="0" fontId="7" fillId="0" borderId="0" xfId="1508" applyFont="1" applyBorder="1"/>
    <xf numFmtId="3" fontId="57" fillId="0" borderId="113" xfId="1508" applyNumberFormat="1" applyFont="1" applyBorder="1" applyAlignment="1">
      <alignment horizontal="center" vertical="center" wrapText="1"/>
    </xf>
    <xf numFmtId="3" fontId="57" fillId="0" borderId="0" xfId="1508" applyNumberFormat="1" applyFont="1" applyBorder="1" applyAlignment="1">
      <alignment horizontal="center" vertical="center" wrapText="1"/>
    </xf>
    <xf numFmtId="3" fontId="57" fillId="0" borderId="114" xfId="1508" applyNumberFormat="1" applyFont="1" applyBorder="1" applyAlignment="1">
      <alignment horizontal="center" vertical="center" wrapText="1"/>
    </xf>
    <xf numFmtId="0" fontId="58" fillId="0" borderId="0" xfId="1508" applyFont="1" applyFill="1" applyBorder="1" applyAlignment="1">
      <alignment horizontal="center" vertical="center" wrapText="1"/>
    </xf>
    <xf numFmtId="0" fontId="7" fillId="0" borderId="0" xfId="1508" applyFont="1" applyBorder="1" applyAlignment="1">
      <alignment horizontal="center"/>
    </xf>
    <xf numFmtId="3" fontId="58" fillId="0" borderId="0" xfId="1508" applyNumberFormat="1" applyFont="1" applyBorder="1" applyAlignment="1">
      <alignment horizontal="center" vertical="center" wrapText="1"/>
    </xf>
    <xf numFmtId="3" fontId="54" fillId="0" borderId="0" xfId="1508" applyNumberFormat="1" applyFont="1" applyBorder="1" applyAlignment="1">
      <alignment horizontal="center" vertical="center" wrapText="1"/>
    </xf>
    <xf numFmtId="3" fontId="54" fillId="92" borderId="0" xfId="1508" applyNumberFormat="1" applyFont="1" applyFill="1" applyBorder="1" applyAlignment="1">
      <alignment horizontal="left" vertical="center"/>
    </xf>
    <xf numFmtId="0" fontId="7" fillId="92" borderId="0" xfId="1508" applyFont="1" applyFill="1" applyBorder="1"/>
    <xf numFmtId="10" fontId="54" fillId="92" borderId="0" xfId="1508" applyNumberFormat="1" applyFont="1" applyFill="1" applyBorder="1" applyAlignment="1">
      <alignment horizontal="center" vertical="center" wrapText="1"/>
    </xf>
    <xf numFmtId="3" fontId="54" fillId="92" borderId="0" xfId="1508" applyNumberFormat="1" applyFont="1" applyFill="1" applyBorder="1" applyAlignment="1">
      <alignment horizontal="center" vertical="center" wrapText="1"/>
    </xf>
    <xf numFmtId="0" fontId="54" fillId="92" borderId="0" xfId="1508" applyFont="1" applyFill="1" applyBorder="1" applyAlignment="1">
      <alignment horizontal="center" vertical="center" wrapText="1"/>
    </xf>
    <xf numFmtId="3" fontId="58" fillId="0" borderId="114" xfId="1508" applyNumberFormat="1" applyFont="1" applyBorder="1" applyAlignment="1">
      <alignment horizontal="center" vertical="center" wrapText="1"/>
    </xf>
    <xf numFmtId="3" fontId="58" fillId="0" borderId="15" xfId="1508" applyNumberFormat="1" applyFont="1" applyBorder="1" applyAlignment="1">
      <alignment horizontal="center" vertical="center" wrapText="1"/>
    </xf>
    <xf numFmtId="10" fontId="58" fillId="0" borderId="15" xfId="1508" applyNumberFormat="1" applyFont="1" applyBorder="1" applyAlignment="1">
      <alignment horizontal="center" vertical="center" wrapText="1"/>
    </xf>
    <xf numFmtId="49" fontId="58" fillId="0" borderId="115" xfId="1508" applyNumberFormat="1" applyFont="1" applyBorder="1" applyAlignment="1">
      <alignment horizontal="center" vertical="center" wrapText="1"/>
    </xf>
    <xf numFmtId="3" fontId="58" fillId="0" borderId="116" xfId="1508" applyNumberFormat="1" applyFont="1" applyBorder="1" applyAlignment="1">
      <alignment horizontal="center" vertical="center" wrapText="1"/>
    </xf>
    <xf numFmtId="0" fontId="7" fillId="0" borderId="113" xfId="1508" applyFont="1" applyBorder="1"/>
    <xf numFmtId="0" fontId="7" fillId="0" borderId="117" xfId="1508" applyFont="1" applyBorder="1"/>
    <xf numFmtId="0" fontId="7" fillId="0" borderId="118" xfId="1508" applyFont="1" applyBorder="1"/>
    <xf numFmtId="0" fontId="7" fillId="0" borderId="117" xfId="1508" applyFont="1" applyBorder="1" applyAlignment="1">
      <alignment horizontal="center"/>
    </xf>
    <xf numFmtId="0" fontId="7" fillId="0" borderId="118" xfId="1508" applyFont="1" applyBorder="1" applyAlignment="1">
      <alignment horizontal="center"/>
    </xf>
    <xf numFmtId="0" fontId="7" fillId="0" borderId="113" xfId="1508" applyFont="1" applyBorder="1" applyAlignment="1">
      <alignment horizontal="center"/>
    </xf>
    <xf numFmtId="3" fontId="34" fillId="0" borderId="114" xfId="1508" applyNumberFormat="1" applyFont="1" applyBorder="1" applyAlignment="1">
      <alignment horizontal="center" vertical="center" wrapText="1"/>
    </xf>
    <xf numFmtId="3" fontId="34" fillId="0" borderId="15" xfId="1508" applyNumberFormat="1" applyFont="1" applyBorder="1" applyAlignment="1">
      <alignment horizontal="center" vertical="center" wrapText="1"/>
    </xf>
    <xf numFmtId="0" fontId="34" fillId="0" borderId="119" xfId="1508" applyFont="1" applyBorder="1" applyAlignment="1">
      <alignment horizontal="center" vertical="center" wrapText="1"/>
    </xf>
    <xf numFmtId="168" fontId="34" fillId="0" borderId="114" xfId="1508" applyNumberFormat="1" applyFont="1" applyBorder="1" applyAlignment="1">
      <alignment horizontal="center" vertical="center" wrapText="1"/>
    </xf>
    <xf numFmtId="167" fontId="34" fillId="0" borderId="15" xfId="1508" applyNumberFormat="1" applyFont="1" applyBorder="1" applyAlignment="1">
      <alignment horizontal="center" vertical="center" wrapText="1"/>
    </xf>
    <xf numFmtId="3" fontId="54" fillId="0" borderId="114" xfId="1508" applyNumberFormat="1" applyFont="1" applyBorder="1" applyAlignment="1">
      <alignment horizontal="center" vertical="center" wrapText="1"/>
    </xf>
    <xf numFmtId="0" fontId="54" fillId="0" borderId="119" xfId="1508" applyFont="1" applyBorder="1" applyAlignment="1">
      <alignment horizontal="center" vertical="center" wrapText="1"/>
    </xf>
    <xf numFmtId="49" fontId="58" fillId="0" borderId="119" xfId="1508" applyNumberFormat="1" applyFont="1" applyBorder="1" applyAlignment="1">
      <alignment horizontal="center" vertical="center" wrapText="1"/>
    </xf>
    <xf numFmtId="168" fontId="58" fillId="0" borderId="114" xfId="1508" applyNumberFormat="1" applyFont="1" applyBorder="1" applyAlignment="1">
      <alignment horizontal="center" vertical="center" wrapText="1"/>
    </xf>
    <xf numFmtId="167" fontId="58" fillId="0" borderId="15" xfId="1508" applyNumberFormat="1" applyFont="1" applyBorder="1" applyAlignment="1">
      <alignment horizontal="center" vertical="center" wrapText="1"/>
    </xf>
    <xf numFmtId="0" fontId="58" fillId="0" borderId="114" xfId="1508" applyFont="1" applyFill="1" applyBorder="1" applyAlignment="1">
      <alignment horizontal="center" vertical="center" wrapText="1"/>
    </xf>
    <xf numFmtId="0" fontId="58" fillId="0" borderId="15" xfId="1508" applyFont="1" applyFill="1" applyBorder="1" applyAlignment="1">
      <alignment horizontal="center" vertical="center" wrapText="1"/>
    </xf>
    <xf numFmtId="0" fontId="58" fillId="0" borderId="119" xfId="1508" applyFont="1" applyFill="1" applyBorder="1" applyAlignment="1">
      <alignment horizontal="center" vertical="center" wrapText="1"/>
    </xf>
    <xf numFmtId="0" fontId="59" fillId="0" borderId="15" xfId="1508" applyFont="1" applyFill="1" applyBorder="1" applyAlignment="1">
      <alignment horizontal="center" vertical="center" wrapText="1"/>
    </xf>
    <xf numFmtId="0" fontId="59" fillId="0" borderId="119" xfId="1508" applyFont="1" applyBorder="1" applyAlignment="1">
      <alignment horizontal="center" vertical="center" wrapText="1"/>
    </xf>
    <xf numFmtId="0" fontId="52" fillId="0" borderId="0" xfId="1674" applyFont="1"/>
    <xf numFmtId="0" fontId="7" fillId="0" borderId="0" xfId="1522" applyFont="1"/>
    <xf numFmtId="10" fontId="7" fillId="0" borderId="0" xfId="1923" applyNumberFormat="1" applyFont="1" applyBorder="1"/>
    <xf numFmtId="0" fontId="60" fillId="0" borderId="0" xfId="1674" applyFont="1" applyBorder="1" applyAlignment="1">
      <alignment vertical="top" wrapText="1"/>
    </xf>
    <xf numFmtId="0" fontId="61" fillId="0" borderId="0" xfId="1674" applyFont="1" applyBorder="1" applyAlignment="1">
      <alignment vertical="top" wrapText="1"/>
    </xf>
    <xf numFmtId="0" fontId="7" fillId="0" borderId="0" xfId="1522" applyFont="1" applyAlignment="1">
      <alignment horizontal="left"/>
    </xf>
    <xf numFmtId="3" fontId="58" fillId="0" borderId="114" xfId="1508" applyNumberFormat="1" applyFont="1" applyFill="1" applyBorder="1" applyAlignment="1">
      <alignment horizontal="center" vertical="center" wrapText="1"/>
    </xf>
    <xf numFmtId="3" fontId="58" fillId="0" borderId="15" xfId="1508" applyNumberFormat="1" applyFont="1" applyFill="1" applyBorder="1" applyAlignment="1">
      <alignment horizontal="center" vertical="center" wrapText="1"/>
    </xf>
    <xf numFmtId="3" fontId="54" fillId="0" borderId="119" xfId="1508" applyNumberFormat="1" applyFont="1" applyFill="1" applyBorder="1" applyAlignment="1">
      <alignment horizontal="center" vertical="center" wrapText="1"/>
    </xf>
    <xf numFmtId="3" fontId="58" fillId="0" borderId="119" xfId="1508" applyNumberFormat="1" applyFont="1" applyFill="1" applyBorder="1" applyAlignment="1">
      <alignment horizontal="center" vertical="center" wrapText="1"/>
    </xf>
    <xf numFmtId="3" fontId="58" fillId="0" borderId="120" xfId="1508" applyNumberFormat="1" applyFont="1" applyFill="1" applyBorder="1" applyAlignment="1">
      <alignment horizontal="center" vertical="center" wrapText="1"/>
    </xf>
    <xf numFmtId="3" fontId="58" fillId="0" borderId="121" xfId="1508" applyNumberFormat="1" applyFont="1" applyFill="1" applyBorder="1" applyAlignment="1">
      <alignment horizontal="center" vertical="center" wrapText="1"/>
    </xf>
    <xf numFmtId="3" fontId="58" fillId="0" borderId="122" xfId="1508" applyNumberFormat="1" applyFont="1" applyFill="1" applyBorder="1" applyAlignment="1">
      <alignment horizontal="center" vertical="center" wrapText="1"/>
    </xf>
    <xf numFmtId="3" fontId="54" fillId="0" borderId="15" xfId="1508" applyNumberFormat="1" applyFont="1" applyFill="1" applyBorder="1" applyAlignment="1">
      <alignment horizontal="center" vertical="center" wrapText="1"/>
    </xf>
    <xf numFmtId="14" fontId="7" fillId="0" borderId="15" xfId="1508" applyNumberFormat="1" applyFont="1" applyBorder="1" applyAlignment="1">
      <alignment horizontal="center"/>
    </xf>
    <xf numFmtId="14" fontId="34" fillId="0" borderId="15" xfId="1508" applyNumberFormat="1" applyFont="1" applyBorder="1" applyAlignment="1">
      <alignment horizontal="center"/>
    </xf>
    <xf numFmtId="1" fontId="7" fillId="83" borderId="15" xfId="1508" applyNumberFormat="1" applyFont="1" applyFill="1" applyBorder="1" applyAlignment="1">
      <alignment horizontal="center"/>
    </xf>
    <xf numFmtId="0" fontId="6" fillId="0" borderId="0" xfId="0" applyFont="1" applyFill="1" applyBorder="1" applyAlignment="1" applyProtection="1">
      <alignment horizontal="center" vertical="center" wrapText="1"/>
    </xf>
    <xf numFmtId="0" fontId="6" fillId="92" borderId="15" xfId="0" applyFont="1" applyFill="1" applyBorder="1" applyAlignment="1" applyProtection="1">
      <alignment horizontal="center" vertical="center" wrapText="1"/>
    </xf>
    <xf numFmtId="49" fontId="9" fillId="0" borderId="15" xfId="1498" applyNumberFormat="1" applyFont="1" applyFill="1" applyBorder="1" applyAlignment="1">
      <alignment horizontal="center"/>
    </xf>
    <xf numFmtId="17" fontId="7" fillId="0" borderId="15" xfId="1508" applyNumberFormat="1" applyFont="1" applyFill="1" applyBorder="1" applyAlignment="1">
      <alignment horizontal="left"/>
    </xf>
    <xf numFmtId="0" fontId="62" fillId="0" borderId="0" xfId="1508" applyFont="1" applyFill="1" applyBorder="1" applyAlignment="1">
      <alignment horizontal="left" vertical="center"/>
    </xf>
    <xf numFmtId="0" fontId="6" fillId="92" borderId="15" xfId="0" applyFont="1" applyFill="1" applyBorder="1" applyAlignment="1" applyProtection="1">
      <alignment horizontal="left" vertical="center" wrapText="1"/>
    </xf>
    <xf numFmtId="17" fontId="7" fillId="0" borderId="15" xfId="1508" applyNumberFormat="1" applyFont="1" applyBorder="1" applyAlignment="1">
      <alignment horizontal="left"/>
    </xf>
    <xf numFmtId="0" fontId="29" fillId="94" borderId="123" xfId="0" applyFont="1" applyFill="1" applyBorder="1" applyAlignment="1" applyProtection="1">
      <alignment horizontal="center" vertical="center"/>
    </xf>
    <xf numFmtId="0" fontId="29" fillId="94" borderId="124" xfId="0" applyFont="1" applyFill="1" applyBorder="1" applyAlignment="1" applyProtection="1">
      <alignment horizontal="center" vertical="center"/>
    </xf>
    <xf numFmtId="0" fontId="2" fillId="0" borderId="0" xfId="1508" applyAlignment="1">
      <alignment vertical="center"/>
    </xf>
    <xf numFmtId="49" fontId="7" fillId="0" borderId="0" xfId="1508" applyNumberFormat="1" applyFont="1" applyFill="1" applyBorder="1" applyAlignment="1">
      <alignment wrapText="1"/>
    </xf>
    <xf numFmtId="0" fontId="2" fillId="0" borderId="0" xfId="1508" applyFill="1"/>
    <xf numFmtId="0" fontId="2" fillId="0" borderId="0" xfId="1508" applyFill="1" applyAlignment="1">
      <alignment vertical="center"/>
    </xf>
    <xf numFmtId="0" fontId="7" fillId="0" borderId="0" xfId="1508" applyFont="1" applyFill="1" applyBorder="1" applyAlignment="1">
      <alignment wrapText="1"/>
    </xf>
    <xf numFmtId="0" fontId="55" fillId="0" borderId="0" xfId="1508" applyFont="1" applyFill="1" applyBorder="1" applyAlignment="1">
      <alignment horizontal="left" vertical="center"/>
    </xf>
    <xf numFmtId="17" fontId="7" fillId="0" borderId="0" xfId="1508" applyNumberFormat="1" applyFont="1" applyFill="1" applyBorder="1" applyAlignment="1">
      <alignment horizontal="left"/>
    </xf>
    <xf numFmtId="49" fontId="3" fillId="0" borderId="125" xfId="1141" applyNumberFormat="1" applyFont="1" applyFill="1" applyBorder="1" applyAlignment="1">
      <alignment horizontal="left"/>
    </xf>
    <xf numFmtId="1" fontId="7" fillId="0" borderId="0" xfId="1508" applyNumberFormat="1" applyFont="1" applyFill="1"/>
    <xf numFmtId="0" fontId="3" fillId="0" borderId="125" xfId="1508" applyFont="1" applyFill="1" applyBorder="1" applyAlignment="1" applyProtection="1">
      <alignment horizontal="left" vertical="center"/>
    </xf>
    <xf numFmtId="173" fontId="3" fillId="0" borderId="125" xfId="1141" applyNumberFormat="1" applyFont="1" applyFill="1" applyBorder="1" applyAlignment="1">
      <alignment horizontal="left"/>
    </xf>
    <xf numFmtId="0" fontId="63" fillId="0" borderId="15" xfId="1508" applyFont="1" applyBorder="1" applyAlignment="1" applyProtection="1">
      <alignment vertical="center"/>
    </xf>
    <xf numFmtId="0" fontId="63" fillId="0" borderId="15" xfId="1508" applyFont="1" applyBorder="1" applyAlignment="1" applyProtection="1">
      <alignment horizontal="left" vertical="center"/>
    </xf>
    <xf numFmtId="0" fontId="29" fillId="0" borderId="0" xfId="0" applyFont="1" applyFill="1" applyBorder="1" applyAlignment="1" applyProtection="1">
      <alignment horizontal="center" vertical="center"/>
    </xf>
    <xf numFmtId="0" fontId="7" fillId="0" borderId="0" xfId="1508" applyFont="1" applyAlignment="1">
      <alignment horizontal="center" vertical="center"/>
    </xf>
    <xf numFmtId="10" fontId="7" fillId="0" borderId="126" xfId="1925" applyNumberFormat="1" applyFont="1" applyBorder="1"/>
    <xf numFmtId="10" fontId="7" fillId="0" borderId="0" xfId="1925" applyNumberFormat="1" applyFont="1" applyBorder="1"/>
    <xf numFmtId="10" fontId="7" fillId="0" borderId="127" xfId="1925" applyNumberFormat="1" applyFont="1" applyBorder="1" applyAlignment="1">
      <alignment horizontal="center" vertical="center" wrapText="1"/>
    </xf>
    <xf numFmtId="43" fontId="7" fillId="83" borderId="128" xfId="1074" applyNumberFormat="1" applyFont="1" applyFill="1" applyBorder="1" applyAlignment="1">
      <alignment horizontal="center" vertical="center"/>
    </xf>
    <xf numFmtId="43" fontId="7" fillId="83" borderId="129" xfId="1074" applyNumberFormat="1" applyFont="1" applyFill="1" applyBorder="1" applyAlignment="1">
      <alignment horizontal="center" vertical="center"/>
    </xf>
    <xf numFmtId="177" fontId="52" fillId="0" borderId="0" xfId="1674" applyNumberFormat="1" applyFont="1"/>
    <xf numFmtId="178" fontId="52" fillId="0" borderId="0" xfId="1055" applyNumberFormat="1" applyFont="1"/>
    <xf numFmtId="179" fontId="52" fillId="0" borderId="0" xfId="1674" applyNumberFormat="1" applyFont="1"/>
    <xf numFmtId="0" fontId="9" fillId="0" borderId="15" xfId="1508" applyFont="1" applyBorder="1"/>
    <xf numFmtId="0" fontId="9" fillId="92" borderId="40" xfId="0" applyFont="1" applyFill="1" applyBorder="1" applyAlignment="1" applyProtection="1">
      <alignment horizontal="center" wrapText="1"/>
      <protection locked="0"/>
    </xf>
    <xf numFmtId="0" fontId="9" fillId="92" borderId="130" xfId="0" applyFont="1" applyFill="1" applyBorder="1" applyAlignment="1" applyProtection="1">
      <alignment horizontal="center" wrapText="1"/>
      <protection locked="0"/>
    </xf>
    <xf numFmtId="0" fontId="9" fillId="92" borderId="131" xfId="0" applyFont="1" applyFill="1" applyBorder="1" applyAlignment="1" applyProtection="1">
      <alignment horizontal="center" wrapText="1"/>
      <protection locked="0"/>
    </xf>
    <xf numFmtId="0" fontId="54" fillId="92" borderId="27" xfId="1508" applyFont="1" applyFill="1" applyBorder="1" applyAlignment="1">
      <alignment horizontal="center" vertical="center" wrapText="1"/>
    </xf>
    <xf numFmtId="0" fontId="7" fillId="92" borderId="127" xfId="1508" applyFont="1" applyFill="1" applyBorder="1"/>
    <xf numFmtId="0" fontId="54" fillId="0" borderId="27" xfId="1508" applyFont="1" applyBorder="1" applyAlignment="1">
      <alignment horizontal="center" vertical="center" wrapText="1"/>
    </xf>
    <xf numFmtId="3" fontId="58" fillId="0" borderId="127" xfId="1508" applyNumberFormat="1" applyFont="1" applyBorder="1" applyAlignment="1">
      <alignment horizontal="center" vertical="center" wrapText="1"/>
    </xf>
    <xf numFmtId="0" fontId="7" fillId="92" borderId="27" xfId="1508" applyFont="1" applyFill="1" applyBorder="1"/>
    <xf numFmtId="0" fontId="9" fillId="92" borderId="132" xfId="0" applyFont="1" applyFill="1" applyBorder="1" applyAlignment="1" applyProtection="1">
      <alignment horizontal="center"/>
      <protection locked="0"/>
    </xf>
    <xf numFmtId="0" fontId="29" fillId="94" borderId="133" xfId="0" applyFont="1" applyFill="1" applyBorder="1" applyAlignment="1" applyProtection="1">
      <alignment horizontal="center" vertical="center"/>
    </xf>
    <xf numFmtId="0" fontId="29" fillId="94" borderId="134" xfId="0" applyFont="1" applyFill="1" applyBorder="1" applyAlignment="1" applyProtection="1">
      <alignment horizontal="center" vertical="center"/>
    </xf>
    <xf numFmtId="0" fontId="6" fillId="92" borderId="135" xfId="0" applyFont="1" applyFill="1" applyBorder="1" applyAlignment="1" applyProtection="1">
      <alignment horizontal="center" vertical="center" wrapText="1"/>
    </xf>
    <xf numFmtId="0" fontId="6" fillId="92" borderId="136" xfId="0" applyFont="1" applyFill="1" applyBorder="1" applyAlignment="1" applyProtection="1">
      <alignment horizontal="center" vertical="center" wrapText="1"/>
    </xf>
    <xf numFmtId="0" fontId="9" fillId="92" borderId="137" xfId="0" applyFont="1" applyFill="1" applyBorder="1" applyAlignment="1" applyProtection="1">
      <alignment horizontal="center" wrapText="1"/>
      <protection locked="0"/>
    </xf>
    <xf numFmtId="0" fontId="9" fillId="92" borderId="132" xfId="0" applyFont="1" applyFill="1" applyBorder="1" applyAlignment="1" applyProtection="1">
      <alignment horizontal="center" wrapText="1"/>
      <protection locked="0"/>
    </xf>
    <xf numFmtId="0" fontId="9" fillId="92" borderId="138" xfId="0" applyFont="1" applyFill="1" applyBorder="1" applyAlignment="1" applyProtection="1">
      <alignment horizontal="center" wrapText="1"/>
      <protection locked="0"/>
    </xf>
    <xf numFmtId="3" fontId="58" fillId="0" borderId="121" xfId="1508" applyNumberFormat="1" applyFont="1" applyBorder="1" applyAlignment="1">
      <alignment horizontal="center" vertical="center" wrapText="1"/>
    </xf>
    <xf numFmtId="3" fontId="58" fillId="0" borderId="122" xfId="1508" applyNumberFormat="1" applyFont="1" applyBorder="1" applyAlignment="1">
      <alignment horizontal="center" vertical="center" wrapText="1"/>
    </xf>
    <xf numFmtId="0" fontId="29" fillId="0" borderId="0" xfId="0" applyFont="1" applyFill="1" applyBorder="1" applyAlignment="1" applyProtection="1">
      <alignment horizontal="center" vertical="center" wrapText="1"/>
      <protection locked="0"/>
    </xf>
    <xf numFmtId="0" fontId="61" fillId="0" borderId="0" xfId="1674" applyFont="1" applyAlignment="1">
      <alignment horizontal="left" vertical="center"/>
    </xf>
    <xf numFmtId="0" fontId="52" fillId="0" borderId="0" xfId="1676" applyFont="1"/>
    <xf numFmtId="0" fontId="28" fillId="0" borderId="0" xfId="0" applyFont="1" applyFill="1" applyBorder="1" applyAlignment="1" applyProtection="1">
      <alignment horizontal="center" vertical="center" wrapText="1"/>
      <protection locked="0"/>
    </xf>
    <xf numFmtId="0" fontId="60" fillId="92" borderId="27" xfId="1676" applyFont="1" applyFill="1" applyBorder="1" applyAlignment="1">
      <alignment horizontal="right"/>
    </xf>
    <xf numFmtId="0" fontId="60" fillId="92" borderId="0" xfId="1676" applyFont="1" applyFill="1" applyBorder="1" applyAlignment="1">
      <alignment horizontal="right"/>
    </xf>
    <xf numFmtId="0" fontId="60" fillId="92" borderId="127" xfId="1676" applyFont="1" applyFill="1" applyBorder="1" applyAlignment="1">
      <alignment horizontal="right"/>
    </xf>
    <xf numFmtId="0" fontId="60" fillId="83" borderId="27" xfId="1676" applyFont="1" applyFill="1" applyBorder="1" applyAlignment="1">
      <alignment horizontal="right"/>
    </xf>
    <xf numFmtId="0" fontId="60" fillId="83" borderId="0" xfId="1676" applyFont="1" applyFill="1" applyBorder="1" applyAlignment="1">
      <alignment horizontal="right"/>
    </xf>
    <xf numFmtId="0" fontId="60" fillId="83" borderId="127" xfId="1676" applyFont="1" applyFill="1" applyBorder="1" applyAlignment="1">
      <alignment horizontal="right"/>
    </xf>
    <xf numFmtId="0" fontId="52" fillId="0" borderId="27" xfId="1676" applyFont="1" applyBorder="1"/>
    <xf numFmtId="10" fontId="7" fillId="0" borderId="0" xfId="1893" applyNumberFormat="1" applyFont="1" applyBorder="1"/>
    <xf numFmtId="10" fontId="7" fillId="0" borderId="139" xfId="1925" applyNumberFormat="1" applyFont="1" applyBorder="1"/>
    <xf numFmtId="10" fontId="7" fillId="0" borderId="127" xfId="1925" applyNumberFormat="1" applyFont="1" applyBorder="1"/>
    <xf numFmtId="0" fontId="60" fillId="92" borderId="27" xfId="1676" applyFont="1" applyFill="1" applyBorder="1" applyAlignment="1">
      <alignment horizontal="center" vertical="top"/>
    </xf>
    <xf numFmtId="0" fontId="60" fillId="92" borderId="0" xfId="1676" applyFont="1" applyFill="1" applyBorder="1" applyAlignment="1">
      <alignment horizontal="center" vertical="top"/>
    </xf>
    <xf numFmtId="0" fontId="60" fillId="92" borderId="127" xfId="1676" applyFont="1" applyFill="1" applyBorder="1" applyAlignment="1">
      <alignment horizontal="center" vertical="top"/>
    </xf>
    <xf numFmtId="0" fontId="52" fillId="0" borderId="0" xfId="1676" applyFont="1" applyBorder="1"/>
    <xf numFmtId="0" fontId="52" fillId="0" borderId="140" xfId="1676" applyFont="1" applyBorder="1"/>
    <xf numFmtId="0" fontId="52" fillId="0" borderId="141" xfId="1676" applyFont="1" applyBorder="1"/>
    <xf numFmtId="10" fontId="7" fillId="0" borderId="142" xfId="1925" applyNumberFormat="1" applyFont="1" applyBorder="1"/>
    <xf numFmtId="10" fontId="7" fillId="0" borderId="143" xfId="1925" applyNumberFormat="1" applyFont="1" applyBorder="1"/>
    <xf numFmtId="0" fontId="60" fillId="0" borderId="27" xfId="1676" applyFont="1" applyBorder="1"/>
    <xf numFmtId="10" fontId="60" fillId="0" borderId="0" xfId="1676" applyNumberFormat="1" applyFont="1" applyBorder="1"/>
    <xf numFmtId="10" fontId="60" fillId="0" borderId="139" xfId="1676" applyNumberFormat="1" applyFont="1" applyBorder="1"/>
    <xf numFmtId="10" fontId="60" fillId="0" borderId="127" xfId="1676" applyNumberFormat="1" applyFont="1" applyBorder="1"/>
    <xf numFmtId="43" fontId="7" fillId="0" borderId="127" xfId="1074" applyNumberFormat="1" applyFont="1" applyBorder="1"/>
    <xf numFmtId="0" fontId="60" fillId="0" borderId="144" xfId="1676" applyFont="1" applyBorder="1"/>
    <xf numFmtId="10" fontId="60" fillId="0" borderId="145" xfId="1676" applyNumberFormat="1" applyFont="1" applyBorder="1"/>
    <xf numFmtId="10" fontId="60" fillId="0" borderId="146" xfId="1676" applyNumberFormat="1" applyFont="1" applyBorder="1"/>
    <xf numFmtId="43" fontId="7" fillId="0" borderId="143" xfId="1074" applyNumberFormat="1" applyFont="1" applyBorder="1"/>
    <xf numFmtId="0" fontId="60" fillId="0" borderId="147" xfId="1676" applyFont="1" applyBorder="1"/>
    <xf numFmtId="43" fontId="60" fillId="0" borderId="148" xfId="1074" applyNumberFormat="1" applyFont="1" applyBorder="1"/>
    <xf numFmtId="43" fontId="60" fillId="0" borderId="149" xfId="1074" applyNumberFormat="1" applyFont="1" applyBorder="1"/>
    <xf numFmtId="43" fontId="60" fillId="0" borderId="126" xfId="1074" applyNumberFormat="1" applyFont="1" applyBorder="1"/>
    <xf numFmtId="0" fontId="60" fillId="0" borderId="0" xfId="1676" applyFont="1" applyBorder="1"/>
    <xf numFmtId="43" fontId="60" fillId="0" borderId="0" xfId="1074" applyNumberFormat="1" applyFont="1" applyBorder="1"/>
    <xf numFmtId="0" fontId="60" fillId="0" borderId="150" xfId="1676" applyFont="1" applyBorder="1" applyAlignment="1">
      <alignment vertical="top" wrapText="1"/>
    </xf>
    <xf numFmtId="0" fontId="60" fillId="0" borderId="151" xfId="1676" applyFont="1" applyFill="1" applyBorder="1" applyAlignment="1">
      <alignment horizontal="center" vertical="center" wrapText="1"/>
    </xf>
    <xf numFmtId="0" fontId="52" fillId="0" borderId="152" xfId="1676" applyFont="1" applyBorder="1"/>
    <xf numFmtId="0" fontId="60" fillId="0" borderId="27" xfId="1676" applyFont="1" applyBorder="1" applyAlignment="1">
      <alignment horizontal="left" vertical="center" wrapText="1"/>
    </xf>
    <xf numFmtId="0" fontId="64" fillId="0" borderId="147" xfId="1676" applyFont="1" applyBorder="1" applyAlignment="1">
      <alignment horizontal="left" vertical="top" wrapText="1"/>
    </xf>
    <xf numFmtId="0" fontId="61" fillId="0" borderId="148" xfId="1676" applyFont="1" applyBorder="1" applyAlignment="1">
      <alignment vertical="top" wrapText="1"/>
    </xf>
    <xf numFmtId="0" fontId="64" fillId="0" borderId="0" xfId="1676" applyFont="1" applyBorder="1" applyAlignment="1">
      <alignment horizontal="left" vertical="top" wrapText="1"/>
    </xf>
    <xf numFmtId="0" fontId="61" fillId="0" borderId="0" xfId="1676" applyFont="1" applyBorder="1" applyAlignment="1">
      <alignment vertical="top" wrapText="1"/>
    </xf>
    <xf numFmtId="0" fontId="52" fillId="83" borderId="153" xfId="1676" applyFont="1" applyFill="1" applyBorder="1" applyAlignment="1">
      <alignment wrapText="1"/>
    </xf>
    <xf numFmtId="43" fontId="52" fillId="83" borderId="128" xfId="1676" applyNumberFormat="1" applyFont="1" applyFill="1" applyBorder="1" applyAlignment="1">
      <alignment horizontal="center" vertical="center"/>
    </xf>
    <xf numFmtId="43" fontId="52" fillId="83" borderId="129" xfId="1676" applyNumberFormat="1" applyFont="1" applyFill="1" applyBorder="1" applyAlignment="1">
      <alignment horizontal="center" vertical="center"/>
    </xf>
    <xf numFmtId="0" fontId="52" fillId="83" borderId="140" xfId="1676" applyFont="1" applyFill="1" applyBorder="1" applyAlignment="1">
      <alignment wrapText="1"/>
    </xf>
    <xf numFmtId="43" fontId="52" fillId="83" borderId="0" xfId="1676" applyNumberFormat="1" applyFont="1" applyFill="1" applyBorder="1" applyAlignment="1">
      <alignment horizontal="center" vertical="center"/>
    </xf>
    <xf numFmtId="43" fontId="65" fillId="96" borderId="155" xfId="1074" applyNumberFormat="1" applyFont="1" applyFill="1" applyBorder="1" applyAlignment="1">
      <alignment horizontal="center" vertical="center"/>
    </xf>
    <xf numFmtId="10" fontId="7" fillId="0" borderId="15" xfId="1893" applyNumberFormat="1" applyFont="1" applyFill="1" applyBorder="1" applyAlignment="1">
      <alignment horizontal="center"/>
    </xf>
    <xf numFmtId="0" fontId="29" fillId="94" borderId="123" xfId="0" applyFont="1" applyFill="1" applyBorder="1" applyAlignment="1" applyProtection="1">
      <alignment horizontal="left" vertical="center"/>
    </xf>
    <xf numFmtId="0" fontId="29" fillId="94" borderId="51" xfId="0" applyFont="1" applyFill="1" applyBorder="1" applyAlignment="1" applyProtection="1">
      <alignment horizontal="left" vertical="center"/>
    </xf>
    <xf numFmtId="0" fontId="7" fillId="0" borderId="116" xfId="1508" applyFont="1" applyFill="1" applyBorder="1" applyAlignment="1">
      <alignment horizontal="center"/>
    </xf>
    <xf numFmtId="0" fontId="7" fillId="0" borderId="156" xfId="1508" applyFont="1" applyFill="1" applyBorder="1" applyAlignment="1">
      <alignment horizontal="center"/>
    </xf>
    <xf numFmtId="0" fontId="7" fillId="0" borderId="116" xfId="1508" applyFont="1" applyFill="1" applyBorder="1" applyAlignment="1">
      <alignment horizontal="left"/>
    </xf>
    <xf numFmtId="2" fontId="54" fillId="0" borderId="116" xfId="1508" applyNumberFormat="1" applyFont="1" applyFill="1" applyBorder="1" applyAlignment="1">
      <alignment horizontal="center"/>
    </xf>
    <xf numFmtId="0" fontId="6" fillId="92" borderId="5" xfId="0" applyFont="1" applyFill="1" applyBorder="1" applyAlignment="1" applyProtection="1">
      <alignment horizontal="center" vertical="center" wrapText="1"/>
    </xf>
    <xf numFmtId="1" fontId="54" fillId="83" borderId="15" xfId="1508" applyNumberFormat="1" applyFont="1" applyFill="1" applyBorder="1" applyAlignment="1">
      <alignment horizontal="center"/>
    </xf>
    <xf numFmtId="0" fontId="7" fillId="92" borderId="0" xfId="1508" applyFont="1" applyFill="1"/>
    <xf numFmtId="0" fontId="7" fillId="0" borderId="0" xfId="1508" applyFont="1" applyFill="1" applyAlignment="1">
      <alignment horizontal="center"/>
    </xf>
    <xf numFmtId="1" fontId="58" fillId="0" borderId="114" xfId="1508" applyNumberFormat="1" applyFont="1" applyBorder="1" applyAlignment="1">
      <alignment horizontal="center" vertical="center" wrapText="1"/>
    </xf>
    <xf numFmtId="174" fontId="7" fillId="0" borderId="15" xfId="1055" applyNumberFormat="1" applyFont="1" applyFill="1" applyBorder="1" applyAlignment="1">
      <alignment horizontal="right"/>
    </xf>
    <xf numFmtId="174" fontId="54" fillId="0" borderId="15" xfId="1055" applyNumberFormat="1" applyFont="1" applyFill="1" applyBorder="1" applyAlignment="1">
      <alignment horizontal="right"/>
    </xf>
    <xf numFmtId="174" fontId="9" fillId="0" borderId="15" xfId="1055" applyNumberFormat="1" applyFont="1" applyFill="1" applyBorder="1" applyAlignment="1">
      <alignment horizontal="right"/>
    </xf>
    <xf numFmtId="0" fontId="7" fillId="0" borderId="15" xfId="0" applyFont="1" applyBorder="1" applyAlignment="1">
      <alignment horizontal="center"/>
    </xf>
    <xf numFmtId="43" fontId="7" fillId="0" borderId="15" xfId="1055" applyFont="1" applyBorder="1" applyAlignment="1">
      <alignment horizontal="center"/>
    </xf>
    <xf numFmtId="10" fontId="7" fillId="0" borderId="15" xfId="1893" applyNumberFormat="1" applyFont="1" applyBorder="1" applyAlignment="1">
      <alignment horizontal="center"/>
    </xf>
    <xf numFmtId="0" fontId="38" fillId="0" borderId="0" xfId="0" applyFont="1" applyAlignment="1">
      <alignment horizontal="center"/>
    </xf>
    <xf numFmtId="0" fontId="38" fillId="0" borderId="0" xfId="0" quotePrefix="1" applyFont="1" applyAlignment="1">
      <alignment horizontal="center"/>
    </xf>
    <xf numFmtId="10" fontId="9" fillId="0" borderId="0" xfId="0" applyNumberFormat="1" applyFont="1" applyAlignment="1">
      <alignment horizontal="center"/>
    </xf>
    <xf numFmtId="0" fontId="39" fillId="0" borderId="0" xfId="0" applyFont="1" applyAlignment="1">
      <alignment horizontal="left" indent="1"/>
    </xf>
    <xf numFmtId="0" fontId="7" fillId="0" borderId="15" xfId="0" applyFont="1" applyBorder="1"/>
    <xf numFmtId="0" fontId="34" fillId="0" borderId="0" xfId="0" applyFont="1" applyAlignment="1">
      <alignment horizontal="right"/>
    </xf>
    <xf numFmtId="0" fontId="9" fillId="92" borderId="157" xfId="0" applyFont="1" applyFill="1" applyBorder="1" applyAlignment="1" applyProtection="1">
      <alignment horizontal="center"/>
      <protection locked="0"/>
    </xf>
    <xf numFmtId="9" fontId="58" fillId="0" borderId="114" xfId="1893" applyFont="1" applyFill="1" applyBorder="1" applyAlignment="1">
      <alignment horizontal="center" vertical="center" wrapText="1"/>
    </xf>
    <xf numFmtId="9" fontId="54" fillId="0" borderId="114" xfId="1893" applyFont="1" applyFill="1" applyBorder="1" applyAlignment="1">
      <alignment horizontal="center" vertical="center" wrapText="1"/>
    </xf>
    <xf numFmtId="174" fontId="7" fillId="0" borderId="15" xfId="0" applyNumberFormat="1" applyFont="1" applyBorder="1"/>
    <xf numFmtId="0" fontId="7" fillId="0" borderId="15" xfId="1508" applyNumberFormat="1" applyFont="1" applyBorder="1"/>
    <xf numFmtId="10" fontId="7" fillId="0" borderId="15" xfId="1508" applyNumberFormat="1" applyFont="1" applyBorder="1"/>
    <xf numFmtId="172" fontId="54" fillId="0" borderId="15" xfId="1046" applyNumberFormat="1" applyFont="1" applyFill="1" applyBorder="1" applyAlignment="1">
      <alignment horizontal="right"/>
    </xf>
    <xf numFmtId="172" fontId="7" fillId="0" borderId="15" xfId="1046" applyNumberFormat="1" applyFont="1" applyBorder="1" applyAlignment="1">
      <alignment horizontal="right"/>
    </xf>
    <xf numFmtId="3" fontId="7" fillId="0" borderId="15" xfId="1055" applyNumberFormat="1" applyFont="1" applyBorder="1" applyAlignment="1">
      <alignment horizontal="center"/>
    </xf>
    <xf numFmtId="10" fontId="7" fillId="0" borderId="15" xfId="1831" applyNumberFormat="1" applyFont="1" applyBorder="1" applyAlignment="1">
      <alignment horizontal="center"/>
    </xf>
    <xf numFmtId="0" fontId="7" fillId="0" borderId="0" xfId="1508" applyFont="1" applyFill="1" applyAlignment="1">
      <alignment horizontal="left"/>
    </xf>
    <xf numFmtId="0" fontId="7" fillId="0" borderId="0" xfId="1508" applyFont="1" applyFill="1" applyAlignment="1">
      <alignment horizontal="center" vertical="center"/>
    </xf>
    <xf numFmtId="0" fontId="58" fillId="0" borderId="120" xfId="1046" applyNumberFormat="1" applyFont="1" applyFill="1" applyBorder="1" applyAlignment="1">
      <alignment horizontal="center" vertical="center" wrapText="1"/>
    </xf>
    <xf numFmtId="0" fontId="58" fillId="0" borderId="119" xfId="1046" applyNumberFormat="1" applyFont="1" applyFill="1" applyBorder="1" applyAlignment="1">
      <alignment horizontal="center" vertical="center" wrapText="1"/>
    </xf>
    <xf numFmtId="0" fontId="54" fillId="0" borderId="119" xfId="1046" applyNumberFormat="1" applyFont="1" applyFill="1" applyBorder="1" applyAlignment="1">
      <alignment horizontal="center" vertical="center" wrapText="1"/>
    </xf>
    <xf numFmtId="0" fontId="66" fillId="92" borderId="27" xfId="1508" applyFont="1" applyFill="1" applyBorder="1" applyAlignment="1">
      <alignment horizontal="center" vertical="center"/>
    </xf>
    <xf numFmtId="0" fontId="66" fillId="92" borderId="0" xfId="1508" applyFont="1" applyFill="1" applyBorder="1" applyAlignment="1">
      <alignment horizontal="center" vertical="center"/>
    </xf>
    <xf numFmtId="0" fontId="66" fillId="92" borderId="127" xfId="1508" applyFont="1" applyFill="1" applyBorder="1" applyAlignment="1">
      <alignment horizontal="center" vertical="center"/>
    </xf>
    <xf numFmtId="3" fontId="54" fillId="0" borderId="117" xfId="1508" applyNumberFormat="1" applyFont="1" applyBorder="1" applyAlignment="1">
      <alignment horizontal="center" vertical="center" wrapText="1"/>
    </xf>
    <xf numFmtId="3" fontId="54" fillId="0" borderId="15" xfId="1508" applyNumberFormat="1" applyFont="1" applyBorder="1" applyAlignment="1">
      <alignment horizontal="center" vertical="center" wrapText="1"/>
    </xf>
    <xf numFmtId="0" fontId="9" fillId="92" borderId="158" xfId="0" applyFont="1" applyFill="1" applyBorder="1" applyAlignment="1" applyProtection="1">
      <alignment horizontal="center" wrapText="1"/>
      <protection locked="0"/>
    </xf>
    <xf numFmtId="0" fontId="7" fillId="0" borderId="15" xfId="1508" applyNumberFormat="1" applyFont="1" applyFill="1" applyBorder="1" applyAlignment="1">
      <alignment horizontal="center"/>
    </xf>
    <xf numFmtId="1" fontId="7" fillId="0" borderId="0" xfId="1508" applyNumberFormat="1" applyFont="1" applyFill="1" applyBorder="1" applyAlignment="1">
      <alignment horizontal="center"/>
    </xf>
    <xf numFmtId="0" fontId="7" fillId="0" borderId="15" xfId="1508" applyNumberFormat="1" applyFont="1" applyBorder="1" applyAlignment="1">
      <alignment horizontal="center"/>
    </xf>
    <xf numFmtId="1" fontId="7" fillId="97" borderId="15" xfId="1508" applyNumberFormat="1" applyFont="1" applyFill="1" applyBorder="1" applyAlignment="1">
      <alignment horizontal="center"/>
    </xf>
    <xf numFmtId="2" fontId="17" fillId="0" borderId="108" xfId="0" applyNumberFormat="1" applyFont="1" applyFill="1" applyBorder="1" applyProtection="1">
      <protection locked="0"/>
    </xf>
    <xf numFmtId="49" fontId="68" fillId="0" borderId="119" xfId="1508" applyNumberFormat="1" applyFont="1" applyBorder="1" applyAlignment="1">
      <alignment horizontal="center" vertical="center" wrapText="1"/>
    </xf>
    <xf numFmtId="3" fontId="68" fillId="0" borderId="15" xfId="1508" applyNumberFormat="1" applyFont="1" applyBorder="1" applyAlignment="1">
      <alignment horizontal="center" vertical="center" wrapText="1"/>
    </xf>
    <xf numFmtId="168" fontId="68" fillId="0" borderId="114" xfId="1508" applyNumberFormat="1" applyFont="1" applyBorder="1" applyAlignment="1">
      <alignment horizontal="center" vertical="center" wrapText="1"/>
    </xf>
    <xf numFmtId="49" fontId="68" fillId="0" borderId="159" xfId="1508" applyNumberFormat="1" applyFont="1" applyBorder="1" applyAlignment="1">
      <alignment horizontal="center" vertical="center" wrapText="1"/>
    </xf>
    <xf numFmtId="0" fontId="68" fillId="0" borderId="117" xfId="1508" applyFont="1" applyBorder="1" applyAlignment="1">
      <alignment horizontal="center" vertical="center" wrapText="1"/>
    </xf>
    <xf numFmtId="10" fontId="68" fillId="0" borderId="117" xfId="1508" applyNumberFormat="1" applyFont="1" applyBorder="1" applyAlignment="1">
      <alignment horizontal="center" vertical="center" wrapText="1"/>
    </xf>
    <xf numFmtId="3" fontId="68" fillId="0" borderId="160" xfId="1508" applyNumberFormat="1" applyFont="1" applyBorder="1" applyAlignment="1">
      <alignment horizontal="center" vertical="center" wrapText="1"/>
    </xf>
    <xf numFmtId="3" fontId="68" fillId="0" borderId="117" xfId="1508" applyNumberFormat="1" applyFont="1" applyBorder="1" applyAlignment="1">
      <alignment horizontal="center" vertical="center" wrapText="1"/>
    </xf>
    <xf numFmtId="3" fontId="68" fillId="0" borderId="113" xfId="1508" applyNumberFormat="1" applyFont="1" applyBorder="1" applyAlignment="1">
      <alignment horizontal="center" vertical="center" wrapText="1"/>
    </xf>
    <xf numFmtId="49" fontId="68" fillId="0" borderId="118" xfId="1508" applyNumberFormat="1" applyFont="1" applyBorder="1" applyAlignment="1">
      <alignment horizontal="center" vertical="center" wrapText="1"/>
    </xf>
    <xf numFmtId="3" fontId="68" fillId="0" borderId="117" xfId="1508" applyNumberFormat="1" applyFont="1" applyFill="1" applyBorder="1" applyAlignment="1">
      <alignment horizontal="center" vertical="center" wrapText="1"/>
    </xf>
    <xf numFmtId="3" fontId="65" fillId="0" borderId="113" xfId="1508" applyNumberFormat="1" applyFont="1" applyBorder="1" applyAlignment="1">
      <alignment horizontal="center" vertical="center" wrapText="1"/>
    </xf>
    <xf numFmtId="49" fontId="68" fillId="0" borderId="115" xfId="1508" applyNumberFormat="1" applyFont="1" applyBorder="1" applyAlignment="1">
      <alignment horizontal="center" vertical="center" wrapText="1"/>
    </xf>
    <xf numFmtId="167" fontId="68" fillId="0" borderId="15" xfId="1508" applyNumberFormat="1" applyFont="1" applyBorder="1" applyAlignment="1">
      <alignment horizontal="center" vertical="center" wrapText="1"/>
    </xf>
    <xf numFmtId="1" fontId="68" fillId="0" borderId="114" xfId="1508" applyNumberFormat="1" applyFont="1" applyBorder="1" applyAlignment="1">
      <alignment horizontal="center" vertical="center" wrapText="1"/>
    </xf>
    <xf numFmtId="0" fontId="68" fillId="0" borderId="118" xfId="1046" applyNumberFormat="1" applyFont="1" applyFill="1" applyBorder="1" applyAlignment="1">
      <alignment horizontal="center" vertical="center" wrapText="1"/>
    </xf>
    <xf numFmtId="3" fontId="68" fillId="0" borderId="118" xfId="1508" applyNumberFormat="1" applyFont="1" applyFill="1" applyBorder="1" applyAlignment="1">
      <alignment horizontal="center" vertical="center" wrapText="1"/>
    </xf>
    <xf numFmtId="9" fontId="68" fillId="0" borderId="117" xfId="1893" applyFont="1" applyFill="1" applyBorder="1" applyAlignment="1">
      <alignment horizontal="center" vertical="center" wrapText="1"/>
    </xf>
    <xf numFmtId="9" fontId="68" fillId="0" borderId="113" xfId="1893" applyFont="1" applyFill="1" applyBorder="1" applyAlignment="1">
      <alignment horizontal="center" vertical="center" wrapText="1"/>
    </xf>
    <xf numFmtId="3" fontId="68" fillId="0" borderId="113" xfId="1508" applyNumberFormat="1" applyFont="1" applyFill="1" applyBorder="1" applyAlignment="1">
      <alignment horizontal="center" vertical="center" wrapText="1"/>
    </xf>
    <xf numFmtId="0" fontId="9" fillId="92" borderId="118" xfId="1046" applyNumberFormat="1" applyFont="1" applyFill="1" applyBorder="1" applyAlignment="1" applyProtection="1">
      <alignment horizontal="center"/>
      <protection locked="0"/>
    </xf>
    <xf numFmtId="0" fontId="9" fillId="92" borderId="161" xfId="1046" applyNumberFormat="1" applyFont="1" applyFill="1" applyBorder="1" applyAlignment="1" applyProtection="1">
      <alignment horizontal="center"/>
      <protection locked="0"/>
    </xf>
    <xf numFmtId="0" fontId="9" fillId="92" borderId="162" xfId="0" applyFont="1" applyFill="1" applyBorder="1" applyAlignment="1" applyProtection="1">
      <alignment horizontal="center"/>
      <protection locked="0"/>
    </xf>
    <xf numFmtId="0" fontId="9" fillId="92" borderId="117" xfId="0" applyFont="1" applyFill="1" applyBorder="1" applyAlignment="1" applyProtection="1">
      <alignment horizontal="center"/>
      <protection locked="0"/>
    </xf>
    <xf numFmtId="0" fontId="9" fillId="92" borderId="113" xfId="0" applyFont="1" applyFill="1" applyBorder="1" applyAlignment="1" applyProtection="1">
      <alignment horizontal="center"/>
      <protection locked="0"/>
    </xf>
    <xf numFmtId="2" fontId="20" fillId="0" borderId="43" xfId="0" quotePrefix="1" applyNumberFormat="1" applyFont="1" applyFill="1" applyBorder="1" applyProtection="1">
      <protection locked="0"/>
    </xf>
    <xf numFmtId="0" fontId="9" fillId="92" borderId="114" xfId="0" applyFont="1" applyFill="1" applyBorder="1" applyAlignment="1" applyProtection="1">
      <alignment horizontal="center" wrapText="1"/>
      <protection locked="0"/>
    </xf>
    <xf numFmtId="0" fontId="9" fillId="92" borderId="135" xfId="0" applyFont="1" applyFill="1" applyBorder="1" applyAlignment="1" applyProtection="1">
      <alignment horizontal="center" wrapText="1"/>
      <protection locked="0"/>
    </xf>
    <xf numFmtId="3" fontId="58" fillId="0" borderId="135" xfId="1508" applyNumberFormat="1" applyFont="1" applyFill="1" applyBorder="1" applyAlignment="1">
      <alignment horizontal="center" vertical="center" wrapText="1"/>
    </xf>
    <xf numFmtId="3" fontId="68" fillId="0" borderId="163" xfId="1508" applyNumberFormat="1" applyFont="1" applyFill="1" applyBorder="1" applyAlignment="1">
      <alignment horizontal="center" vertical="center" wrapText="1"/>
    </xf>
    <xf numFmtId="0" fontId="9" fillId="92" borderId="119" xfId="0" applyFont="1" applyFill="1" applyBorder="1" applyAlignment="1" applyProtection="1">
      <alignment horizontal="center" wrapText="1"/>
      <protection locked="0"/>
    </xf>
    <xf numFmtId="0" fontId="9" fillId="92" borderId="136" xfId="0" applyFont="1" applyFill="1" applyBorder="1" applyAlignment="1" applyProtection="1">
      <alignment horizontal="center" wrapText="1"/>
      <protection locked="0"/>
    </xf>
    <xf numFmtId="3" fontId="58" fillId="0" borderId="136" xfId="1508" applyNumberFormat="1" applyFont="1" applyFill="1" applyBorder="1" applyAlignment="1">
      <alignment horizontal="center" vertical="center" wrapText="1"/>
    </xf>
    <xf numFmtId="3" fontId="68" fillId="0" borderId="164" xfId="1508" applyNumberFormat="1" applyFont="1" applyFill="1" applyBorder="1" applyAlignment="1">
      <alignment horizontal="center" vertical="center" wrapText="1"/>
    </xf>
    <xf numFmtId="0" fontId="9" fillId="92" borderId="165" xfId="0" applyFont="1" applyFill="1" applyBorder="1" applyAlignment="1" applyProtection="1">
      <alignment horizontal="center"/>
      <protection locked="0"/>
    </xf>
    <xf numFmtId="0" fontId="9" fillId="92" borderId="166" xfId="0" applyFont="1" applyFill="1" applyBorder="1" applyAlignment="1" applyProtection="1">
      <alignment horizontal="center" wrapText="1"/>
      <protection locked="0"/>
    </xf>
    <xf numFmtId="3" fontId="58" fillId="0" borderId="166" xfId="1508" applyNumberFormat="1" applyFont="1" applyFill="1" applyBorder="1" applyAlignment="1">
      <alignment horizontal="center" vertical="center" wrapText="1"/>
    </xf>
    <xf numFmtId="3" fontId="68" fillId="0" borderId="167" xfId="1508" applyNumberFormat="1" applyFont="1" applyFill="1" applyBorder="1" applyAlignment="1">
      <alignment horizontal="center" vertical="center" wrapText="1"/>
    </xf>
    <xf numFmtId="0" fontId="9" fillId="92" borderId="128" xfId="0" applyFont="1" applyFill="1" applyBorder="1" applyAlignment="1" applyProtection="1">
      <alignment horizontal="center"/>
      <protection locked="0"/>
    </xf>
    <xf numFmtId="0" fontId="9" fillId="92" borderId="128" xfId="0" applyFont="1" applyFill="1" applyBorder="1" applyAlignment="1" applyProtection="1">
      <alignment horizontal="center" wrapText="1"/>
      <protection locked="0"/>
    </xf>
    <xf numFmtId="3" fontId="58" fillId="0" borderId="128" xfId="1508" applyNumberFormat="1" applyFont="1" applyFill="1" applyBorder="1" applyAlignment="1">
      <alignment horizontal="center" vertical="center" wrapText="1"/>
    </xf>
    <xf numFmtId="3" fontId="68" fillId="0" borderId="168" xfId="1508" applyNumberFormat="1" applyFont="1" applyFill="1" applyBorder="1" applyAlignment="1">
      <alignment horizontal="center" vertical="center" wrapText="1"/>
    </xf>
    <xf numFmtId="0" fontId="9" fillId="92" borderId="166" xfId="1046" applyNumberFormat="1" applyFont="1" applyFill="1" applyBorder="1" applyAlignment="1" applyProtection="1">
      <alignment horizontal="center"/>
      <protection locked="0"/>
    </xf>
    <xf numFmtId="0" fontId="58" fillId="0" borderId="166" xfId="1046" applyNumberFormat="1" applyFont="1" applyFill="1" applyBorder="1" applyAlignment="1">
      <alignment horizontal="center" vertical="center" wrapText="1"/>
    </xf>
    <xf numFmtId="0" fontId="68" fillId="0" borderId="167" xfId="1046" applyNumberFormat="1" applyFont="1" applyFill="1" applyBorder="1" applyAlignment="1">
      <alignment horizontal="center" vertical="center" wrapText="1"/>
    </xf>
    <xf numFmtId="0" fontId="7" fillId="86" borderId="135" xfId="1508" applyFont="1" applyFill="1" applyBorder="1" applyAlignment="1">
      <alignment horizontal="left" wrapText="1"/>
    </xf>
    <xf numFmtId="0" fontId="7" fillId="86" borderId="136" xfId="1508" applyFont="1" applyFill="1" applyBorder="1" applyAlignment="1">
      <alignment horizontal="left" wrapText="1"/>
    </xf>
    <xf numFmtId="49" fontId="7" fillId="86" borderId="136" xfId="1508" applyNumberFormat="1" applyFont="1" applyFill="1" applyBorder="1" applyAlignment="1">
      <alignment horizontal="left" wrapText="1"/>
    </xf>
    <xf numFmtId="1" fontId="7" fillId="86" borderId="15" xfId="1508" applyNumberFormat="1" applyFont="1" applyFill="1" applyBorder="1" applyAlignment="1">
      <alignment horizontal="center"/>
    </xf>
    <xf numFmtId="1" fontId="7" fillId="86" borderId="15" xfId="1055" applyNumberFormat="1" applyFont="1" applyFill="1" applyBorder="1" applyAlignment="1">
      <alignment horizontal="center"/>
    </xf>
    <xf numFmtId="1" fontId="7" fillId="86" borderId="15" xfId="1119" applyNumberFormat="1" applyFont="1" applyFill="1" applyBorder="1" applyAlignment="1">
      <alignment horizontal="center"/>
    </xf>
    <xf numFmtId="0" fontId="6" fillId="92" borderId="169" xfId="0" applyFont="1" applyFill="1" applyBorder="1" applyAlignment="1" applyProtection="1">
      <alignment horizontal="center" vertical="center" wrapText="1"/>
    </xf>
    <xf numFmtId="0" fontId="7" fillId="0" borderId="15" xfId="1508" applyFont="1" applyFill="1" applyBorder="1" applyAlignment="1">
      <alignment horizontal="left"/>
    </xf>
    <xf numFmtId="2" fontId="54" fillId="0" borderId="15" xfId="1508" applyNumberFormat="1" applyFont="1" applyFill="1" applyBorder="1" applyAlignment="1">
      <alignment horizontal="center"/>
    </xf>
    <xf numFmtId="4" fontId="7" fillId="86" borderId="61" xfId="1740" applyNumberFormat="1" applyFont="1" applyFill="1" applyBorder="1" applyAlignment="1" applyProtection="1">
      <alignment horizontal="right"/>
      <protection locked="0"/>
    </xf>
    <xf numFmtId="4" fontId="7" fillId="86" borderId="43" xfId="0" applyNumberFormat="1" applyFont="1" applyFill="1" applyBorder="1" applyProtection="1">
      <protection locked="0"/>
    </xf>
    <xf numFmtId="4" fontId="7" fillId="86" borderId="67" xfId="1740" applyNumberFormat="1" applyFont="1" applyFill="1" applyBorder="1" applyAlignment="1" applyProtection="1">
      <alignment horizontal="right"/>
      <protection locked="0"/>
    </xf>
    <xf numFmtId="4" fontId="7" fillId="86" borderId="55" xfId="1740" applyNumberFormat="1" applyFont="1" applyFill="1" applyBorder="1" applyAlignment="1" applyProtection="1">
      <alignment horizontal="right"/>
      <protection locked="0"/>
    </xf>
    <xf numFmtId="4" fontId="7" fillId="86" borderId="108" xfId="0" applyNumberFormat="1" applyFont="1" applyFill="1" applyBorder="1" applyProtection="1">
      <protection locked="0"/>
    </xf>
    <xf numFmtId="4" fontId="7" fillId="86" borderId="43" xfId="0" quotePrefix="1" applyNumberFormat="1" applyFont="1" applyFill="1" applyBorder="1" applyProtection="1">
      <protection locked="0"/>
    </xf>
    <xf numFmtId="4" fontId="7" fillId="86" borderId="170" xfId="0" applyNumberFormat="1" applyFont="1" applyFill="1" applyBorder="1" applyProtection="1">
      <protection locked="0"/>
    </xf>
    <xf numFmtId="164" fontId="7" fillId="86" borderId="15" xfId="1046" applyFont="1" applyFill="1" applyBorder="1" applyAlignment="1">
      <alignment horizontal="center" vertical="center"/>
    </xf>
    <xf numFmtId="2" fontId="7" fillId="86" borderId="15" xfId="1508" applyNumberFormat="1" applyFont="1" applyFill="1" applyBorder="1" applyAlignment="1">
      <alignment horizontal="center" vertical="center"/>
    </xf>
    <xf numFmtId="2" fontId="7" fillId="86" borderId="15" xfId="1055" applyNumberFormat="1" applyFont="1" applyFill="1" applyBorder="1" applyAlignment="1">
      <alignment horizontal="center"/>
    </xf>
    <xf numFmtId="0" fontId="40" fillId="86" borderId="0" xfId="1508" applyFont="1" applyFill="1" applyAlignment="1">
      <alignment horizontal="left"/>
    </xf>
    <xf numFmtId="0" fontId="7" fillId="86" borderId="0" xfId="1508" applyFont="1" applyFill="1" applyAlignment="1">
      <alignment horizontal="center"/>
    </xf>
    <xf numFmtId="0" fontId="7" fillId="86" borderId="0" xfId="1508" applyFont="1" applyFill="1" applyAlignment="1">
      <alignment horizontal="center" vertical="center"/>
    </xf>
    <xf numFmtId="0" fontId="7" fillId="86" borderId="0" xfId="1508" applyFont="1" applyFill="1" applyBorder="1" applyAlignment="1">
      <alignment horizontal="center"/>
    </xf>
    <xf numFmtId="0" fontId="7" fillId="86" borderId="0" xfId="1508" applyFont="1" applyFill="1" applyAlignment="1">
      <alignment horizontal="left"/>
    </xf>
    <xf numFmtId="1" fontId="7" fillId="86" borderId="136" xfId="1508" applyNumberFormat="1" applyFont="1" applyFill="1" applyBorder="1" applyAlignment="1">
      <alignment horizontal="center"/>
    </xf>
    <xf numFmtId="0" fontId="6" fillId="92" borderId="171" xfId="0" applyFont="1" applyFill="1" applyBorder="1" applyAlignment="1" applyProtection="1">
      <alignment horizontal="center" vertical="center" wrapText="1"/>
    </xf>
    <xf numFmtId="1" fontId="7" fillId="0" borderId="135" xfId="1508" applyNumberFormat="1" applyFont="1" applyFill="1" applyBorder="1" applyAlignment="1">
      <alignment horizontal="center"/>
    </xf>
    <xf numFmtId="3" fontId="185" fillId="0" borderId="15" xfId="1508" applyNumberFormat="1" applyFont="1" applyBorder="1" applyAlignment="1">
      <alignment horizontal="center" vertical="center" wrapText="1"/>
    </xf>
    <xf numFmtId="168" fontId="185" fillId="0" borderId="114" xfId="1508" applyNumberFormat="1" applyFont="1" applyBorder="1" applyAlignment="1">
      <alignment horizontal="center" vertical="center" wrapText="1"/>
    </xf>
    <xf numFmtId="167" fontId="185" fillId="0" borderId="15" xfId="1508" applyNumberFormat="1" applyFont="1" applyBorder="1" applyAlignment="1">
      <alignment horizontal="center" vertical="center" wrapText="1"/>
    </xf>
    <xf numFmtId="3" fontId="185" fillId="0" borderId="114" xfId="1508" applyNumberFormat="1" applyFont="1" applyBorder="1" applyAlignment="1">
      <alignment horizontal="center" vertical="center" wrapText="1"/>
    </xf>
    <xf numFmtId="49" fontId="185" fillId="0" borderId="115" xfId="1508" applyNumberFormat="1" applyFont="1" applyBorder="1" applyAlignment="1">
      <alignment horizontal="center" vertical="center" wrapText="1"/>
    </xf>
    <xf numFmtId="10" fontId="185" fillId="0" borderId="15" xfId="1508" applyNumberFormat="1" applyFont="1" applyBorder="1" applyAlignment="1">
      <alignment horizontal="center" vertical="center" wrapText="1"/>
    </xf>
    <xf numFmtId="0" fontId="185" fillId="0" borderId="15" xfId="1508" applyFont="1" applyBorder="1" applyAlignment="1">
      <alignment horizontal="center" vertical="center" wrapText="1"/>
    </xf>
    <xf numFmtId="0" fontId="186" fillId="0" borderId="15" xfId="1508" applyFont="1" applyBorder="1" applyAlignment="1">
      <alignment horizontal="right" vertical="center" wrapText="1"/>
    </xf>
    <xf numFmtId="1" fontId="185" fillId="0" borderId="115" xfId="1508" applyNumberFormat="1" applyFont="1" applyBorder="1" applyAlignment="1">
      <alignment horizontal="center" vertical="center" wrapText="1"/>
    </xf>
    <xf numFmtId="3" fontId="185" fillId="0" borderId="116" xfId="1508" applyNumberFormat="1" applyFont="1" applyBorder="1" applyAlignment="1">
      <alignment horizontal="center" vertical="center" wrapText="1"/>
    </xf>
    <xf numFmtId="0" fontId="185" fillId="0" borderId="115" xfId="1508" applyNumberFormat="1" applyFont="1" applyBorder="1" applyAlignment="1">
      <alignment horizontal="center" vertical="center" wrapText="1"/>
    </xf>
    <xf numFmtId="49" fontId="185" fillId="0" borderId="119" xfId="1508" applyNumberFormat="1" applyFont="1" applyBorder="1" applyAlignment="1">
      <alignment horizontal="center" vertical="center" wrapText="1"/>
    </xf>
    <xf numFmtId="1" fontId="185" fillId="0" borderId="114" xfId="1508" applyNumberFormat="1" applyFont="1" applyBorder="1" applyAlignment="1">
      <alignment horizontal="center" vertical="center" wrapText="1"/>
    </xf>
    <xf numFmtId="0" fontId="185" fillId="0" borderId="119" xfId="1508" applyNumberFormat="1" applyFont="1" applyBorder="1" applyAlignment="1">
      <alignment horizontal="center" vertical="center" wrapText="1"/>
    </xf>
    <xf numFmtId="0" fontId="52" fillId="0" borderId="150" xfId="1676" applyFont="1" applyBorder="1"/>
    <xf numFmtId="0" fontId="52" fillId="0" borderId="172" xfId="1676" applyFont="1" applyBorder="1"/>
    <xf numFmtId="0" fontId="52" fillId="0" borderId="27" xfId="1676" applyFont="1" applyBorder="1" applyAlignment="1">
      <alignment wrapText="1"/>
    </xf>
    <xf numFmtId="0" fontId="52" fillId="0" borderId="172" xfId="1676" applyFont="1" applyBorder="1" applyAlignment="1">
      <alignment wrapText="1"/>
    </xf>
    <xf numFmtId="0" fontId="60" fillId="92" borderId="15" xfId="1676" applyFont="1" applyFill="1" applyBorder="1" applyAlignment="1">
      <alignment horizontal="center"/>
    </xf>
    <xf numFmtId="0" fontId="60" fillId="92" borderId="15" xfId="1676" applyFont="1" applyFill="1" applyBorder="1" applyAlignment="1">
      <alignment horizontal="center" vertical="center"/>
    </xf>
    <xf numFmtId="0" fontId="60" fillId="92" borderId="15" xfId="1676" applyFont="1" applyFill="1" applyBorder="1" applyAlignment="1">
      <alignment horizontal="center" vertical="top"/>
    </xf>
    <xf numFmtId="43" fontId="52" fillId="0" borderId="15" xfId="1676" applyNumberFormat="1" applyFont="1" applyBorder="1" applyAlignment="1">
      <alignment horizontal="center" vertical="center"/>
    </xf>
    <xf numFmtId="43" fontId="52" fillId="83" borderId="143" xfId="1676" applyNumberFormat="1" applyFont="1" applyFill="1" applyBorder="1" applyAlignment="1">
      <alignment horizontal="center" vertical="center"/>
    </xf>
    <xf numFmtId="43" fontId="7" fillId="0" borderId="15" xfId="1074" applyNumberFormat="1" applyFont="1" applyBorder="1" applyAlignment="1">
      <alignment horizontal="center" vertical="center"/>
    </xf>
    <xf numFmtId="174" fontId="7" fillId="0" borderId="0" xfId="1074" applyNumberFormat="1" applyFont="1" applyBorder="1"/>
    <xf numFmtId="174" fontId="7" fillId="0" borderId="141" xfId="1074" applyNumberFormat="1" applyFont="1" applyBorder="1"/>
    <xf numFmtId="174" fontId="7" fillId="0" borderId="173" xfId="1074" applyNumberFormat="1" applyFont="1" applyBorder="1"/>
    <xf numFmtId="1" fontId="7" fillId="0" borderId="127" xfId="1925" applyNumberFormat="1" applyFont="1" applyBorder="1"/>
    <xf numFmtId="1" fontId="7" fillId="0" borderId="143" xfId="1925" applyNumberFormat="1" applyFont="1" applyBorder="1"/>
    <xf numFmtId="0" fontId="36" fillId="92" borderId="15" xfId="1676" applyFont="1" applyFill="1" applyBorder="1" applyAlignment="1">
      <alignment horizontal="center" vertical="center"/>
    </xf>
    <xf numFmtId="0" fontId="152" fillId="0" borderId="27" xfId="1677" applyFont="1" applyBorder="1" applyProtection="1">
      <protection locked="0"/>
    </xf>
    <xf numFmtId="10" fontId="187" fillId="0" borderId="0" xfId="1924" applyNumberFormat="1" applyFont="1" applyBorder="1" applyProtection="1">
      <protection locked="0"/>
    </xf>
    <xf numFmtId="10" fontId="187" fillId="0" borderId="127" xfId="1924" applyNumberFormat="1" applyFont="1" applyBorder="1" applyProtection="1">
      <protection locked="0"/>
    </xf>
    <xf numFmtId="0" fontId="152" fillId="113" borderId="0" xfId="1677" applyFont="1" applyFill="1" applyBorder="1" applyProtection="1">
      <protection locked="0"/>
    </xf>
    <xf numFmtId="10" fontId="187" fillId="113" borderId="0" xfId="1924" applyNumberFormat="1" applyFont="1" applyFill="1" applyBorder="1" applyProtection="1">
      <protection locked="0"/>
    </xf>
    <xf numFmtId="0" fontId="152" fillId="0" borderId="140" xfId="1677" applyFont="1" applyBorder="1" applyProtection="1">
      <protection locked="0"/>
    </xf>
    <xf numFmtId="0" fontId="152" fillId="113" borderId="141" xfId="1677" applyFont="1" applyFill="1" applyBorder="1" applyProtection="1">
      <protection locked="0"/>
    </xf>
    <xf numFmtId="10" fontId="187" fillId="0" borderId="143" xfId="1924" applyNumberFormat="1" applyFont="1" applyBorder="1" applyProtection="1">
      <protection locked="0"/>
    </xf>
    <xf numFmtId="43" fontId="187" fillId="114" borderId="0" xfId="1073" applyNumberFormat="1" applyFont="1" applyFill="1" applyBorder="1" applyProtection="1">
      <protection locked="0"/>
    </xf>
    <xf numFmtId="43" fontId="187" fillId="113" borderId="0" xfId="1073" applyNumberFormat="1" applyFont="1" applyFill="1" applyBorder="1" applyProtection="1">
      <protection locked="0"/>
    </xf>
    <xf numFmtId="43" fontId="187" fillId="113" borderId="141" xfId="1073" applyNumberFormat="1" applyFont="1" applyFill="1" applyBorder="1" applyProtection="1">
      <protection locked="0"/>
    </xf>
    <xf numFmtId="174" fontId="7" fillId="114" borderId="0" xfId="1074" applyNumberFormat="1" applyFont="1" applyFill="1" applyBorder="1"/>
    <xf numFmtId="174" fontId="7" fillId="114" borderId="174" xfId="1074" applyNumberFormat="1" applyFont="1" applyFill="1" applyBorder="1"/>
    <xf numFmtId="174" fontId="7" fillId="114" borderId="175" xfId="1074" applyNumberFormat="1" applyFont="1" applyFill="1" applyBorder="1"/>
    <xf numFmtId="174" fontId="7" fillId="114" borderId="176" xfId="1074" applyNumberFormat="1" applyFont="1" applyFill="1" applyBorder="1"/>
    <xf numFmtId="0" fontId="60" fillId="114" borderId="15" xfId="1676" applyFont="1" applyFill="1" applyBorder="1" applyAlignment="1">
      <alignment horizontal="center" vertical="center" wrapText="1"/>
    </xf>
    <xf numFmtId="43" fontId="7" fillId="114" borderId="15" xfId="1099" applyFont="1" applyFill="1" applyBorder="1" applyAlignment="1">
      <alignment horizontal="center" vertical="center"/>
    </xf>
    <xf numFmtId="49" fontId="9" fillId="0" borderId="15" xfId="1508" applyNumberFormat="1" applyFont="1" applyBorder="1"/>
    <xf numFmtId="3" fontId="185" fillId="114" borderId="15" xfId="1508" applyNumberFormat="1" applyFont="1" applyFill="1" applyBorder="1" applyAlignment="1">
      <alignment horizontal="center" vertical="center" wrapText="1"/>
    </xf>
    <xf numFmtId="0" fontId="185" fillId="0" borderId="166" xfId="1046" applyNumberFormat="1" applyFont="1" applyFill="1" applyBorder="1" applyAlignment="1">
      <alignment horizontal="center" vertical="center" wrapText="1"/>
    </xf>
    <xf numFmtId="3" fontId="185" fillId="0" borderId="128" xfId="1508" applyNumberFormat="1" applyFont="1" applyFill="1" applyBorder="1" applyAlignment="1">
      <alignment horizontal="center" vertical="center" wrapText="1"/>
    </xf>
    <xf numFmtId="3" fontId="185" fillId="0" borderId="166" xfId="1508" applyNumberFormat="1" applyFont="1" applyFill="1" applyBorder="1" applyAlignment="1">
      <alignment horizontal="center" vertical="center" wrapText="1"/>
    </xf>
    <xf numFmtId="3" fontId="185" fillId="0" borderId="119" xfId="1508" applyNumberFormat="1" applyFont="1" applyFill="1" applyBorder="1" applyAlignment="1">
      <alignment horizontal="center" vertical="center" wrapText="1"/>
    </xf>
    <xf numFmtId="3" fontId="185" fillId="0" borderId="114" xfId="1508" applyNumberFormat="1" applyFont="1" applyFill="1" applyBorder="1" applyAlignment="1">
      <alignment horizontal="center" vertical="center" wrapText="1"/>
    </xf>
    <xf numFmtId="3" fontId="185" fillId="0" borderId="136" xfId="1508" applyNumberFormat="1" applyFont="1" applyFill="1" applyBorder="1" applyAlignment="1">
      <alignment horizontal="center" vertical="center" wrapText="1"/>
    </xf>
    <xf numFmtId="3" fontId="185" fillId="0" borderId="135" xfId="1508" applyNumberFormat="1" applyFont="1" applyFill="1" applyBorder="1" applyAlignment="1">
      <alignment horizontal="center" vertical="center" wrapText="1"/>
    </xf>
    <xf numFmtId="0" fontId="185" fillId="0" borderId="119" xfId="1046" applyNumberFormat="1" applyFont="1" applyFill="1" applyBorder="1" applyAlignment="1">
      <alignment horizontal="center" vertical="center" wrapText="1"/>
    </xf>
    <xf numFmtId="9" fontId="185" fillId="0" borderId="114" xfId="1893" applyFont="1" applyFill="1" applyBorder="1" applyAlignment="1">
      <alignment horizontal="center" vertical="center" wrapText="1"/>
    </xf>
    <xf numFmtId="4" fontId="58" fillId="0" borderId="121" xfId="1508" applyNumberFormat="1" applyFont="1" applyFill="1" applyBorder="1" applyAlignment="1">
      <alignment horizontal="center" vertical="center" wrapText="1"/>
    </xf>
    <xf numFmtId="4" fontId="58" fillId="0" borderId="15" xfId="1893" applyNumberFormat="1" applyFont="1" applyFill="1" applyBorder="1" applyAlignment="1">
      <alignment horizontal="center" vertical="center" wrapText="1"/>
    </xf>
    <xf numFmtId="4" fontId="54" fillId="0" borderId="15" xfId="1893" applyNumberFormat="1" applyFont="1" applyFill="1" applyBorder="1" applyAlignment="1">
      <alignment horizontal="center" vertical="center" wrapText="1"/>
    </xf>
    <xf numFmtId="4" fontId="58" fillId="0" borderId="122" xfId="1508" applyNumberFormat="1" applyFont="1" applyFill="1" applyBorder="1" applyAlignment="1">
      <alignment horizontal="center" vertical="center" wrapText="1"/>
    </xf>
    <xf numFmtId="4" fontId="58" fillId="0" borderId="114" xfId="1893" applyNumberFormat="1" applyFont="1" applyFill="1" applyBorder="1" applyAlignment="1">
      <alignment horizontal="center" vertical="center" wrapText="1"/>
    </xf>
    <xf numFmtId="4" fontId="54" fillId="0" borderId="114" xfId="1893" applyNumberFormat="1" applyFont="1" applyFill="1" applyBorder="1" applyAlignment="1">
      <alignment horizontal="center" vertical="center" wrapText="1"/>
    </xf>
    <xf numFmtId="4" fontId="68" fillId="0" borderId="113" xfId="1893" applyNumberFormat="1" applyFont="1" applyFill="1" applyBorder="1" applyAlignment="1">
      <alignment horizontal="center" vertical="center" wrapText="1"/>
    </xf>
    <xf numFmtId="4" fontId="185" fillId="0" borderId="15" xfId="1893" applyNumberFormat="1" applyFont="1" applyFill="1" applyBorder="1" applyAlignment="1">
      <alignment horizontal="center" vertical="center" wrapText="1"/>
    </xf>
    <xf numFmtId="2" fontId="17" fillId="0" borderId="55" xfId="0" applyNumberFormat="1" applyFont="1" applyFill="1" applyBorder="1" applyProtection="1">
      <protection locked="0"/>
    </xf>
    <xf numFmtId="169" fontId="7" fillId="86" borderId="15" xfId="1055" applyNumberFormat="1" applyFont="1" applyFill="1" applyBorder="1" applyAlignment="1">
      <alignment horizontal="center"/>
    </xf>
    <xf numFmtId="2" fontId="20" fillId="92" borderId="43" xfId="0" applyNumberFormat="1" applyFont="1" applyFill="1" applyBorder="1" applyProtection="1">
      <protection locked="0"/>
    </xf>
    <xf numFmtId="2" fontId="15" fillId="98" borderId="43" xfId="0" applyNumberFormat="1" applyFont="1" applyFill="1" applyBorder="1" applyProtection="1">
      <protection locked="0"/>
    </xf>
    <xf numFmtId="0" fontId="29" fillId="94" borderId="0" xfId="0" applyFont="1" applyFill="1" applyBorder="1" applyAlignment="1" applyProtection="1">
      <alignment horizontal="center" vertical="center" wrapText="1"/>
      <protection locked="0"/>
    </xf>
    <xf numFmtId="49" fontId="7" fillId="0" borderId="120" xfId="1508" applyNumberFormat="1" applyFont="1" applyBorder="1" applyAlignment="1">
      <alignment horizontal="center" vertical="center" wrapText="1"/>
    </xf>
    <xf numFmtId="3" fontId="7" fillId="0" borderId="121" xfId="1508" applyNumberFormat="1" applyFont="1" applyBorder="1" applyAlignment="1">
      <alignment horizontal="center" vertical="center" wrapText="1"/>
    </xf>
    <xf numFmtId="10" fontId="7" fillId="0" borderId="116" xfId="1508" applyNumberFormat="1" applyFont="1" applyBorder="1" applyAlignment="1">
      <alignment horizontal="center" vertical="center" wrapText="1"/>
    </xf>
    <xf numFmtId="3" fontId="7" fillId="0" borderId="116" xfId="1508" applyNumberFormat="1" applyFont="1" applyBorder="1" applyAlignment="1">
      <alignment horizontal="center" vertical="center" wrapText="1"/>
    </xf>
    <xf numFmtId="49" fontId="7" fillId="0" borderId="115" xfId="1508" applyNumberFormat="1" applyFont="1" applyBorder="1" applyAlignment="1">
      <alignment horizontal="center" vertical="center" wrapText="1"/>
    </xf>
    <xf numFmtId="3" fontId="7" fillId="0" borderId="15" xfId="1508" applyNumberFormat="1" applyFont="1" applyBorder="1" applyAlignment="1">
      <alignment horizontal="center" vertical="center" wrapText="1"/>
    </xf>
    <xf numFmtId="10" fontId="7" fillId="0" borderId="15" xfId="1508" applyNumberFormat="1" applyFont="1" applyBorder="1" applyAlignment="1">
      <alignment horizontal="center" vertical="center" wrapText="1"/>
    </xf>
    <xf numFmtId="49" fontId="7" fillId="0" borderId="119" xfId="1508" applyNumberFormat="1" applyFont="1" applyBorder="1" applyAlignment="1">
      <alignment horizontal="center" vertical="center" wrapText="1"/>
    </xf>
    <xf numFmtId="168" fontId="7" fillId="0" borderId="114" xfId="1508" applyNumberFormat="1" applyFont="1" applyBorder="1" applyAlignment="1">
      <alignment horizontal="center" vertical="center" wrapText="1"/>
    </xf>
    <xf numFmtId="3" fontId="7" fillId="0" borderId="114" xfId="1508" applyNumberFormat="1" applyFont="1" applyBorder="1" applyAlignment="1">
      <alignment horizontal="center" vertical="center" wrapText="1"/>
    </xf>
    <xf numFmtId="167" fontId="7" fillId="0" borderId="15" xfId="1508" applyNumberFormat="1" applyFont="1" applyBorder="1" applyAlignment="1">
      <alignment horizontal="center" vertical="center" wrapText="1"/>
    </xf>
    <xf numFmtId="3" fontId="7" fillId="0" borderId="177" xfId="1508" applyNumberFormat="1" applyFont="1" applyBorder="1" applyAlignment="1">
      <alignment horizontal="center" vertical="center" wrapText="1"/>
    </xf>
    <xf numFmtId="1" fontId="7" fillId="0" borderId="114" xfId="1508" applyNumberFormat="1" applyFont="1" applyBorder="1" applyAlignment="1">
      <alignment horizontal="center" vertical="center" wrapText="1"/>
    </xf>
    <xf numFmtId="10" fontId="187" fillId="0" borderId="125" xfId="1924" applyNumberFormat="1" applyFont="1" applyBorder="1" applyProtection="1">
      <protection locked="0"/>
    </xf>
    <xf numFmtId="10" fontId="60" fillId="0" borderId="178" xfId="1676" applyNumberFormat="1" applyFont="1" applyBorder="1"/>
    <xf numFmtId="43" fontId="187" fillId="0" borderId="174" xfId="1073" applyNumberFormat="1" applyFont="1" applyFill="1" applyBorder="1" applyProtection="1">
      <protection locked="0"/>
    </xf>
    <xf numFmtId="43" fontId="187" fillId="0" borderId="125" xfId="1073" applyNumberFormat="1" applyFont="1" applyFill="1" applyBorder="1" applyProtection="1">
      <protection locked="0"/>
    </xf>
    <xf numFmtId="49" fontId="49" fillId="0" borderId="119" xfId="1508" applyNumberFormat="1" applyFont="1" applyBorder="1" applyAlignment="1">
      <alignment horizontal="center" vertical="center" wrapText="1"/>
    </xf>
    <xf numFmtId="0" fontId="66" fillId="92" borderId="27" xfId="1508" applyFont="1" applyFill="1" applyBorder="1" applyAlignment="1">
      <alignment horizontal="left" vertical="center"/>
    </xf>
    <xf numFmtId="0" fontId="29" fillId="94" borderId="0" xfId="0" applyFont="1" applyFill="1" applyBorder="1" applyAlignment="1" applyProtection="1">
      <alignment horizontal="center" vertical="center"/>
      <protection locked="0"/>
    </xf>
    <xf numFmtId="2" fontId="20" fillId="115" borderId="108" xfId="0" applyNumberFormat="1" applyFont="1" applyFill="1" applyBorder="1" applyProtection="1">
      <protection locked="0"/>
    </xf>
    <xf numFmtId="2" fontId="20" fillId="115" borderId="43" xfId="0" applyNumberFormat="1" applyFont="1" applyFill="1" applyBorder="1" applyProtection="1">
      <protection locked="0"/>
    </xf>
    <xf numFmtId="0" fontId="58" fillId="0" borderId="15" xfId="1508" applyFont="1" applyBorder="1" applyAlignment="1">
      <alignment horizontal="center" vertical="center" wrapText="1"/>
    </xf>
    <xf numFmtId="0" fontId="67" fillId="0" borderId="15" xfId="1508" applyFont="1" applyBorder="1" applyAlignment="1">
      <alignment horizontal="center" vertical="center"/>
    </xf>
    <xf numFmtId="0" fontId="7" fillId="0" borderId="120" xfId="1508" applyFont="1" applyBorder="1" applyAlignment="1">
      <alignment horizontal="center"/>
    </xf>
    <xf numFmtId="0" fontId="7" fillId="0" borderId="121" xfId="1508" applyFont="1" applyBorder="1" applyAlignment="1">
      <alignment horizontal="center"/>
    </xf>
    <xf numFmtId="0" fontId="7" fillId="0" borderId="122" xfId="1508" applyFont="1" applyBorder="1" applyAlignment="1">
      <alignment horizontal="center"/>
    </xf>
    <xf numFmtId="0" fontId="58" fillId="0" borderId="119" xfId="1508" applyFont="1" applyBorder="1" applyAlignment="1">
      <alignment horizontal="center" vertical="center" wrapText="1"/>
    </xf>
    <xf numFmtId="49" fontId="49" fillId="0" borderId="118" xfId="1508" applyNumberFormat="1" applyFont="1" applyBorder="1" applyAlignment="1">
      <alignment horizontal="center" vertical="center" wrapText="1"/>
    </xf>
    <xf numFmtId="0" fontId="67" fillId="0" borderId="15" xfId="1508" applyFont="1" applyBorder="1" applyAlignment="1">
      <alignment horizontal="center" vertical="center" wrapText="1"/>
    </xf>
    <xf numFmtId="49" fontId="54" fillId="0" borderId="119" xfId="1508" applyNumberFormat="1" applyFont="1" applyBorder="1" applyAlignment="1">
      <alignment horizontal="center" vertical="center" wrapText="1"/>
    </xf>
    <xf numFmtId="0" fontId="58" fillId="0" borderId="15" xfId="1508" applyFont="1" applyBorder="1" applyAlignment="1">
      <alignment horizontal="left" vertical="center" wrapText="1"/>
    </xf>
    <xf numFmtId="0" fontId="35" fillId="0" borderId="115" xfId="1676" applyFont="1" applyBorder="1" applyAlignment="1">
      <alignment wrapText="1"/>
    </xf>
    <xf numFmtId="4" fontId="58" fillId="0" borderId="179" xfId="1508" applyNumberFormat="1" applyFont="1" applyFill="1" applyBorder="1" applyAlignment="1">
      <alignment horizontal="center" vertical="center" wrapText="1"/>
    </xf>
    <xf numFmtId="3" fontId="58" fillId="0" borderId="179" xfId="1508" applyNumberFormat="1" applyFont="1" applyFill="1" applyBorder="1" applyAlignment="1">
      <alignment horizontal="center" vertical="center" wrapText="1"/>
    </xf>
    <xf numFmtId="10" fontId="7" fillId="0" borderId="0" xfId="1831" applyNumberFormat="1" applyFont="1" applyBorder="1" applyAlignment="1">
      <alignment horizontal="center"/>
    </xf>
    <xf numFmtId="0" fontId="7" fillId="0" borderId="0" xfId="0" applyFont="1" applyAlignment="1">
      <alignment horizontal="center"/>
    </xf>
    <xf numFmtId="0" fontId="7" fillId="0" borderId="0" xfId="0" applyFont="1" applyAlignment="1">
      <alignment horizontal="center" wrapText="1"/>
    </xf>
    <xf numFmtId="3" fontId="153" fillId="0" borderId="0" xfId="0" applyNumberFormat="1" applyFont="1"/>
    <xf numFmtId="3" fontId="7" fillId="0" borderId="0" xfId="0" applyNumberFormat="1" applyFont="1" applyBorder="1"/>
    <xf numFmtId="3" fontId="7" fillId="0" borderId="0" xfId="0" applyNumberFormat="1" applyFont="1" applyAlignment="1">
      <alignment horizontal="center"/>
    </xf>
    <xf numFmtId="165" fontId="7" fillId="0" borderId="0" xfId="0" applyNumberFormat="1" applyFont="1" applyAlignment="1">
      <alignment horizontal="center"/>
    </xf>
    <xf numFmtId="170" fontId="153" fillId="0" borderId="180" xfId="0" applyNumberFormat="1" applyFont="1" applyBorder="1"/>
    <xf numFmtId="170" fontId="7" fillId="0" borderId="180" xfId="0" applyNumberFormat="1" applyFont="1" applyBorder="1"/>
    <xf numFmtId="170" fontId="7" fillId="0" borderId="180" xfId="0" applyNumberFormat="1" applyFont="1" applyBorder="1" applyAlignment="1">
      <alignment horizontal="center"/>
    </xf>
    <xf numFmtId="0" fontId="23" fillId="0" borderId="15" xfId="1508" applyFont="1" applyBorder="1" applyAlignment="1">
      <alignment vertical="center"/>
    </xf>
    <xf numFmtId="0" fontId="23" fillId="0" borderId="15" xfId="1508" applyFont="1" applyBorder="1" applyAlignment="1">
      <alignment horizontal="center" vertical="center"/>
    </xf>
    <xf numFmtId="0" fontId="23" fillId="0" borderId="15" xfId="1508" applyFont="1" applyBorder="1" applyAlignment="1">
      <alignment horizontal="center" vertical="center" wrapText="1"/>
    </xf>
    <xf numFmtId="0" fontId="23" fillId="0" borderId="15" xfId="1508" applyFont="1" applyFill="1" applyBorder="1" applyAlignment="1">
      <alignment horizontal="center" vertical="center"/>
    </xf>
    <xf numFmtId="0" fontId="3" fillId="0" borderId="15" xfId="1508" applyFont="1" applyBorder="1" applyAlignment="1">
      <alignment horizontal="center" vertical="center"/>
    </xf>
    <xf numFmtId="8" fontId="3" fillId="0" borderId="15" xfId="1508" applyNumberFormat="1" applyFont="1" applyFill="1" applyBorder="1" applyAlignment="1">
      <alignment horizontal="center" vertical="center"/>
    </xf>
    <xf numFmtId="0" fontId="3" fillId="0" borderId="15" xfId="1508" applyFont="1" applyBorder="1" applyAlignment="1">
      <alignment vertical="center"/>
    </xf>
    <xf numFmtId="0" fontId="3" fillId="0" borderId="15" xfId="1508" applyFont="1" applyBorder="1" applyAlignment="1">
      <alignment vertical="center" wrapText="1"/>
    </xf>
    <xf numFmtId="0" fontId="3" fillId="0" borderId="15" xfId="1508" applyFont="1" applyFill="1" applyBorder="1" applyAlignment="1">
      <alignment vertical="center"/>
    </xf>
    <xf numFmtId="3" fontId="3" fillId="0" borderId="15" xfId="1508" applyNumberFormat="1" applyFont="1" applyBorder="1" applyAlignment="1">
      <alignment horizontal="center" vertical="center"/>
    </xf>
    <xf numFmtId="1" fontId="3" fillId="0" borderId="15" xfId="1508" applyNumberFormat="1" applyFont="1" applyFill="1" applyBorder="1" applyAlignment="1">
      <alignment horizontal="center" vertical="center"/>
    </xf>
    <xf numFmtId="194" fontId="3" fillId="0" borderId="15" xfId="1508" applyNumberFormat="1" applyFont="1" applyFill="1" applyBorder="1" applyAlignment="1">
      <alignment horizontal="center" vertical="center"/>
    </xf>
    <xf numFmtId="0" fontId="3" fillId="116" borderId="15" xfId="1508" applyFont="1" applyFill="1" applyBorder="1" applyAlignment="1">
      <alignment horizontal="center" vertical="center"/>
    </xf>
    <xf numFmtId="195" fontId="3" fillId="116" borderId="15" xfId="1508" applyNumberFormat="1" applyFont="1" applyFill="1" applyBorder="1" applyAlignment="1">
      <alignment horizontal="center" vertical="center"/>
    </xf>
    <xf numFmtId="195" fontId="3" fillId="0" borderId="15" xfId="1508" applyNumberFormat="1" applyFont="1" applyFill="1" applyBorder="1" applyAlignment="1">
      <alignment horizontal="center" vertical="center"/>
    </xf>
    <xf numFmtId="0" fontId="3" fillId="116" borderId="15" xfId="1508" applyFont="1" applyFill="1" applyBorder="1" applyAlignment="1">
      <alignment vertical="center"/>
    </xf>
    <xf numFmtId="9" fontId="3" fillId="116" borderId="15" xfId="1508" applyNumberFormat="1" applyFont="1" applyFill="1" applyBorder="1" applyAlignment="1">
      <alignment horizontal="center" vertical="center"/>
    </xf>
    <xf numFmtId="9" fontId="3" fillId="0" borderId="15" xfId="1508" applyNumberFormat="1" applyFont="1" applyFill="1" applyBorder="1" applyAlignment="1">
      <alignment horizontal="center" vertical="center"/>
    </xf>
    <xf numFmtId="0" fontId="3" fillId="0" borderId="15" xfId="1508" applyFont="1" applyBorder="1"/>
    <xf numFmtId="3" fontId="23" fillId="0" borderId="15" xfId="1508" applyNumberFormat="1" applyFont="1" applyBorder="1" applyAlignment="1">
      <alignment horizontal="center" vertical="center"/>
    </xf>
    <xf numFmtId="0" fontId="23" fillId="115" borderId="15" xfId="1508" applyFont="1" applyFill="1" applyBorder="1" applyAlignment="1">
      <alignment horizontal="center" vertical="center"/>
    </xf>
    <xf numFmtId="195" fontId="23" fillId="116" borderId="15" xfId="1508" applyNumberFormat="1" applyFont="1" applyFill="1" applyBorder="1" applyAlignment="1">
      <alignment horizontal="center" vertical="center"/>
    </xf>
    <xf numFmtId="195" fontId="23" fillId="0" borderId="15" xfId="1508" applyNumberFormat="1" applyFont="1" applyFill="1" applyBorder="1" applyAlignment="1">
      <alignment horizontal="center" vertical="center"/>
    </xf>
    <xf numFmtId="8" fontId="3" fillId="114" borderId="15" xfId="1508" applyNumberFormat="1" applyFont="1" applyFill="1" applyBorder="1" applyAlignment="1">
      <alignment horizontal="center" vertical="center"/>
    </xf>
    <xf numFmtId="193" fontId="3" fillId="114" borderId="15" xfId="1508" applyNumberFormat="1" applyFont="1" applyFill="1" applyBorder="1" applyAlignment="1">
      <alignment horizontal="center" vertical="center"/>
    </xf>
    <xf numFmtId="3" fontId="3" fillId="0" borderId="15" xfId="1508" applyNumberFormat="1" applyFont="1" applyFill="1" applyBorder="1" applyAlignment="1">
      <alignment horizontal="center" vertical="center"/>
    </xf>
    <xf numFmtId="0" fontId="9" fillId="0" borderId="0" xfId="1512" applyFont="1" applyProtection="1">
      <protection locked="0"/>
    </xf>
    <xf numFmtId="0" fontId="13" fillId="0" borderId="0" xfId="1512" applyFont="1" applyAlignment="1" applyProtection="1">
      <alignment vertical="top"/>
      <protection locked="0"/>
    </xf>
    <xf numFmtId="0" fontId="13" fillId="114" borderId="0" xfId="1512" applyFont="1" applyFill="1" applyBorder="1" applyAlignment="1" applyProtection="1">
      <alignment vertical="top"/>
      <protection locked="0"/>
    </xf>
    <xf numFmtId="0" fontId="13" fillId="114" borderId="0" xfId="1512" applyFont="1" applyFill="1" applyAlignment="1" applyProtection="1">
      <alignment vertical="top"/>
      <protection locked="0"/>
    </xf>
    <xf numFmtId="0" fontId="13" fillId="0" borderId="0" xfId="1512" applyFont="1" applyAlignment="1" applyProtection="1">
      <alignment horizontal="right" vertical="top"/>
      <protection locked="0"/>
    </xf>
    <xf numFmtId="0" fontId="7" fillId="117" borderId="0" xfId="0" applyFont="1" applyFill="1"/>
    <xf numFmtId="0" fontId="7" fillId="0" borderId="215" xfId="0" applyFont="1" applyBorder="1"/>
    <xf numFmtId="0" fontId="9" fillId="0" borderId="215" xfId="0" applyFont="1" applyBorder="1"/>
    <xf numFmtId="0" fontId="9" fillId="0" borderId="150" xfId="0" applyFont="1" applyBorder="1"/>
    <xf numFmtId="0" fontId="9" fillId="0" borderId="0" xfId="0" applyFont="1" applyFill="1" applyBorder="1" applyAlignment="1">
      <alignment wrapText="1"/>
    </xf>
    <xf numFmtId="0" fontId="9" fillId="0" borderId="152" xfId="0" applyFont="1" applyFill="1" applyBorder="1"/>
    <xf numFmtId="0" fontId="9" fillId="0" borderId="216" xfId="0" applyFont="1" applyBorder="1" applyAlignment="1">
      <alignment horizontal="center" vertical="center" wrapText="1"/>
    </xf>
    <xf numFmtId="0" fontId="9" fillId="0" borderId="147" xfId="0" applyFont="1" applyBorder="1"/>
    <xf numFmtId="0" fontId="9" fillId="0" borderId="148" xfId="0" applyFont="1" applyFill="1" applyBorder="1" applyAlignment="1">
      <alignment horizontal="center"/>
    </xf>
    <xf numFmtId="0" fontId="9" fillId="0" borderId="126" xfId="0" applyFont="1" applyFill="1" applyBorder="1"/>
    <xf numFmtId="0" fontId="9" fillId="0" borderId="118" xfId="0" applyFont="1" applyBorder="1" applyAlignment="1">
      <alignment horizontal="center" vertical="center" wrapText="1"/>
    </xf>
    <xf numFmtId="0" fontId="9" fillId="0" borderId="148" xfId="0" applyFont="1" applyBorder="1" applyAlignment="1">
      <alignment horizontal="center" vertical="center" wrapText="1"/>
    </xf>
    <xf numFmtId="0" fontId="9" fillId="0" borderId="168" xfId="0" applyFont="1" applyBorder="1" applyAlignment="1">
      <alignment vertical="center" wrapText="1"/>
    </xf>
    <xf numFmtId="0" fontId="9" fillId="0" borderId="217" xfId="0" applyFont="1" applyBorder="1" applyAlignment="1">
      <alignment vertical="center" wrapText="1"/>
    </xf>
    <xf numFmtId="0" fontId="9" fillId="0" borderId="218" xfId="0" applyFont="1" applyBorder="1"/>
    <xf numFmtId="0" fontId="34" fillId="0" borderId="218" xfId="0" applyFont="1" applyBorder="1" applyAlignment="1">
      <alignment horizontal="center" vertical="center"/>
    </xf>
    <xf numFmtId="0" fontId="7" fillId="0" borderId="0" xfId="0" applyFont="1" applyFill="1" applyBorder="1" applyAlignment="1">
      <alignment horizontal="center" vertical="center"/>
    </xf>
    <xf numFmtId="174" fontId="7" fillId="0" borderId="0" xfId="1054" applyNumberFormat="1" applyFont="1" applyFill="1" applyBorder="1" applyAlignment="1">
      <alignment horizontal="center" vertical="center"/>
    </xf>
    <xf numFmtId="0" fontId="7" fillId="118" borderId="219" xfId="0" applyFont="1" applyFill="1" applyBorder="1" applyAlignment="1">
      <alignment horizontal="center" vertical="center"/>
    </xf>
    <xf numFmtId="0" fontId="7" fillId="114" borderId="0" xfId="0" applyFont="1" applyFill="1" applyBorder="1" applyAlignment="1">
      <alignment horizontal="center" vertical="center"/>
    </xf>
    <xf numFmtId="0" fontId="7" fillId="119" borderId="127" xfId="0" applyFont="1" applyFill="1" applyBorder="1" applyAlignment="1">
      <alignment horizontal="center" vertical="center"/>
    </xf>
    <xf numFmtId="0" fontId="9" fillId="0" borderId="216" xfId="0" applyFont="1" applyBorder="1"/>
    <xf numFmtId="0" fontId="34" fillId="0" borderId="216" xfId="0" applyFont="1" applyBorder="1" applyAlignment="1">
      <alignment horizontal="center" vertical="center"/>
    </xf>
    <xf numFmtId="0" fontId="7" fillId="0" borderId="148" xfId="0" applyFont="1" applyFill="1" applyBorder="1" applyAlignment="1">
      <alignment horizontal="center" vertical="center"/>
    </xf>
    <xf numFmtId="174" fontId="7" fillId="0" borderId="148" xfId="1054" applyNumberFormat="1" applyFont="1" applyFill="1" applyBorder="1" applyAlignment="1">
      <alignment horizontal="center" vertical="center"/>
    </xf>
    <xf numFmtId="0" fontId="9" fillId="0" borderId="211" xfId="0" applyFont="1" applyFill="1" applyBorder="1"/>
    <xf numFmtId="0" fontId="188" fillId="0" borderId="0" xfId="0" applyFont="1" applyFill="1"/>
    <xf numFmtId="0" fontId="155" fillId="0" borderId="0" xfId="0" applyFont="1" applyFill="1"/>
    <xf numFmtId="0" fontId="9" fillId="0" borderId="150" xfId="0" applyFont="1" applyFill="1" applyBorder="1" applyAlignment="1">
      <alignment horizontal="left" vertical="top"/>
    </xf>
    <xf numFmtId="0" fontId="7" fillId="0" borderId="151" xfId="0" applyFont="1" applyFill="1" applyBorder="1" applyAlignment="1">
      <alignment horizontal="center" vertical="center"/>
    </xf>
    <xf numFmtId="0" fontId="7" fillId="0" borderId="151" xfId="0" applyFont="1" applyFill="1" applyBorder="1" applyAlignment="1">
      <alignment horizontal="center" vertical="center" wrapText="1"/>
    </xf>
    <xf numFmtId="0" fontId="9" fillId="0" borderId="220" xfId="0" applyFont="1" applyBorder="1" applyAlignment="1">
      <alignment horizontal="center" vertical="center"/>
    </xf>
    <xf numFmtId="0" fontId="9" fillId="0" borderId="211" xfId="0" applyFont="1" applyBorder="1" applyAlignment="1">
      <alignment horizontal="center" vertical="center"/>
    </xf>
    <xf numFmtId="0" fontId="9" fillId="0" borderId="211" xfId="0" applyFont="1" applyBorder="1"/>
    <xf numFmtId="0" fontId="9" fillId="0" borderId="212" xfId="0" applyFont="1" applyBorder="1" applyAlignment="1">
      <alignment horizontal="center" vertical="center" wrapText="1"/>
    </xf>
    <xf numFmtId="0" fontId="155" fillId="0" borderId="27" xfId="0" applyFont="1" applyBorder="1"/>
    <xf numFmtId="0" fontId="189" fillId="0" borderId="0" xfId="0" applyFont="1" applyBorder="1" applyAlignment="1">
      <alignment horizontal="center" vertical="center"/>
    </xf>
    <xf numFmtId="0" fontId="155" fillId="0" borderId="147" xfId="0" applyFont="1" applyBorder="1"/>
    <xf numFmtId="0" fontId="155" fillId="0" borderId="148" xfId="0" applyFont="1" applyBorder="1" applyAlignment="1">
      <alignment horizontal="center" vertical="center"/>
    </xf>
    <xf numFmtId="0" fontId="9" fillId="0" borderId="0" xfId="0" applyFont="1" applyAlignment="1">
      <alignment horizontal="center" vertical="center"/>
    </xf>
    <xf numFmtId="0" fontId="9" fillId="0" borderId="0" xfId="0" applyFont="1"/>
    <xf numFmtId="0" fontId="9" fillId="0" borderId="27" xfId="0" applyFont="1" applyBorder="1"/>
    <xf numFmtId="0" fontId="9" fillId="0" borderId="127" xfId="0" applyFont="1" applyBorder="1" applyAlignment="1">
      <alignment horizontal="center"/>
    </xf>
    <xf numFmtId="0" fontId="9" fillId="0" borderId="118" xfId="0" applyFont="1" applyBorder="1"/>
    <xf numFmtId="0" fontId="9" fillId="0" borderId="163" xfId="0" applyFont="1" applyBorder="1" applyAlignment="1">
      <alignment horizontal="center" vertical="center" wrapText="1"/>
    </xf>
    <xf numFmtId="0" fontId="9" fillId="0" borderId="168" xfId="0" applyFont="1" applyBorder="1" applyAlignment="1">
      <alignment horizontal="center" vertical="center" wrapText="1"/>
    </xf>
    <xf numFmtId="0" fontId="9" fillId="0" borderId="217" xfId="0" applyFont="1" applyBorder="1" applyAlignment="1">
      <alignment horizontal="center" vertical="center" wrapText="1"/>
    </xf>
    <xf numFmtId="0" fontId="7" fillId="0" borderId="214" xfId="0" applyFont="1" applyFill="1" applyBorder="1" applyAlignment="1">
      <alignment horizontal="center" vertical="center"/>
    </xf>
    <xf numFmtId="174" fontId="7" fillId="114" borderId="0" xfId="1054" applyNumberFormat="1" applyFont="1" applyFill="1" applyBorder="1" applyAlignment="1">
      <alignment horizontal="center" vertical="center"/>
    </xf>
    <xf numFmtId="0" fontId="7" fillId="0" borderId="219" xfId="0" applyFont="1" applyBorder="1" applyAlignment="1">
      <alignment horizontal="center" vertical="center"/>
    </xf>
    <xf numFmtId="0" fontId="7" fillId="0" borderId="0" xfId="0" applyFont="1" applyBorder="1" applyAlignment="1">
      <alignment horizontal="center" vertical="center" wrapText="1"/>
    </xf>
    <xf numFmtId="0" fontId="7" fillId="0" borderId="219" xfId="0" applyFont="1" applyFill="1" applyBorder="1" applyAlignment="1">
      <alignment horizontal="center" vertical="center"/>
    </xf>
    <xf numFmtId="0" fontId="7" fillId="0" borderId="159" xfId="0" applyFont="1" applyFill="1" applyBorder="1" applyAlignment="1">
      <alignment horizontal="center" vertical="center"/>
    </xf>
    <xf numFmtId="174" fontId="7" fillId="114" borderId="148" xfId="1054" applyNumberFormat="1" applyFont="1" applyFill="1" applyBorder="1" applyAlignment="1">
      <alignment horizontal="center" vertical="center"/>
    </xf>
    <xf numFmtId="0" fontId="7" fillId="0" borderId="159" xfId="0" applyFont="1" applyBorder="1" applyAlignment="1">
      <alignment horizontal="center" vertical="center"/>
    </xf>
    <xf numFmtId="0" fontId="7" fillId="0" borderId="148" xfId="0" applyFont="1" applyBorder="1" applyAlignment="1">
      <alignment horizontal="center" vertical="center" wrapText="1"/>
    </xf>
    <xf numFmtId="0" fontId="9" fillId="0" borderId="151" xfId="0" applyFont="1" applyFill="1" applyBorder="1"/>
    <xf numFmtId="0" fontId="9" fillId="0" borderId="215" xfId="0" applyFont="1" applyFill="1" applyBorder="1" applyAlignment="1">
      <alignment horizontal="left" vertical="top"/>
    </xf>
    <xf numFmtId="0" fontId="9" fillId="0" borderId="210" xfId="0" applyFont="1" applyBorder="1" applyAlignment="1">
      <alignment horizontal="center" vertical="center"/>
    </xf>
    <xf numFmtId="0" fontId="34" fillId="0" borderId="0" xfId="0" quotePrefix="1" applyFont="1" applyBorder="1" applyAlignment="1">
      <alignment horizontal="center" vertical="center"/>
    </xf>
    <xf numFmtId="0" fontId="34" fillId="0" borderId="0" xfId="0" applyFont="1" applyBorder="1" applyAlignment="1">
      <alignment horizontal="center" vertical="center"/>
    </xf>
    <xf numFmtId="0" fontId="9" fillId="0" borderId="159" xfId="0" applyFont="1" applyBorder="1"/>
    <xf numFmtId="0" fontId="9" fillId="0" borderId="126" xfId="0" applyFont="1" applyBorder="1" applyAlignment="1">
      <alignment horizontal="center" vertical="center" wrapText="1"/>
    </xf>
    <xf numFmtId="173" fontId="7" fillId="114" borderId="0" xfId="1118" applyNumberFormat="1" applyFont="1" applyFill="1" applyBorder="1" applyAlignment="1">
      <alignment horizontal="center" vertical="center"/>
    </xf>
    <xf numFmtId="44" fontId="7" fillId="119" borderId="127" xfId="1118" applyFont="1" applyFill="1" applyBorder="1" applyAlignment="1">
      <alignment horizontal="center" vertical="center"/>
    </xf>
    <xf numFmtId="173" fontId="7" fillId="114" borderId="148" xfId="1118" applyNumberFormat="1" applyFont="1" applyFill="1" applyBorder="1" applyAlignment="1">
      <alignment horizontal="center" vertical="center"/>
    </xf>
    <xf numFmtId="0" fontId="9" fillId="0" borderId="218" xfId="0" applyFont="1" applyBorder="1" applyAlignment="1">
      <alignment horizontal="center" vertical="center"/>
    </xf>
    <xf numFmtId="0" fontId="9" fillId="0" borderId="215" xfId="0" applyFont="1" applyBorder="1" applyAlignment="1">
      <alignment horizontal="center" vertical="center"/>
    </xf>
    <xf numFmtId="0" fontId="34" fillId="0" borderId="150" xfId="0" applyFont="1" applyBorder="1" applyAlignment="1">
      <alignment horizontal="center" vertical="center"/>
    </xf>
    <xf numFmtId="0" fontId="34" fillId="0" borderId="27" xfId="0" applyFont="1" applyBorder="1" applyAlignment="1">
      <alignment horizontal="center" vertical="center"/>
    </xf>
    <xf numFmtId="3" fontId="7" fillId="114" borderId="0" xfId="0" applyNumberFormat="1" applyFont="1" applyFill="1" applyBorder="1" applyAlignment="1">
      <alignment horizontal="center" vertical="center"/>
    </xf>
    <xf numFmtId="0" fontId="7" fillId="0" borderId="0" xfId="0" applyFont="1" applyProtection="1">
      <protection locked="0"/>
    </xf>
    <xf numFmtId="0" fontId="32" fillId="0" borderId="0" xfId="0" applyFont="1" applyAlignment="1">
      <alignment horizontal="left" vertical="top" wrapText="1"/>
    </xf>
    <xf numFmtId="0" fontId="32" fillId="0" borderId="0" xfId="0" applyFont="1" applyAlignment="1">
      <alignment horizontal="left" vertical="top"/>
    </xf>
    <xf numFmtId="0" fontId="32" fillId="114" borderId="0" xfId="0" applyFont="1" applyFill="1" applyAlignment="1">
      <alignment horizontal="left" vertical="top"/>
    </xf>
    <xf numFmtId="0" fontId="32" fillId="0" borderId="0" xfId="0" applyFont="1" applyFill="1" applyAlignment="1">
      <alignment horizontal="left" vertical="top"/>
    </xf>
    <xf numFmtId="0" fontId="32" fillId="118" borderId="0" xfId="0" applyFont="1" applyFill="1" applyAlignment="1">
      <alignment horizontal="left" vertical="top"/>
    </xf>
    <xf numFmtId="0" fontId="32" fillId="119" borderId="0" xfId="0" applyFont="1" applyFill="1" applyAlignment="1">
      <alignment horizontal="left" vertical="top"/>
    </xf>
    <xf numFmtId="0" fontId="32" fillId="0" borderId="15" xfId="0" applyFont="1" applyBorder="1" applyAlignment="1">
      <alignment horizontal="left" vertical="top"/>
    </xf>
    <xf numFmtId="0" fontId="151" fillId="0" borderId="0" xfId="0" applyFont="1" applyFill="1" applyAlignment="1">
      <alignment horizontal="left" vertical="top"/>
    </xf>
    <xf numFmtId="0" fontId="32" fillId="0" borderId="148" xfId="0" applyFont="1" applyBorder="1" applyAlignment="1">
      <alignment horizontal="left" vertical="top"/>
    </xf>
    <xf numFmtId="0" fontId="7" fillId="0" borderId="216" xfId="0" applyFont="1" applyBorder="1"/>
    <xf numFmtId="0" fontId="7" fillId="0" borderId="27" xfId="0" applyFont="1" applyBorder="1"/>
    <xf numFmtId="0" fontId="7" fillId="0" borderId="0" xfId="0" applyFont="1" applyFill="1" applyBorder="1"/>
    <xf numFmtId="0" fontId="7" fillId="0" borderId="127" xfId="0" applyFont="1" applyFill="1" applyBorder="1"/>
    <xf numFmtId="0" fontId="7" fillId="119" borderId="127" xfId="0" applyFont="1" applyFill="1" applyBorder="1"/>
    <xf numFmtId="0" fontId="7" fillId="114" borderId="0" xfId="0" applyFont="1" applyFill="1" applyBorder="1"/>
    <xf numFmtId="0" fontId="7" fillId="0" borderId="147" xfId="0" applyFont="1" applyBorder="1"/>
    <xf numFmtId="0" fontId="7" fillId="0" borderId="148" xfId="0" applyFont="1" applyFill="1" applyBorder="1"/>
    <xf numFmtId="0" fontId="7" fillId="0" borderId="126" xfId="0" applyFont="1" applyFill="1" applyBorder="1"/>
    <xf numFmtId="0" fontId="7" fillId="114" borderId="148" xfId="0" applyFont="1" applyFill="1" applyBorder="1"/>
    <xf numFmtId="0" fontId="7" fillId="119" borderId="126" xfId="0" applyFont="1" applyFill="1" applyBorder="1"/>
    <xf numFmtId="0" fontId="7" fillId="0" borderId="211" xfId="0" applyFont="1" applyBorder="1"/>
    <xf numFmtId="0" fontId="7" fillId="0" borderId="0" xfId="0" applyFont="1" applyFill="1"/>
    <xf numFmtId="0" fontId="7" fillId="0" borderId="151" xfId="0" applyFont="1" applyBorder="1"/>
    <xf numFmtId="0" fontId="7" fillId="0" borderId="151" xfId="0" applyFont="1" applyFill="1" applyBorder="1"/>
    <xf numFmtId="0" fontId="7" fillId="0" borderId="152" xfId="0" applyFont="1" applyFill="1" applyBorder="1"/>
    <xf numFmtId="0" fontId="7" fillId="0" borderId="0" xfId="0" applyFont="1" applyBorder="1"/>
    <xf numFmtId="0" fontId="7" fillId="0" borderId="0" xfId="0" applyFont="1" applyFill="1" applyBorder="1" applyAlignment="1">
      <alignment horizontal="center"/>
    </xf>
    <xf numFmtId="0" fontId="7" fillId="119" borderId="0" xfId="0" applyFont="1" applyFill="1" applyBorder="1" applyAlignment="1">
      <alignment horizontal="center" vertical="center"/>
    </xf>
    <xf numFmtId="196" fontId="7" fillId="0" borderId="0" xfId="1838" applyNumberFormat="1" applyFont="1" applyFill="1" applyBorder="1" applyAlignment="1">
      <alignment horizontal="center"/>
    </xf>
    <xf numFmtId="196" fontId="7" fillId="0" borderId="0" xfId="1838" applyNumberFormat="1" applyFont="1" applyBorder="1" applyAlignment="1">
      <alignment horizontal="center" vertical="center"/>
    </xf>
    <xf numFmtId="196" fontId="7" fillId="0" borderId="127" xfId="1838" applyNumberFormat="1" applyFont="1" applyFill="1" applyBorder="1"/>
    <xf numFmtId="0" fontId="7" fillId="0" borderId="148" xfId="0" applyFont="1" applyBorder="1"/>
    <xf numFmtId="196" fontId="7" fillId="0" borderId="148" xfId="1838" applyNumberFormat="1" applyFont="1" applyFill="1" applyBorder="1" applyAlignment="1">
      <alignment horizontal="center"/>
    </xf>
    <xf numFmtId="0" fontId="7" fillId="0" borderId="148" xfId="0" applyFont="1" applyFill="1" applyBorder="1" applyAlignment="1">
      <alignment horizontal="center"/>
    </xf>
    <xf numFmtId="0" fontId="7" fillId="0" borderId="126" xfId="0" applyFont="1" applyBorder="1"/>
    <xf numFmtId="0" fontId="7" fillId="0" borderId="216" xfId="0" applyFont="1" applyBorder="1" applyAlignment="1">
      <alignment horizontal="center" vertical="center" wrapText="1"/>
    </xf>
    <xf numFmtId="196" fontId="7" fillId="0" borderId="148" xfId="1838" applyNumberFormat="1" applyFont="1" applyBorder="1" applyAlignment="1">
      <alignment horizontal="center" vertical="center"/>
    </xf>
    <xf numFmtId="196" fontId="7" fillId="0" borderId="126" xfId="1838" applyNumberFormat="1" applyFont="1" applyFill="1" applyBorder="1"/>
    <xf numFmtId="0" fontId="151" fillId="0" borderId="0" xfId="0" applyFont="1" applyAlignment="1">
      <alignment horizontal="left" vertical="top"/>
    </xf>
    <xf numFmtId="0" fontId="7" fillId="0" borderId="0" xfId="0" applyFont="1" applyFill="1" applyBorder="1" applyAlignment="1">
      <alignment horizontal="left" vertical="top"/>
    </xf>
    <xf numFmtId="0" fontId="7" fillId="118" borderId="220" xfId="0" applyFont="1" applyFill="1" applyBorder="1" applyAlignment="1"/>
    <xf numFmtId="0" fontId="7" fillId="0" borderId="0" xfId="0" applyFont="1" applyFill="1" applyBorder="1" applyAlignment="1"/>
    <xf numFmtId="0" fontId="7" fillId="0" borderId="218" xfId="0" applyFont="1" applyBorder="1"/>
    <xf numFmtId="0" fontId="7" fillId="0" borderId="213" xfId="0" applyFont="1" applyBorder="1"/>
    <xf numFmtId="0" fontId="7" fillId="0" borderId="221" xfId="0" applyFont="1" applyBorder="1"/>
    <xf numFmtId="0" fontId="7" fillId="0" borderId="152" xfId="0" applyFont="1" applyBorder="1"/>
    <xf numFmtId="0" fontId="7" fillId="119" borderId="0" xfId="0" applyFont="1" applyFill="1" applyBorder="1" applyAlignment="1">
      <alignment horizontal="center"/>
    </xf>
    <xf numFmtId="0" fontId="7" fillId="119" borderId="127" xfId="0" applyFont="1" applyFill="1" applyBorder="1" applyAlignment="1">
      <alignment horizontal="center"/>
    </xf>
    <xf numFmtId="0" fontId="7" fillId="0" borderId="127" xfId="0" applyFont="1" applyBorder="1"/>
    <xf numFmtId="0" fontId="7" fillId="119" borderId="0" xfId="0" applyFont="1" applyFill="1" applyBorder="1"/>
    <xf numFmtId="196" fontId="7" fillId="0" borderId="0" xfId="1838" applyNumberFormat="1" applyFont="1" applyBorder="1" applyAlignment="1">
      <alignment horizontal="center"/>
    </xf>
    <xf numFmtId="196" fontId="7" fillId="0" borderId="0" xfId="1838" applyNumberFormat="1" applyFont="1" applyBorder="1"/>
    <xf numFmtId="196" fontId="7" fillId="0" borderId="127" xfId="1838" applyNumberFormat="1" applyFont="1" applyFill="1" applyBorder="1" applyAlignment="1">
      <alignment horizontal="center"/>
    </xf>
    <xf numFmtId="0" fontId="7" fillId="0" borderId="147" xfId="0" applyFont="1" applyBorder="1" applyAlignment="1">
      <alignment horizontal="center" vertical="center" wrapText="1"/>
    </xf>
    <xf numFmtId="196" fontId="7" fillId="0" borderId="148" xfId="1838" applyNumberFormat="1" applyFont="1" applyBorder="1" applyAlignment="1">
      <alignment horizontal="center"/>
    </xf>
    <xf numFmtId="196" fontId="7" fillId="0" borderId="126" xfId="1838" applyNumberFormat="1" applyFont="1" applyFill="1" applyBorder="1" applyAlignment="1">
      <alignment horizontal="center" vertical="center"/>
    </xf>
    <xf numFmtId="196" fontId="7" fillId="0" borderId="148" xfId="1838" applyNumberFormat="1" applyFont="1" applyBorder="1"/>
    <xf numFmtId="0" fontId="7" fillId="119" borderId="152" xfId="0" applyFont="1" applyFill="1" applyBorder="1"/>
    <xf numFmtId="0" fontId="7" fillId="114" borderId="0" xfId="0" applyFont="1" applyFill="1" applyBorder="1" applyAlignment="1">
      <alignment horizontal="center"/>
    </xf>
    <xf numFmtId="0" fontId="7" fillId="114" borderId="148" xfId="0" applyFont="1" applyFill="1" applyBorder="1" applyAlignment="1">
      <alignment horizontal="center"/>
    </xf>
    <xf numFmtId="0" fontId="7" fillId="0" borderId="147" xfId="0" applyFont="1" applyBorder="1" applyAlignment="1">
      <alignment horizontal="center" vertical="center"/>
    </xf>
    <xf numFmtId="196" fontId="7" fillId="0" borderId="127" xfId="1838" applyNumberFormat="1" applyFont="1" applyFill="1" applyBorder="1" applyAlignment="1">
      <alignment horizontal="center" vertical="center"/>
    </xf>
    <xf numFmtId="0" fontId="7" fillId="114" borderId="148" xfId="0" applyFont="1" applyFill="1" applyBorder="1" applyAlignment="1">
      <alignment horizontal="center" vertical="center"/>
    </xf>
    <xf numFmtId="3" fontId="7" fillId="114" borderId="148" xfId="0" applyNumberFormat="1" applyFont="1" applyFill="1" applyBorder="1" applyAlignment="1">
      <alignment horizontal="center" vertical="center"/>
    </xf>
    <xf numFmtId="0" fontId="29" fillId="94" borderId="187" xfId="0" applyFont="1" applyFill="1" applyBorder="1" applyAlignment="1" applyProtection="1">
      <alignment horizontal="left" vertical="center" wrapText="1"/>
      <protection locked="0"/>
    </xf>
    <xf numFmtId="0" fontId="29" fillId="94" borderId="188" xfId="0" applyFont="1" applyFill="1" applyBorder="1" applyAlignment="1" applyProtection="1">
      <alignment horizontal="left" vertical="center" wrapText="1"/>
      <protection locked="0"/>
    </xf>
    <xf numFmtId="0" fontId="7" fillId="0" borderId="15" xfId="0" applyFont="1" applyBorder="1" applyAlignment="1">
      <alignment horizontal="center" vertical="center"/>
    </xf>
    <xf numFmtId="0" fontId="7" fillId="0" borderId="0" xfId="0" applyFont="1" applyAlignment="1">
      <alignment horizontal="center" vertical="center"/>
    </xf>
    <xf numFmtId="1" fontId="7" fillId="0" borderId="0" xfId="0" applyNumberFormat="1" applyFont="1" applyAlignment="1">
      <alignment horizontal="center" vertical="center"/>
    </xf>
    <xf numFmtId="3" fontId="185" fillId="0" borderId="120" xfId="1508" applyNumberFormat="1" applyFont="1" applyFill="1" applyBorder="1" applyAlignment="1">
      <alignment horizontal="center" vertical="center" wrapText="1"/>
    </xf>
    <xf numFmtId="1" fontId="7" fillId="0" borderId="0" xfId="1508" applyNumberFormat="1" applyFont="1" applyAlignment="1">
      <alignment horizontal="center"/>
    </xf>
    <xf numFmtId="1" fontId="6" fillId="92" borderId="15" xfId="0" applyNumberFormat="1" applyFont="1" applyFill="1" applyBorder="1" applyAlignment="1" applyProtection="1">
      <alignment horizontal="center" vertical="center" wrapText="1"/>
    </xf>
    <xf numFmtId="1" fontId="7" fillId="0" borderId="15" xfId="1055" applyNumberFormat="1" applyFont="1" applyFill="1" applyBorder="1" applyAlignment="1">
      <alignment horizontal="center"/>
    </xf>
    <xf numFmtId="1" fontId="7" fillId="86" borderId="0" xfId="1508" applyNumberFormat="1" applyFont="1" applyFill="1" applyAlignment="1">
      <alignment horizontal="center"/>
    </xf>
    <xf numFmtId="1" fontId="7" fillId="0" borderId="0" xfId="1508" applyNumberFormat="1" applyFont="1" applyFill="1" applyAlignment="1">
      <alignment horizontal="center"/>
    </xf>
    <xf numFmtId="169" fontId="7" fillId="0" borderId="15" xfId="0" applyNumberFormat="1" applyFont="1" applyBorder="1" applyAlignment="1">
      <alignment horizontal="center" vertical="center"/>
    </xf>
    <xf numFmtId="9" fontId="58" fillId="0" borderId="114" xfId="1893" applyNumberFormat="1" applyFont="1" applyFill="1" applyBorder="1" applyAlignment="1">
      <alignment horizontal="center" vertical="center" wrapText="1"/>
    </xf>
    <xf numFmtId="9" fontId="185" fillId="0" borderId="114" xfId="1893" applyNumberFormat="1" applyFont="1" applyFill="1" applyBorder="1" applyAlignment="1">
      <alignment horizontal="center" vertical="center" wrapText="1"/>
    </xf>
    <xf numFmtId="0" fontId="6" fillId="92" borderId="181" xfId="0" applyFont="1" applyFill="1" applyBorder="1" applyAlignment="1" applyProtection="1">
      <alignment horizontal="center" vertical="center" wrapText="1"/>
    </xf>
    <xf numFmtId="0" fontId="6" fillId="92" borderId="182" xfId="0" applyFont="1" applyFill="1" applyBorder="1" applyAlignment="1" applyProtection="1">
      <alignment horizontal="center" vertical="center" wrapText="1"/>
    </xf>
    <xf numFmtId="0" fontId="6" fillId="92" borderId="183" xfId="0" applyFont="1" applyFill="1" applyBorder="1" applyAlignment="1" applyProtection="1">
      <alignment horizontal="center" vertical="center" wrapText="1"/>
    </xf>
    <xf numFmtId="0" fontId="6" fillId="92" borderId="184" xfId="0" applyFont="1" applyFill="1" applyBorder="1" applyAlignment="1" applyProtection="1">
      <alignment horizontal="center" vertical="center" wrapText="1"/>
    </xf>
    <xf numFmtId="0" fontId="6" fillId="92" borderId="185" xfId="0" applyFont="1" applyFill="1" applyBorder="1" applyAlignment="1" applyProtection="1">
      <alignment horizontal="center" vertical="center" wrapText="1"/>
    </xf>
    <xf numFmtId="49" fontId="6" fillId="92" borderId="186" xfId="0" applyNumberFormat="1" applyFont="1" applyFill="1" applyBorder="1" applyAlignment="1" applyProtection="1">
      <alignment horizontal="center" vertical="center" wrapText="1"/>
    </xf>
    <xf numFmtId="0" fontId="6" fillId="92" borderId="186" xfId="0" applyFont="1" applyFill="1" applyBorder="1" applyAlignment="1" applyProtection="1">
      <alignment horizontal="center" vertical="center" wrapText="1"/>
    </xf>
    <xf numFmtId="49" fontId="7" fillId="86" borderId="135" xfId="1508" applyNumberFormat="1" applyFont="1" applyFill="1" applyBorder="1" applyAlignment="1">
      <alignment horizontal="left" wrapText="1"/>
    </xf>
    <xf numFmtId="49" fontId="7" fillId="86" borderId="136" xfId="1508" applyNumberFormat="1" applyFont="1" applyFill="1" applyBorder="1" applyAlignment="1">
      <alignment horizontal="left" wrapText="1"/>
    </xf>
    <xf numFmtId="0" fontId="29" fillId="94" borderId="123" xfId="0" applyFont="1" applyFill="1" applyBorder="1" applyAlignment="1" applyProtection="1">
      <alignment horizontal="center" vertical="center"/>
    </xf>
    <xf numFmtId="0" fontId="29" fillId="94" borderId="124" xfId="0" applyFont="1" applyFill="1" applyBorder="1" applyAlignment="1" applyProtection="1">
      <alignment horizontal="center" vertical="center"/>
    </xf>
    <xf numFmtId="0" fontId="29" fillId="94" borderId="133" xfId="0" applyFont="1" applyFill="1" applyBorder="1" applyAlignment="1" applyProtection="1">
      <alignment horizontal="left" vertical="center"/>
    </xf>
    <xf numFmtId="0" fontId="29" fillId="94" borderId="134" xfId="0" applyFont="1" applyFill="1" applyBorder="1" applyAlignment="1" applyProtection="1">
      <alignment horizontal="left" vertical="center"/>
    </xf>
    <xf numFmtId="0" fontId="23" fillId="86" borderId="135" xfId="1141" applyNumberFormat="1" applyFont="1" applyFill="1" applyBorder="1" applyAlignment="1">
      <alignment horizontal="left"/>
    </xf>
    <xf numFmtId="0" fontId="23" fillId="86" borderId="136" xfId="1141" applyNumberFormat="1" applyFont="1" applyFill="1" applyBorder="1" applyAlignment="1">
      <alignment horizontal="left"/>
    </xf>
    <xf numFmtId="0" fontId="23" fillId="86" borderId="135" xfId="1508" applyFont="1" applyFill="1" applyBorder="1" applyAlignment="1" applyProtection="1">
      <alignment horizontal="left" vertical="center"/>
    </xf>
    <xf numFmtId="0" fontId="23" fillId="86" borderId="136" xfId="1508" applyFont="1" applyFill="1" applyBorder="1" applyAlignment="1" applyProtection="1">
      <alignment horizontal="left" vertical="center"/>
    </xf>
    <xf numFmtId="0" fontId="29" fillId="94" borderId="187" xfId="0" applyFont="1" applyFill="1" applyBorder="1" applyAlignment="1" applyProtection="1">
      <alignment horizontal="center" vertical="center" wrapText="1"/>
      <protection locked="0"/>
    </xf>
    <xf numFmtId="0" fontId="29" fillId="94" borderId="188" xfId="0" applyFont="1" applyFill="1" applyBorder="1" applyAlignment="1" applyProtection="1">
      <alignment horizontal="center" vertical="center" wrapText="1"/>
      <protection locked="0"/>
    </xf>
    <xf numFmtId="0" fontId="29" fillId="94" borderId="189" xfId="0" applyFont="1" applyFill="1" applyBorder="1" applyAlignment="1" applyProtection="1">
      <alignment horizontal="center" vertical="center" wrapText="1"/>
      <protection locked="0"/>
    </xf>
    <xf numFmtId="0" fontId="28" fillId="94" borderId="190" xfId="0" applyFont="1" applyFill="1" applyBorder="1" applyAlignment="1" applyProtection="1">
      <alignment horizontal="center" vertical="center" wrapText="1"/>
      <protection locked="0"/>
    </xf>
    <xf numFmtId="0" fontId="28" fillId="94" borderId="191" xfId="0" applyFont="1" applyFill="1" applyBorder="1" applyAlignment="1" applyProtection="1">
      <alignment horizontal="center" vertical="center" wrapText="1"/>
      <protection locked="0"/>
    </xf>
    <xf numFmtId="0" fontId="29" fillId="94" borderId="57" xfId="0" applyFont="1" applyFill="1" applyBorder="1" applyAlignment="1" applyProtection="1">
      <alignment horizontal="center" vertical="center"/>
    </xf>
    <xf numFmtId="0" fontId="11" fillId="92" borderId="192" xfId="0" applyFont="1" applyFill="1" applyBorder="1" applyAlignment="1" applyProtection="1">
      <alignment horizontal="center" vertical="center" wrapText="1"/>
    </xf>
    <xf numFmtId="0" fontId="11" fillId="92" borderId="193" xfId="0" applyFont="1" applyFill="1" applyBorder="1" applyAlignment="1" applyProtection="1">
      <alignment horizontal="center" vertical="center" wrapText="1"/>
    </xf>
    <xf numFmtId="0" fontId="9" fillId="92" borderId="194" xfId="0" applyFont="1" applyFill="1" applyBorder="1" applyAlignment="1" applyProtection="1">
      <alignment horizontal="center" vertical="center"/>
    </xf>
    <xf numFmtId="0" fontId="9" fillId="92" borderId="89" xfId="0" applyFont="1" applyFill="1" applyBorder="1" applyAlignment="1" applyProtection="1">
      <alignment horizontal="center" vertical="center"/>
    </xf>
    <xf numFmtId="0" fontId="9" fillId="92" borderId="195" xfId="0" applyFont="1" applyFill="1" applyBorder="1" applyAlignment="1" applyProtection="1">
      <alignment horizontal="center" vertical="center"/>
    </xf>
    <xf numFmtId="0" fontId="9" fillId="92" borderId="196" xfId="0" applyFont="1" applyFill="1" applyBorder="1" applyAlignment="1" applyProtection="1">
      <alignment horizontal="center" vertical="center"/>
    </xf>
    <xf numFmtId="0" fontId="30" fillId="94" borderId="197" xfId="0" applyFont="1" applyFill="1" applyBorder="1" applyAlignment="1" applyProtection="1">
      <alignment horizontal="center" vertical="center" textRotation="90" wrapText="1"/>
    </xf>
    <xf numFmtId="0" fontId="30" fillId="94" borderId="198" xfId="0" applyFont="1" applyFill="1" applyBorder="1" applyAlignment="1" applyProtection="1">
      <alignment horizontal="center" vertical="center" textRotation="90" wrapText="1"/>
    </xf>
    <xf numFmtId="0" fontId="30" fillId="94" borderId="199" xfId="0" applyFont="1" applyFill="1" applyBorder="1" applyAlignment="1" applyProtection="1">
      <alignment horizontal="center" vertical="center" textRotation="90" wrapText="1"/>
    </xf>
    <xf numFmtId="0" fontId="6" fillId="92" borderId="77" xfId="0" applyFont="1" applyFill="1" applyBorder="1" applyAlignment="1" applyProtection="1">
      <alignment horizontal="center" wrapText="1"/>
    </xf>
    <xf numFmtId="0" fontId="6" fillId="92" borderId="81" xfId="0" applyFont="1" applyFill="1" applyBorder="1" applyAlignment="1" applyProtection="1">
      <alignment horizontal="center" wrapText="1"/>
    </xf>
    <xf numFmtId="0" fontId="29" fillId="94" borderId="123" xfId="0" applyFont="1" applyFill="1" applyBorder="1" applyAlignment="1" applyProtection="1">
      <alignment horizontal="left" vertical="center" indent="3"/>
    </xf>
    <xf numFmtId="0" fontId="29" fillId="94" borderId="124" xfId="0" applyFont="1" applyFill="1" applyBorder="1" applyAlignment="1" applyProtection="1">
      <alignment horizontal="left" vertical="center" indent="3"/>
    </xf>
    <xf numFmtId="0" fontId="6" fillId="92" borderId="75" xfId="0" applyFont="1" applyFill="1" applyBorder="1" applyAlignment="1" applyProtection="1">
      <alignment horizontal="center" wrapText="1"/>
    </xf>
    <xf numFmtId="0" fontId="6" fillId="92" borderId="79" xfId="0" applyFont="1" applyFill="1" applyBorder="1" applyAlignment="1" applyProtection="1">
      <alignment horizontal="center" wrapText="1"/>
    </xf>
    <xf numFmtId="0" fontId="29" fillId="94" borderId="47" xfId="0" applyFont="1" applyFill="1" applyBorder="1" applyAlignment="1" applyProtection="1">
      <alignment horizontal="center" vertical="center"/>
    </xf>
    <xf numFmtId="0" fontId="29" fillId="94" borderId="58" xfId="0" applyFont="1" applyFill="1" applyBorder="1" applyAlignment="1" applyProtection="1">
      <alignment horizontal="center" vertical="center"/>
    </xf>
    <xf numFmtId="0" fontId="29" fillId="94" borderId="200" xfId="0" applyFont="1" applyFill="1" applyBorder="1" applyAlignment="1" applyProtection="1">
      <alignment horizontal="center" vertical="center"/>
    </xf>
    <xf numFmtId="0" fontId="11" fillId="0" borderId="201" xfId="0" applyFont="1" applyFill="1" applyBorder="1" applyAlignment="1" applyProtection="1">
      <alignment horizontal="left" wrapText="1"/>
    </xf>
    <xf numFmtId="0" fontId="11" fillId="0" borderId="51" xfId="0" applyFont="1" applyFill="1" applyBorder="1" applyAlignment="1" applyProtection="1">
      <alignment horizontal="left" wrapText="1"/>
    </xf>
    <xf numFmtId="0" fontId="11" fillId="0" borderId="198" xfId="0" applyFont="1" applyFill="1" applyBorder="1" applyAlignment="1" applyProtection="1">
      <alignment horizontal="left" wrapText="1"/>
    </xf>
    <xf numFmtId="0" fontId="11" fillId="0" borderId="0" xfId="0" applyFont="1" applyFill="1" applyBorder="1" applyAlignment="1" applyProtection="1">
      <alignment horizontal="left" wrapText="1"/>
    </xf>
    <xf numFmtId="0" fontId="29" fillId="94" borderId="202" xfId="0" applyFont="1" applyFill="1" applyBorder="1" applyAlignment="1" applyProtection="1">
      <alignment horizontal="center" vertical="center"/>
    </xf>
    <xf numFmtId="0" fontId="29" fillId="94" borderId="203" xfId="0" applyFont="1" applyFill="1" applyBorder="1" applyAlignment="1" applyProtection="1">
      <alignment horizontal="center" vertical="center"/>
    </xf>
    <xf numFmtId="0" fontId="29" fillId="94" borderId="204" xfId="0" applyFont="1" applyFill="1" applyBorder="1" applyAlignment="1" applyProtection="1">
      <alignment horizontal="center" vertical="center"/>
    </xf>
    <xf numFmtId="0" fontId="29" fillId="94" borderId="205" xfId="0" applyFont="1" applyFill="1" applyBorder="1" applyAlignment="1" applyProtection="1">
      <alignment horizontal="left" vertical="center"/>
    </xf>
    <xf numFmtId="0" fontId="29" fillId="94" borderId="206" xfId="0" applyFont="1" applyFill="1" applyBorder="1" applyAlignment="1" applyProtection="1">
      <alignment horizontal="left" vertical="center"/>
    </xf>
    <xf numFmtId="0" fontId="29" fillId="94" borderId="207" xfId="0" applyFont="1" applyFill="1" applyBorder="1" applyAlignment="1" applyProtection="1">
      <alignment horizontal="center" vertical="center" wrapText="1"/>
      <protection locked="0"/>
    </xf>
    <xf numFmtId="0" fontId="29" fillId="94" borderId="208" xfId="0" applyFont="1" applyFill="1" applyBorder="1" applyAlignment="1" applyProtection="1">
      <alignment horizontal="center" vertical="center" wrapText="1"/>
      <protection locked="0"/>
    </xf>
    <xf numFmtId="0" fontId="29" fillId="94" borderId="209" xfId="0" applyFont="1" applyFill="1" applyBorder="1" applyAlignment="1" applyProtection="1">
      <alignment horizontal="center" vertical="center" wrapText="1"/>
      <protection locked="0"/>
    </xf>
    <xf numFmtId="0" fontId="147" fillId="0" borderId="121" xfId="1508" applyFont="1" applyBorder="1" applyAlignment="1">
      <alignment horizontal="center" vertical="center" wrapText="1"/>
    </xf>
    <xf numFmtId="0" fontId="147" fillId="0" borderId="15" xfId="1508" applyFont="1" applyBorder="1" applyAlignment="1">
      <alignment horizontal="center" vertical="center" wrapText="1"/>
    </xf>
    <xf numFmtId="0" fontId="66" fillId="92" borderId="27" xfId="1508" applyFont="1" applyFill="1" applyBorder="1" applyAlignment="1">
      <alignment horizontal="center" vertical="center"/>
    </xf>
    <xf numFmtId="0" fontId="66" fillId="92" borderId="0" xfId="1508" applyFont="1" applyFill="1" applyBorder="1" applyAlignment="1">
      <alignment horizontal="center" vertical="center"/>
    </xf>
    <xf numFmtId="0" fontId="66" fillId="92" borderId="127" xfId="1508" applyFont="1" applyFill="1" applyBorder="1" applyAlignment="1">
      <alignment horizontal="center" vertical="center"/>
    </xf>
    <xf numFmtId="49" fontId="29" fillId="94" borderId="27" xfId="0" applyNumberFormat="1" applyFont="1" applyFill="1" applyBorder="1" applyAlignment="1" applyProtection="1">
      <alignment horizontal="center" vertical="center" wrapText="1"/>
      <protection locked="0"/>
    </xf>
    <xf numFmtId="0" fontId="29" fillId="94" borderId="0" xfId="0" applyFont="1" applyFill="1" applyBorder="1" applyAlignment="1" applyProtection="1">
      <alignment horizontal="center" vertical="center" wrapText="1"/>
      <protection locked="0"/>
    </xf>
    <xf numFmtId="0" fontId="29" fillId="94" borderId="27" xfId="0" applyFont="1" applyFill="1" applyBorder="1" applyAlignment="1" applyProtection="1">
      <alignment horizontal="center" vertical="center" wrapText="1"/>
      <protection locked="0"/>
    </xf>
    <xf numFmtId="0" fontId="149" fillId="0" borderId="0" xfId="1512" applyFont="1" applyAlignment="1" applyProtection="1">
      <alignment horizontal="center"/>
      <protection locked="0"/>
    </xf>
    <xf numFmtId="0" fontId="149" fillId="0" borderId="0" xfId="1512" applyFont="1" applyAlignment="1" applyProtection="1">
      <alignment horizontal="center" vertical="top" wrapText="1"/>
      <protection locked="0"/>
    </xf>
    <xf numFmtId="0" fontId="7" fillId="117" borderId="0" xfId="0" applyFont="1" applyFill="1" applyAlignment="1">
      <alignment horizontal="left" vertical="top" wrapText="1"/>
    </xf>
    <xf numFmtId="0" fontId="32" fillId="117" borderId="0" xfId="0" applyFont="1" applyFill="1" applyAlignment="1">
      <alignment horizontal="left" vertical="top" wrapText="1"/>
    </xf>
    <xf numFmtId="0" fontId="32" fillId="0" borderId="0" xfId="0" applyFont="1" applyAlignment="1">
      <alignment horizontal="left" vertical="top"/>
    </xf>
    <xf numFmtId="0" fontId="9" fillId="0" borderId="207" xfId="0" applyFont="1" applyBorder="1" applyAlignment="1">
      <alignment horizontal="center" vertical="top" wrapText="1"/>
    </xf>
    <xf numFmtId="0" fontId="9" fillId="0" borderId="208" xfId="0" applyFont="1" applyBorder="1" applyAlignment="1">
      <alignment horizontal="center" vertical="top" wrapText="1"/>
    </xf>
    <xf numFmtId="0" fontId="9" fillId="0" borderId="209" xfId="0" applyFont="1" applyBorder="1" applyAlignment="1">
      <alignment horizontal="center" vertical="top" wrapText="1"/>
    </xf>
    <xf numFmtId="0" fontId="9" fillId="0" borderId="148" xfId="0" applyFont="1" applyFill="1" applyBorder="1" applyAlignment="1">
      <alignment horizontal="center"/>
    </xf>
    <xf numFmtId="0" fontId="9" fillId="0" borderId="211" xfId="0" applyFont="1" applyBorder="1" applyAlignment="1">
      <alignment horizontal="center" vertical="center"/>
    </xf>
    <xf numFmtId="0" fontId="7" fillId="114" borderId="210" xfId="0" applyFont="1" applyFill="1" applyBorder="1" applyAlignment="1">
      <alignment horizontal="left" vertical="top"/>
    </xf>
    <xf numFmtId="0" fontId="7" fillId="114" borderId="211" xfId="0" applyFont="1" applyFill="1" applyBorder="1" applyAlignment="1">
      <alignment horizontal="left" vertical="top"/>
    </xf>
    <xf numFmtId="0" fontId="7" fillId="114" borderId="212" xfId="0" applyFont="1" applyFill="1" applyBorder="1" applyAlignment="1">
      <alignment horizontal="left" vertical="top"/>
    </xf>
    <xf numFmtId="0" fontId="9" fillId="118" borderId="150" xfId="0" applyFont="1" applyFill="1" applyBorder="1" applyAlignment="1">
      <alignment horizontal="center" wrapText="1"/>
    </xf>
    <xf numFmtId="0" fontId="9" fillId="118" borderId="151" xfId="0" applyFont="1" applyFill="1" applyBorder="1" applyAlignment="1">
      <alignment horizontal="center" wrapText="1"/>
    </xf>
    <xf numFmtId="0" fontId="9" fillId="118" borderId="152" xfId="0" applyFont="1" applyFill="1" applyBorder="1" applyAlignment="1">
      <alignment horizontal="center" wrapText="1"/>
    </xf>
    <xf numFmtId="0" fontId="9" fillId="0" borderId="207" xfId="0" applyFont="1" applyBorder="1" applyAlignment="1">
      <alignment horizontal="center"/>
    </xf>
    <xf numFmtId="0" fontId="9" fillId="0" borderId="208" xfId="0" applyFont="1" applyBorder="1" applyAlignment="1">
      <alignment horizontal="center"/>
    </xf>
    <xf numFmtId="0" fontId="9" fillId="0" borderId="209" xfId="0" applyFont="1" applyBorder="1" applyAlignment="1">
      <alignment horizontal="center"/>
    </xf>
    <xf numFmtId="0" fontId="9" fillId="0" borderId="147" xfId="0" applyFont="1" applyBorder="1" applyAlignment="1">
      <alignment horizontal="center"/>
    </xf>
    <xf numFmtId="0" fontId="9" fillId="0" borderId="148" xfId="0" applyFont="1" applyBorder="1" applyAlignment="1">
      <alignment horizontal="center"/>
    </xf>
    <xf numFmtId="0" fontId="9" fillId="0" borderId="126" xfId="0" applyFont="1" applyBorder="1" applyAlignment="1">
      <alignment horizontal="center"/>
    </xf>
    <xf numFmtId="0" fontId="9" fillId="0" borderId="150" xfId="0" applyFont="1" applyFill="1" applyBorder="1" applyAlignment="1">
      <alignment horizontal="center" wrapText="1"/>
    </xf>
    <xf numFmtId="0" fontId="9" fillId="0" borderId="151" xfId="0" applyFont="1" applyFill="1" applyBorder="1" applyAlignment="1">
      <alignment horizontal="center" wrapText="1"/>
    </xf>
    <xf numFmtId="0" fontId="9" fillId="0" borderId="152" xfId="0" applyFont="1" applyFill="1" applyBorder="1" applyAlignment="1">
      <alignment horizontal="center" wrapText="1"/>
    </xf>
    <xf numFmtId="0" fontId="29" fillId="94" borderId="125" xfId="0" applyFont="1" applyFill="1" applyBorder="1" applyAlignment="1" applyProtection="1">
      <alignment horizontal="center" vertical="center" wrapText="1"/>
      <protection locked="0"/>
    </xf>
    <xf numFmtId="0" fontId="60" fillId="92" borderId="150" xfId="1676" applyFont="1" applyFill="1" applyBorder="1" applyAlignment="1">
      <alignment horizontal="center"/>
    </xf>
    <xf numFmtId="0" fontId="60" fillId="92" borderId="151" xfId="1676" applyFont="1" applyFill="1" applyBorder="1" applyAlignment="1">
      <alignment horizontal="center"/>
    </xf>
    <xf numFmtId="0" fontId="60" fillId="92" borderId="152" xfId="1676" applyFont="1" applyFill="1" applyBorder="1" applyAlignment="1">
      <alignment horizontal="center"/>
    </xf>
    <xf numFmtId="175" fontId="7" fillId="114" borderId="27" xfId="1074" applyNumberFormat="1" applyFont="1" applyFill="1" applyBorder="1" applyAlignment="1">
      <alignment horizontal="center"/>
    </xf>
    <xf numFmtId="175" fontId="7" fillId="114" borderId="0" xfId="1074" applyNumberFormat="1" applyFont="1" applyFill="1" applyBorder="1" applyAlignment="1">
      <alignment horizontal="center"/>
    </xf>
    <xf numFmtId="175" fontId="7" fillId="114" borderId="127" xfId="1074" applyNumberFormat="1" applyFont="1" applyFill="1" applyBorder="1" applyAlignment="1">
      <alignment horizontal="center"/>
    </xf>
    <xf numFmtId="0" fontId="60" fillId="92" borderId="153" xfId="1676" applyFont="1" applyFill="1" applyBorder="1" applyAlignment="1">
      <alignment horizontal="center" vertical="center"/>
    </xf>
    <xf numFmtId="0" fontId="60" fillId="92" borderId="128" xfId="1676" applyFont="1" applyFill="1" applyBorder="1" applyAlignment="1">
      <alignment horizontal="center" vertical="center"/>
    </xf>
    <xf numFmtId="0" fontId="60" fillId="92" borderId="129" xfId="1676" applyFont="1" applyFill="1" applyBorder="1" applyAlignment="1">
      <alignment horizontal="center" vertical="center"/>
    </xf>
    <xf numFmtId="0" fontId="29" fillId="94" borderId="210" xfId="0" applyFont="1" applyFill="1" applyBorder="1" applyAlignment="1" applyProtection="1">
      <alignment horizontal="center" vertical="center" wrapText="1"/>
      <protection locked="0"/>
    </xf>
    <xf numFmtId="0" fontId="29" fillId="94" borderId="211" xfId="0" applyFont="1" applyFill="1" applyBorder="1" applyAlignment="1" applyProtection="1">
      <alignment horizontal="center" vertical="center" wrapText="1"/>
      <protection locked="0"/>
    </xf>
    <xf numFmtId="0" fontId="60" fillId="0" borderId="148" xfId="1676" applyFont="1" applyBorder="1" applyAlignment="1">
      <alignment horizontal="left" vertical="top" wrapText="1"/>
    </xf>
    <xf numFmtId="175" fontId="7" fillId="114" borderId="27" xfId="1074" applyNumberFormat="1" applyFont="1" applyFill="1" applyBorder="1" applyAlignment="1">
      <alignment horizontal="center" vertical="top"/>
    </xf>
    <xf numFmtId="175" fontId="7" fillId="114" borderId="0" xfId="1074" applyNumberFormat="1" applyFont="1" applyFill="1" applyBorder="1" applyAlignment="1">
      <alignment horizontal="center" vertical="top"/>
    </xf>
    <xf numFmtId="175" fontId="7" fillId="114" borderId="127" xfId="1074" applyNumberFormat="1" applyFont="1" applyFill="1" applyBorder="1" applyAlignment="1">
      <alignment horizontal="center" vertical="top"/>
    </xf>
    <xf numFmtId="0" fontId="29" fillId="94" borderId="212" xfId="0" applyFont="1" applyFill="1" applyBorder="1" applyAlignment="1" applyProtection="1">
      <alignment horizontal="center" vertical="center" wrapText="1"/>
      <protection locked="0"/>
    </xf>
    <xf numFmtId="0" fontId="60" fillId="83" borderId="150" xfId="1676" applyFont="1" applyFill="1" applyBorder="1" applyAlignment="1">
      <alignment horizontal="center" vertical="top"/>
    </xf>
    <xf numFmtId="0" fontId="60" fillId="83" borderId="151" xfId="1676" applyFont="1" applyFill="1" applyBorder="1" applyAlignment="1">
      <alignment horizontal="center" vertical="top"/>
    </xf>
    <xf numFmtId="0" fontId="60" fillId="83" borderId="152" xfId="1676" applyFont="1" applyFill="1" applyBorder="1" applyAlignment="1">
      <alignment horizontal="center" vertical="top"/>
    </xf>
    <xf numFmtId="0" fontId="29" fillId="94" borderId="198" xfId="0" applyFont="1" applyFill="1" applyBorder="1" applyAlignment="1" applyProtection="1">
      <alignment horizontal="center" vertical="center"/>
      <protection locked="0"/>
    </xf>
    <xf numFmtId="0" fontId="29" fillId="94" borderId="0" xfId="0" applyFont="1" applyFill="1" applyBorder="1" applyAlignment="1" applyProtection="1">
      <alignment horizontal="center" vertical="center"/>
      <protection locked="0"/>
    </xf>
    <xf numFmtId="0" fontId="29" fillId="94" borderId="198" xfId="0" applyFont="1" applyFill="1" applyBorder="1" applyAlignment="1" applyProtection="1">
      <alignment horizontal="center" vertical="center" wrapText="1"/>
      <protection locked="0"/>
    </xf>
    <xf numFmtId="0" fontId="29" fillId="94" borderId="213" xfId="0" applyFont="1" applyFill="1" applyBorder="1" applyAlignment="1" applyProtection="1">
      <alignment horizontal="center" vertical="center" wrapText="1"/>
      <protection locked="0"/>
    </xf>
    <xf numFmtId="0" fontId="69" fillId="0" borderId="0" xfId="1508" applyFont="1" applyBorder="1" applyAlignment="1">
      <alignment horizontal="left" vertical="center"/>
    </xf>
    <xf numFmtId="0" fontId="29" fillId="94" borderId="150" xfId="0" applyFont="1" applyFill="1" applyBorder="1" applyAlignment="1" applyProtection="1">
      <alignment horizontal="center" vertical="center" wrapText="1"/>
      <protection locked="0"/>
    </xf>
    <xf numFmtId="0" fontId="29" fillId="94" borderId="151" xfId="0" applyFont="1" applyFill="1" applyBorder="1" applyAlignment="1" applyProtection="1">
      <alignment horizontal="center" vertical="center" wrapText="1"/>
      <protection locked="0"/>
    </xf>
    <xf numFmtId="0" fontId="29" fillId="94" borderId="152" xfId="0" applyFont="1" applyFill="1" applyBorder="1" applyAlignment="1" applyProtection="1">
      <alignment horizontal="center" vertical="center" wrapText="1"/>
      <protection locked="0"/>
    </xf>
    <xf numFmtId="0" fontId="9" fillId="92" borderId="120" xfId="0" applyFont="1" applyFill="1" applyBorder="1" applyAlignment="1" applyProtection="1">
      <alignment horizontal="center"/>
      <protection locked="0"/>
    </xf>
    <xf numFmtId="0" fontId="9" fillId="92" borderId="122" xfId="0" applyFont="1" applyFill="1" applyBorder="1" applyAlignment="1" applyProtection="1">
      <alignment horizontal="center"/>
      <protection locked="0"/>
    </xf>
    <xf numFmtId="0" fontId="9" fillId="92" borderId="136" xfId="0" applyFont="1" applyFill="1" applyBorder="1" applyAlignment="1" applyProtection="1">
      <alignment horizontal="center"/>
      <protection locked="0"/>
    </xf>
    <xf numFmtId="0" fontId="9" fillId="92" borderId="135" xfId="0" applyFont="1" applyFill="1" applyBorder="1" applyAlignment="1" applyProtection="1">
      <alignment horizontal="center"/>
      <protection locked="0"/>
    </xf>
    <xf numFmtId="0" fontId="56" fillId="0" borderId="0" xfId="1508" applyFont="1" applyBorder="1" applyAlignment="1">
      <alignment horizontal="center" vertical="center"/>
    </xf>
    <xf numFmtId="0" fontId="35" fillId="0" borderId="154" xfId="1676" applyFont="1" applyBorder="1" applyAlignment="1">
      <alignment wrapText="1"/>
    </xf>
  </cellXfs>
  <cellStyles count="2103">
    <cellStyle name="$" xfId="1" xr:uid="{00000000-0005-0000-0000-000000000000}"/>
    <cellStyle name="$ 2" xfId="2" xr:uid="{00000000-0005-0000-0000-000001000000}"/>
    <cellStyle name="$ 2 2" xfId="3" xr:uid="{00000000-0005-0000-0000-000002000000}"/>
    <cellStyle name="$ 3" xfId="4" xr:uid="{00000000-0005-0000-0000-000003000000}"/>
    <cellStyle name="$.00" xfId="5" xr:uid="{00000000-0005-0000-0000-000004000000}"/>
    <cellStyle name="$.00 2" xfId="6" xr:uid="{00000000-0005-0000-0000-000005000000}"/>
    <cellStyle name="$.00 2 2" xfId="7" xr:uid="{00000000-0005-0000-0000-000006000000}"/>
    <cellStyle name="$.00 3" xfId="8" xr:uid="{00000000-0005-0000-0000-000007000000}"/>
    <cellStyle name="$_9. Rev2Cost_GDPIPI" xfId="9" xr:uid="{00000000-0005-0000-0000-000008000000}"/>
    <cellStyle name="$_9. Rev2Cost_GDPIPI 2" xfId="10" xr:uid="{00000000-0005-0000-0000-000009000000}"/>
    <cellStyle name="$_9. Rev2Cost_GDPIPI 2 2" xfId="11" xr:uid="{00000000-0005-0000-0000-00000A000000}"/>
    <cellStyle name="$_9. Rev2Cost_GDPIPI 3" xfId="12" xr:uid="{00000000-0005-0000-0000-00000B000000}"/>
    <cellStyle name="$_lists" xfId="13" xr:uid="{00000000-0005-0000-0000-00000C000000}"/>
    <cellStyle name="$_lists 2" xfId="14" xr:uid="{00000000-0005-0000-0000-00000D000000}"/>
    <cellStyle name="$_lists 2 2" xfId="15" xr:uid="{00000000-0005-0000-0000-00000E000000}"/>
    <cellStyle name="$_lists 3" xfId="16" xr:uid="{00000000-0005-0000-0000-00000F000000}"/>
    <cellStyle name="$_lists_4. Current Monthly Fixed Charge" xfId="17" xr:uid="{00000000-0005-0000-0000-000010000000}"/>
    <cellStyle name="$_lists_4. Current Monthly Fixed Charge 2" xfId="18" xr:uid="{00000000-0005-0000-0000-000011000000}"/>
    <cellStyle name="$_lists_4. Current Monthly Fixed Charge 2 2" xfId="19" xr:uid="{00000000-0005-0000-0000-000012000000}"/>
    <cellStyle name="$_lists_4. Current Monthly Fixed Charge 3" xfId="20" xr:uid="{00000000-0005-0000-0000-000013000000}"/>
    <cellStyle name="$_Sheet4" xfId="21" xr:uid="{00000000-0005-0000-0000-000014000000}"/>
    <cellStyle name="$_Sheet4 2" xfId="22" xr:uid="{00000000-0005-0000-0000-000015000000}"/>
    <cellStyle name="$_Sheet4 2 2" xfId="23" xr:uid="{00000000-0005-0000-0000-000016000000}"/>
    <cellStyle name="$_Sheet4 3" xfId="24" xr:uid="{00000000-0005-0000-0000-000017000000}"/>
    <cellStyle name="$M" xfId="25" xr:uid="{00000000-0005-0000-0000-000018000000}"/>
    <cellStyle name="$M 2" xfId="26" xr:uid="{00000000-0005-0000-0000-000019000000}"/>
    <cellStyle name="$M 2 2" xfId="27" xr:uid="{00000000-0005-0000-0000-00001A000000}"/>
    <cellStyle name="$M 2 3" xfId="28" xr:uid="{00000000-0005-0000-0000-00001B000000}"/>
    <cellStyle name="$M 3" xfId="29" xr:uid="{00000000-0005-0000-0000-00001C000000}"/>
    <cellStyle name="$M 3 2" xfId="30" xr:uid="{00000000-0005-0000-0000-00001D000000}"/>
    <cellStyle name="$M.00" xfId="31" xr:uid="{00000000-0005-0000-0000-00001E000000}"/>
    <cellStyle name="$M.00 2" xfId="32" xr:uid="{00000000-0005-0000-0000-00001F000000}"/>
    <cellStyle name="$M.00 2 2" xfId="33" xr:uid="{00000000-0005-0000-0000-000020000000}"/>
    <cellStyle name="$M.00 3" xfId="34" xr:uid="{00000000-0005-0000-0000-000021000000}"/>
    <cellStyle name="$M_9. Rev2Cost_GDPIPI" xfId="35" xr:uid="{00000000-0005-0000-0000-000022000000}"/>
    <cellStyle name="20% - Accent1 10" xfId="36" xr:uid="{00000000-0005-0000-0000-000023000000}"/>
    <cellStyle name="20% - Accent1 11" xfId="37" xr:uid="{00000000-0005-0000-0000-000024000000}"/>
    <cellStyle name="20% - Accent1 12" xfId="38" xr:uid="{00000000-0005-0000-0000-000025000000}"/>
    <cellStyle name="20% - Accent1 13" xfId="39" xr:uid="{00000000-0005-0000-0000-000026000000}"/>
    <cellStyle name="20% - Accent1 14" xfId="40" xr:uid="{00000000-0005-0000-0000-000027000000}"/>
    <cellStyle name="20% - Accent1 15" xfId="41" xr:uid="{00000000-0005-0000-0000-000028000000}"/>
    <cellStyle name="20% - Accent1 2" xfId="42" xr:uid="{00000000-0005-0000-0000-000029000000}"/>
    <cellStyle name="20% - Accent1 2 10" xfId="43" xr:uid="{00000000-0005-0000-0000-00002A000000}"/>
    <cellStyle name="20% - Accent1 2 11" xfId="44" xr:uid="{00000000-0005-0000-0000-00002B000000}"/>
    <cellStyle name="20% - Accent1 2 2" xfId="45" xr:uid="{00000000-0005-0000-0000-00002C000000}"/>
    <cellStyle name="20% - Accent1 2 2 2" xfId="46" xr:uid="{00000000-0005-0000-0000-00002D000000}"/>
    <cellStyle name="20% - Accent1 2 3" xfId="47" xr:uid="{00000000-0005-0000-0000-00002E000000}"/>
    <cellStyle name="20% - Accent1 2 3 2" xfId="48" xr:uid="{00000000-0005-0000-0000-00002F000000}"/>
    <cellStyle name="20% - Accent1 2 3 2 2" xfId="49" xr:uid="{00000000-0005-0000-0000-000030000000}"/>
    <cellStyle name="20% - Accent1 2 3 2 2 2" xfId="50" xr:uid="{00000000-0005-0000-0000-000031000000}"/>
    <cellStyle name="20% - Accent1 2 3 2 2 3" xfId="51" xr:uid="{00000000-0005-0000-0000-000032000000}"/>
    <cellStyle name="20% - Accent1 2 3 2 3" xfId="52" xr:uid="{00000000-0005-0000-0000-000033000000}"/>
    <cellStyle name="20% - Accent1 2 3 2 4" xfId="53" xr:uid="{00000000-0005-0000-0000-000034000000}"/>
    <cellStyle name="20% - Accent1 2 3 3" xfId="54" xr:uid="{00000000-0005-0000-0000-000035000000}"/>
    <cellStyle name="20% - Accent1 2 3 3 2" xfId="55" xr:uid="{00000000-0005-0000-0000-000036000000}"/>
    <cellStyle name="20% - Accent1 2 3 3 3" xfId="56" xr:uid="{00000000-0005-0000-0000-000037000000}"/>
    <cellStyle name="20% - Accent1 2 3 4" xfId="57" xr:uid="{00000000-0005-0000-0000-000038000000}"/>
    <cellStyle name="20% - Accent1 2 3 5" xfId="58" xr:uid="{00000000-0005-0000-0000-000039000000}"/>
    <cellStyle name="20% - Accent1 2 4" xfId="59" xr:uid="{00000000-0005-0000-0000-00003A000000}"/>
    <cellStyle name="20% - Accent1 2 4 2" xfId="60" xr:uid="{00000000-0005-0000-0000-00003B000000}"/>
    <cellStyle name="20% - Accent1 2 4 2 2" xfId="61" xr:uid="{00000000-0005-0000-0000-00003C000000}"/>
    <cellStyle name="20% - Accent1 2 4 2 3" xfId="62" xr:uid="{00000000-0005-0000-0000-00003D000000}"/>
    <cellStyle name="20% - Accent1 2 4 3" xfId="63" xr:uid="{00000000-0005-0000-0000-00003E000000}"/>
    <cellStyle name="20% - Accent1 2 4 3 2" xfId="64" xr:uid="{00000000-0005-0000-0000-00003F000000}"/>
    <cellStyle name="20% - Accent1 2 4 3 3" xfId="65" xr:uid="{00000000-0005-0000-0000-000040000000}"/>
    <cellStyle name="20% - Accent1 2 4 4" xfId="66" xr:uid="{00000000-0005-0000-0000-000041000000}"/>
    <cellStyle name="20% - Accent1 2 4 5" xfId="67" xr:uid="{00000000-0005-0000-0000-000042000000}"/>
    <cellStyle name="20% - Accent1 2 5" xfId="68" xr:uid="{00000000-0005-0000-0000-000043000000}"/>
    <cellStyle name="20% - Accent1 2 5 2" xfId="69" xr:uid="{00000000-0005-0000-0000-000044000000}"/>
    <cellStyle name="20% - Accent1 2 5 2 2" xfId="70" xr:uid="{00000000-0005-0000-0000-000045000000}"/>
    <cellStyle name="20% - Accent1 2 5 2 3" xfId="71" xr:uid="{00000000-0005-0000-0000-000046000000}"/>
    <cellStyle name="20% - Accent1 2 5 3" xfId="72" xr:uid="{00000000-0005-0000-0000-000047000000}"/>
    <cellStyle name="20% - Accent1 2 5 4" xfId="73" xr:uid="{00000000-0005-0000-0000-000048000000}"/>
    <cellStyle name="20% - Accent1 2 6" xfId="74" xr:uid="{00000000-0005-0000-0000-000049000000}"/>
    <cellStyle name="20% - Accent1 2 6 2" xfId="75" xr:uid="{00000000-0005-0000-0000-00004A000000}"/>
    <cellStyle name="20% - Accent1 2 6 3" xfId="76" xr:uid="{00000000-0005-0000-0000-00004B000000}"/>
    <cellStyle name="20% - Accent1 2 7" xfId="77" xr:uid="{00000000-0005-0000-0000-00004C000000}"/>
    <cellStyle name="20% - Accent1 2 8" xfId="78" xr:uid="{00000000-0005-0000-0000-00004D000000}"/>
    <cellStyle name="20% - Accent1 2 9" xfId="79" xr:uid="{00000000-0005-0000-0000-00004E000000}"/>
    <cellStyle name="20% - Accent1 3" xfId="80" xr:uid="{00000000-0005-0000-0000-00004F000000}"/>
    <cellStyle name="20% - Accent1 3 2" xfId="81" xr:uid="{00000000-0005-0000-0000-000050000000}"/>
    <cellStyle name="20% - Accent1 3 3" xfId="82" xr:uid="{00000000-0005-0000-0000-000051000000}"/>
    <cellStyle name="20% - Accent1 4" xfId="83" xr:uid="{00000000-0005-0000-0000-000052000000}"/>
    <cellStyle name="20% - Accent1 4 2" xfId="84" xr:uid="{00000000-0005-0000-0000-000053000000}"/>
    <cellStyle name="20% - Accent1 5" xfId="85" xr:uid="{00000000-0005-0000-0000-000054000000}"/>
    <cellStyle name="20% - Accent1 6" xfId="86" xr:uid="{00000000-0005-0000-0000-000055000000}"/>
    <cellStyle name="20% - Accent1 7" xfId="87" xr:uid="{00000000-0005-0000-0000-000056000000}"/>
    <cellStyle name="20% - Accent1 8" xfId="88" xr:uid="{00000000-0005-0000-0000-000057000000}"/>
    <cellStyle name="20% - Accent1 9" xfId="89" xr:uid="{00000000-0005-0000-0000-000058000000}"/>
    <cellStyle name="20% - Accent2 10" xfId="90" xr:uid="{00000000-0005-0000-0000-000059000000}"/>
    <cellStyle name="20% - Accent2 11" xfId="91" xr:uid="{00000000-0005-0000-0000-00005A000000}"/>
    <cellStyle name="20% - Accent2 12" xfId="92" xr:uid="{00000000-0005-0000-0000-00005B000000}"/>
    <cellStyle name="20% - Accent2 13" xfId="93" xr:uid="{00000000-0005-0000-0000-00005C000000}"/>
    <cellStyle name="20% - Accent2 14" xfId="94" xr:uid="{00000000-0005-0000-0000-00005D000000}"/>
    <cellStyle name="20% - Accent2 15" xfId="95" xr:uid="{00000000-0005-0000-0000-00005E000000}"/>
    <cellStyle name="20% - Accent2 2" xfId="96" xr:uid="{00000000-0005-0000-0000-00005F000000}"/>
    <cellStyle name="20% - Accent2 2 10" xfId="97" xr:uid="{00000000-0005-0000-0000-000060000000}"/>
    <cellStyle name="20% - Accent2 2 2" xfId="98" xr:uid="{00000000-0005-0000-0000-000061000000}"/>
    <cellStyle name="20% - Accent2 2 2 2" xfId="99" xr:uid="{00000000-0005-0000-0000-000062000000}"/>
    <cellStyle name="20% - Accent2 2 3" xfId="100" xr:uid="{00000000-0005-0000-0000-000063000000}"/>
    <cellStyle name="20% - Accent2 2 3 2" xfId="101" xr:uid="{00000000-0005-0000-0000-000064000000}"/>
    <cellStyle name="20% - Accent2 2 3 2 2" xfId="102" xr:uid="{00000000-0005-0000-0000-000065000000}"/>
    <cellStyle name="20% - Accent2 2 3 2 2 2" xfId="103" xr:uid="{00000000-0005-0000-0000-000066000000}"/>
    <cellStyle name="20% - Accent2 2 3 2 2 3" xfId="104" xr:uid="{00000000-0005-0000-0000-000067000000}"/>
    <cellStyle name="20% - Accent2 2 3 2 3" xfId="105" xr:uid="{00000000-0005-0000-0000-000068000000}"/>
    <cellStyle name="20% - Accent2 2 3 2 4" xfId="106" xr:uid="{00000000-0005-0000-0000-000069000000}"/>
    <cellStyle name="20% - Accent2 2 3 3" xfId="107" xr:uid="{00000000-0005-0000-0000-00006A000000}"/>
    <cellStyle name="20% - Accent2 2 3 3 2" xfId="108" xr:uid="{00000000-0005-0000-0000-00006B000000}"/>
    <cellStyle name="20% - Accent2 2 3 3 3" xfId="109" xr:uid="{00000000-0005-0000-0000-00006C000000}"/>
    <cellStyle name="20% - Accent2 2 3 4" xfId="110" xr:uid="{00000000-0005-0000-0000-00006D000000}"/>
    <cellStyle name="20% - Accent2 2 3 5" xfId="111" xr:uid="{00000000-0005-0000-0000-00006E000000}"/>
    <cellStyle name="20% - Accent2 2 4" xfId="112" xr:uid="{00000000-0005-0000-0000-00006F000000}"/>
    <cellStyle name="20% - Accent2 2 4 2" xfId="113" xr:uid="{00000000-0005-0000-0000-000070000000}"/>
    <cellStyle name="20% - Accent2 2 4 2 2" xfId="114" xr:uid="{00000000-0005-0000-0000-000071000000}"/>
    <cellStyle name="20% - Accent2 2 4 2 3" xfId="115" xr:uid="{00000000-0005-0000-0000-000072000000}"/>
    <cellStyle name="20% - Accent2 2 4 3" xfId="116" xr:uid="{00000000-0005-0000-0000-000073000000}"/>
    <cellStyle name="20% - Accent2 2 4 3 2" xfId="117" xr:uid="{00000000-0005-0000-0000-000074000000}"/>
    <cellStyle name="20% - Accent2 2 4 3 3" xfId="118" xr:uid="{00000000-0005-0000-0000-000075000000}"/>
    <cellStyle name="20% - Accent2 2 4 4" xfId="119" xr:uid="{00000000-0005-0000-0000-000076000000}"/>
    <cellStyle name="20% - Accent2 2 4 5" xfId="120" xr:uid="{00000000-0005-0000-0000-000077000000}"/>
    <cellStyle name="20% - Accent2 2 5" xfId="121" xr:uid="{00000000-0005-0000-0000-000078000000}"/>
    <cellStyle name="20% - Accent2 2 5 2" xfId="122" xr:uid="{00000000-0005-0000-0000-000079000000}"/>
    <cellStyle name="20% - Accent2 2 5 2 2" xfId="123" xr:uid="{00000000-0005-0000-0000-00007A000000}"/>
    <cellStyle name="20% - Accent2 2 5 2 3" xfId="124" xr:uid="{00000000-0005-0000-0000-00007B000000}"/>
    <cellStyle name="20% - Accent2 2 5 3" xfId="125" xr:uid="{00000000-0005-0000-0000-00007C000000}"/>
    <cellStyle name="20% - Accent2 2 5 4" xfId="126" xr:uid="{00000000-0005-0000-0000-00007D000000}"/>
    <cellStyle name="20% - Accent2 2 6" xfId="127" xr:uid="{00000000-0005-0000-0000-00007E000000}"/>
    <cellStyle name="20% - Accent2 2 6 2" xfId="128" xr:uid="{00000000-0005-0000-0000-00007F000000}"/>
    <cellStyle name="20% - Accent2 2 6 3" xfId="129" xr:uid="{00000000-0005-0000-0000-000080000000}"/>
    <cellStyle name="20% - Accent2 2 7" xfId="130" xr:uid="{00000000-0005-0000-0000-000081000000}"/>
    <cellStyle name="20% - Accent2 2 8" xfId="131" xr:uid="{00000000-0005-0000-0000-000082000000}"/>
    <cellStyle name="20% - Accent2 2 9" xfId="132" xr:uid="{00000000-0005-0000-0000-000083000000}"/>
    <cellStyle name="20% - Accent2 3" xfId="133" xr:uid="{00000000-0005-0000-0000-000084000000}"/>
    <cellStyle name="20% - Accent2 3 2" xfId="134" xr:uid="{00000000-0005-0000-0000-000085000000}"/>
    <cellStyle name="20% - Accent2 3 3" xfId="135" xr:uid="{00000000-0005-0000-0000-000086000000}"/>
    <cellStyle name="20% - Accent2 4" xfId="136" xr:uid="{00000000-0005-0000-0000-000087000000}"/>
    <cellStyle name="20% - Accent2 4 2" xfId="137" xr:uid="{00000000-0005-0000-0000-000088000000}"/>
    <cellStyle name="20% - Accent2 5" xfId="138" xr:uid="{00000000-0005-0000-0000-000089000000}"/>
    <cellStyle name="20% - Accent2 6" xfId="139" xr:uid="{00000000-0005-0000-0000-00008A000000}"/>
    <cellStyle name="20% - Accent2 7" xfId="140" xr:uid="{00000000-0005-0000-0000-00008B000000}"/>
    <cellStyle name="20% - Accent2 8" xfId="141" xr:uid="{00000000-0005-0000-0000-00008C000000}"/>
    <cellStyle name="20% - Accent2 9" xfId="142" xr:uid="{00000000-0005-0000-0000-00008D000000}"/>
    <cellStyle name="20% - Accent3 10" xfId="143" xr:uid="{00000000-0005-0000-0000-00008E000000}"/>
    <cellStyle name="20% - Accent3 11" xfId="144" xr:uid="{00000000-0005-0000-0000-00008F000000}"/>
    <cellStyle name="20% - Accent3 12" xfId="145" xr:uid="{00000000-0005-0000-0000-000090000000}"/>
    <cellStyle name="20% - Accent3 13" xfId="146" xr:uid="{00000000-0005-0000-0000-000091000000}"/>
    <cellStyle name="20% - Accent3 14" xfId="147" xr:uid="{00000000-0005-0000-0000-000092000000}"/>
    <cellStyle name="20% - Accent3 15" xfId="148" xr:uid="{00000000-0005-0000-0000-000093000000}"/>
    <cellStyle name="20% - Accent3 2" xfId="149" xr:uid="{00000000-0005-0000-0000-000094000000}"/>
    <cellStyle name="20% - Accent3 2 10" xfId="150" xr:uid="{00000000-0005-0000-0000-000095000000}"/>
    <cellStyle name="20% - Accent3 2 11" xfId="151" xr:uid="{00000000-0005-0000-0000-000096000000}"/>
    <cellStyle name="20% - Accent3 2 2" xfId="152" xr:uid="{00000000-0005-0000-0000-000097000000}"/>
    <cellStyle name="20% - Accent3 2 2 2" xfId="153" xr:uid="{00000000-0005-0000-0000-000098000000}"/>
    <cellStyle name="20% - Accent3 2 3" xfId="154" xr:uid="{00000000-0005-0000-0000-000099000000}"/>
    <cellStyle name="20% - Accent3 2 3 2" xfId="155" xr:uid="{00000000-0005-0000-0000-00009A000000}"/>
    <cellStyle name="20% - Accent3 2 3 2 2" xfId="156" xr:uid="{00000000-0005-0000-0000-00009B000000}"/>
    <cellStyle name="20% - Accent3 2 3 2 2 2" xfId="157" xr:uid="{00000000-0005-0000-0000-00009C000000}"/>
    <cellStyle name="20% - Accent3 2 3 2 2 3" xfId="158" xr:uid="{00000000-0005-0000-0000-00009D000000}"/>
    <cellStyle name="20% - Accent3 2 3 2 3" xfId="159" xr:uid="{00000000-0005-0000-0000-00009E000000}"/>
    <cellStyle name="20% - Accent3 2 3 2 4" xfId="160" xr:uid="{00000000-0005-0000-0000-00009F000000}"/>
    <cellStyle name="20% - Accent3 2 3 3" xfId="161" xr:uid="{00000000-0005-0000-0000-0000A0000000}"/>
    <cellStyle name="20% - Accent3 2 3 3 2" xfId="162" xr:uid="{00000000-0005-0000-0000-0000A1000000}"/>
    <cellStyle name="20% - Accent3 2 3 3 3" xfId="163" xr:uid="{00000000-0005-0000-0000-0000A2000000}"/>
    <cellStyle name="20% - Accent3 2 3 4" xfId="164" xr:uid="{00000000-0005-0000-0000-0000A3000000}"/>
    <cellStyle name="20% - Accent3 2 3 5" xfId="165" xr:uid="{00000000-0005-0000-0000-0000A4000000}"/>
    <cellStyle name="20% - Accent3 2 4" xfId="166" xr:uid="{00000000-0005-0000-0000-0000A5000000}"/>
    <cellStyle name="20% - Accent3 2 4 2" xfId="167" xr:uid="{00000000-0005-0000-0000-0000A6000000}"/>
    <cellStyle name="20% - Accent3 2 4 2 2" xfId="168" xr:uid="{00000000-0005-0000-0000-0000A7000000}"/>
    <cellStyle name="20% - Accent3 2 4 2 3" xfId="169" xr:uid="{00000000-0005-0000-0000-0000A8000000}"/>
    <cellStyle name="20% - Accent3 2 4 3" xfId="170" xr:uid="{00000000-0005-0000-0000-0000A9000000}"/>
    <cellStyle name="20% - Accent3 2 4 3 2" xfId="171" xr:uid="{00000000-0005-0000-0000-0000AA000000}"/>
    <cellStyle name="20% - Accent3 2 4 3 3" xfId="172" xr:uid="{00000000-0005-0000-0000-0000AB000000}"/>
    <cellStyle name="20% - Accent3 2 4 4" xfId="173" xr:uid="{00000000-0005-0000-0000-0000AC000000}"/>
    <cellStyle name="20% - Accent3 2 4 5" xfId="174" xr:uid="{00000000-0005-0000-0000-0000AD000000}"/>
    <cellStyle name="20% - Accent3 2 5" xfId="175" xr:uid="{00000000-0005-0000-0000-0000AE000000}"/>
    <cellStyle name="20% - Accent3 2 5 2" xfId="176" xr:uid="{00000000-0005-0000-0000-0000AF000000}"/>
    <cellStyle name="20% - Accent3 2 5 2 2" xfId="177" xr:uid="{00000000-0005-0000-0000-0000B0000000}"/>
    <cellStyle name="20% - Accent3 2 5 2 3" xfId="178" xr:uid="{00000000-0005-0000-0000-0000B1000000}"/>
    <cellStyle name="20% - Accent3 2 5 3" xfId="179" xr:uid="{00000000-0005-0000-0000-0000B2000000}"/>
    <cellStyle name="20% - Accent3 2 5 4" xfId="180" xr:uid="{00000000-0005-0000-0000-0000B3000000}"/>
    <cellStyle name="20% - Accent3 2 6" xfId="181" xr:uid="{00000000-0005-0000-0000-0000B4000000}"/>
    <cellStyle name="20% - Accent3 2 6 2" xfId="182" xr:uid="{00000000-0005-0000-0000-0000B5000000}"/>
    <cellStyle name="20% - Accent3 2 6 3" xfId="183" xr:uid="{00000000-0005-0000-0000-0000B6000000}"/>
    <cellStyle name="20% - Accent3 2 7" xfId="184" xr:uid="{00000000-0005-0000-0000-0000B7000000}"/>
    <cellStyle name="20% - Accent3 2 8" xfId="185" xr:uid="{00000000-0005-0000-0000-0000B8000000}"/>
    <cellStyle name="20% - Accent3 2 9" xfId="186" xr:uid="{00000000-0005-0000-0000-0000B9000000}"/>
    <cellStyle name="20% - Accent3 3" xfId="187" xr:uid="{00000000-0005-0000-0000-0000BA000000}"/>
    <cellStyle name="20% - Accent3 3 2" xfId="188" xr:uid="{00000000-0005-0000-0000-0000BB000000}"/>
    <cellStyle name="20% - Accent3 3 3" xfId="189" xr:uid="{00000000-0005-0000-0000-0000BC000000}"/>
    <cellStyle name="20% - Accent3 4" xfId="190" xr:uid="{00000000-0005-0000-0000-0000BD000000}"/>
    <cellStyle name="20% - Accent3 4 2" xfId="191" xr:uid="{00000000-0005-0000-0000-0000BE000000}"/>
    <cellStyle name="20% - Accent3 5" xfId="192" xr:uid="{00000000-0005-0000-0000-0000BF000000}"/>
    <cellStyle name="20% - Accent3 6" xfId="193" xr:uid="{00000000-0005-0000-0000-0000C0000000}"/>
    <cellStyle name="20% - Accent3 7" xfId="194" xr:uid="{00000000-0005-0000-0000-0000C1000000}"/>
    <cellStyle name="20% - Accent3 8" xfId="195" xr:uid="{00000000-0005-0000-0000-0000C2000000}"/>
    <cellStyle name="20% - Accent3 9" xfId="196" xr:uid="{00000000-0005-0000-0000-0000C3000000}"/>
    <cellStyle name="20% - Accent4 10" xfId="197" xr:uid="{00000000-0005-0000-0000-0000C4000000}"/>
    <cellStyle name="20% - Accent4 11" xfId="198" xr:uid="{00000000-0005-0000-0000-0000C5000000}"/>
    <cellStyle name="20% - Accent4 12" xfId="199" xr:uid="{00000000-0005-0000-0000-0000C6000000}"/>
    <cellStyle name="20% - Accent4 13" xfId="200" xr:uid="{00000000-0005-0000-0000-0000C7000000}"/>
    <cellStyle name="20% - Accent4 14" xfId="201" xr:uid="{00000000-0005-0000-0000-0000C8000000}"/>
    <cellStyle name="20% - Accent4 15" xfId="202" xr:uid="{00000000-0005-0000-0000-0000C9000000}"/>
    <cellStyle name="20% - Accent4 2" xfId="203" xr:uid="{00000000-0005-0000-0000-0000CA000000}"/>
    <cellStyle name="20% - Accent4 2 10" xfId="204" xr:uid="{00000000-0005-0000-0000-0000CB000000}"/>
    <cellStyle name="20% - Accent4 2 11" xfId="205" xr:uid="{00000000-0005-0000-0000-0000CC000000}"/>
    <cellStyle name="20% - Accent4 2 2" xfId="206" xr:uid="{00000000-0005-0000-0000-0000CD000000}"/>
    <cellStyle name="20% - Accent4 2 2 2" xfId="207" xr:uid="{00000000-0005-0000-0000-0000CE000000}"/>
    <cellStyle name="20% - Accent4 2 3" xfId="208" xr:uid="{00000000-0005-0000-0000-0000CF000000}"/>
    <cellStyle name="20% - Accent4 2 3 2" xfId="209" xr:uid="{00000000-0005-0000-0000-0000D0000000}"/>
    <cellStyle name="20% - Accent4 2 3 2 2" xfId="210" xr:uid="{00000000-0005-0000-0000-0000D1000000}"/>
    <cellStyle name="20% - Accent4 2 3 2 2 2" xfId="211" xr:uid="{00000000-0005-0000-0000-0000D2000000}"/>
    <cellStyle name="20% - Accent4 2 3 2 2 3" xfId="212" xr:uid="{00000000-0005-0000-0000-0000D3000000}"/>
    <cellStyle name="20% - Accent4 2 3 2 3" xfId="213" xr:uid="{00000000-0005-0000-0000-0000D4000000}"/>
    <cellStyle name="20% - Accent4 2 3 2 4" xfId="214" xr:uid="{00000000-0005-0000-0000-0000D5000000}"/>
    <cellStyle name="20% - Accent4 2 3 3" xfId="215" xr:uid="{00000000-0005-0000-0000-0000D6000000}"/>
    <cellStyle name="20% - Accent4 2 3 3 2" xfId="216" xr:uid="{00000000-0005-0000-0000-0000D7000000}"/>
    <cellStyle name="20% - Accent4 2 3 3 3" xfId="217" xr:uid="{00000000-0005-0000-0000-0000D8000000}"/>
    <cellStyle name="20% - Accent4 2 3 4" xfId="218" xr:uid="{00000000-0005-0000-0000-0000D9000000}"/>
    <cellStyle name="20% - Accent4 2 3 5" xfId="219" xr:uid="{00000000-0005-0000-0000-0000DA000000}"/>
    <cellStyle name="20% - Accent4 2 4" xfId="220" xr:uid="{00000000-0005-0000-0000-0000DB000000}"/>
    <cellStyle name="20% - Accent4 2 4 2" xfId="221" xr:uid="{00000000-0005-0000-0000-0000DC000000}"/>
    <cellStyle name="20% - Accent4 2 4 2 2" xfId="222" xr:uid="{00000000-0005-0000-0000-0000DD000000}"/>
    <cellStyle name="20% - Accent4 2 4 2 3" xfId="223" xr:uid="{00000000-0005-0000-0000-0000DE000000}"/>
    <cellStyle name="20% - Accent4 2 4 3" xfId="224" xr:uid="{00000000-0005-0000-0000-0000DF000000}"/>
    <cellStyle name="20% - Accent4 2 4 3 2" xfId="225" xr:uid="{00000000-0005-0000-0000-0000E0000000}"/>
    <cellStyle name="20% - Accent4 2 4 3 3" xfId="226" xr:uid="{00000000-0005-0000-0000-0000E1000000}"/>
    <cellStyle name="20% - Accent4 2 4 4" xfId="227" xr:uid="{00000000-0005-0000-0000-0000E2000000}"/>
    <cellStyle name="20% - Accent4 2 4 5" xfId="228" xr:uid="{00000000-0005-0000-0000-0000E3000000}"/>
    <cellStyle name="20% - Accent4 2 5" xfId="229" xr:uid="{00000000-0005-0000-0000-0000E4000000}"/>
    <cellStyle name="20% - Accent4 2 5 2" xfId="230" xr:uid="{00000000-0005-0000-0000-0000E5000000}"/>
    <cellStyle name="20% - Accent4 2 5 2 2" xfId="231" xr:uid="{00000000-0005-0000-0000-0000E6000000}"/>
    <cellStyle name="20% - Accent4 2 5 2 3" xfId="232" xr:uid="{00000000-0005-0000-0000-0000E7000000}"/>
    <cellStyle name="20% - Accent4 2 5 3" xfId="233" xr:uid="{00000000-0005-0000-0000-0000E8000000}"/>
    <cellStyle name="20% - Accent4 2 5 4" xfId="234" xr:uid="{00000000-0005-0000-0000-0000E9000000}"/>
    <cellStyle name="20% - Accent4 2 6" xfId="235" xr:uid="{00000000-0005-0000-0000-0000EA000000}"/>
    <cellStyle name="20% - Accent4 2 6 2" xfId="236" xr:uid="{00000000-0005-0000-0000-0000EB000000}"/>
    <cellStyle name="20% - Accent4 2 6 3" xfId="237" xr:uid="{00000000-0005-0000-0000-0000EC000000}"/>
    <cellStyle name="20% - Accent4 2 7" xfId="238" xr:uid="{00000000-0005-0000-0000-0000ED000000}"/>
    <cellStyle name="20% - Accent4 2 8" xfId="239" xr:uid="{00000000-0005-0000-0000-0000EE000000}"/>
    <cellStyle name="20% - Accent4 2 9" xfId="240" xr:uid="{00000000-0005-0000-0000-0000EF000000}"/>
    <cellStyle name="20% - Accent4 3" xfId="241" xr:uid="{00000000-0005-0000-0000-0000F0000000}"/>
    <cellStyle name="20% - Accent4 3 2" xfId="242" xr:uid="{00000000-0005-0000-0000-0000F1000000}"/>
    <cellStyle name="20% - Accent4 3 3" xfId="243" xr:uid="{00000000-0005-0000-0000-0000F2000000}"/>
    <cellStyle name="20% - Accent4 4" xfId="244" xr:uid="{00000000-0005-0000-0000-0000F3000000}"/>
    <cellStyle name="20% - Accent4 4 2" xfId="245" xr:uid="{00000000-0005-0000-0000-0000F4000000}"/>
    <cellStyle name="20% - Accent4 5" xfId="246" xr:uid="{00000000-0005-0000-0000-0000F5000000}"/>
    <cellStyle name="20% - Accent4 6" xfId="247" xr:uid="{00000000-0005-0000-0000-0000F6000000}"/>
    <cellStyle name="20% - Accent4 7" xfId="248" xr:uid="{00000000-0005-0000-0000-0000F7000000}"/>
    <cellStyle name="20% - Accent4 8" xfId="249" xr:uid="{00000000-0005-0000-0000-0000F8000000}"/>
    <cellStyle name="20% - Accent4 9" xfId="250" xr:uid="{00000000-0005-0000-0000-0000F9000000}"/>
    <cellStyle name="20% - Accent5 10" xfId="251" xr:uid="{00000000-0005-0000-0000-0000FA000000}"/>
    <cellStyle name="20% - Accent5 11" xfId="252" xr:uid="{00000000-0005-0000-0000-0000FB000000}"/>
    <cellStyle name="20% - Accent5 12" xfId="253" xr:uid="{00000000-0005-0000-0000-0000FC000000}"/>
    <cellStyle name="20% - Accent5 13" xfId="254" xr:uid="{00000000-0005-0000-0000-0000FD000000}"/>
    <cellStyle name="20% - Accent5 14" xfId="255" xr:uid="{00000000-0005-0000-0000-0000FE000000}"/>
    <cellStyle name="20% - Accent5 15" xfId="256" xr:uid="{00000000-0005-0000-0000-0000FF000000}"/>
    <cellStyle name="20% - Accent5 2" xfId="257" xr:uid="{00000000-0005-0000-0000-000000010000}"/>
    <cellStyle name="20% - Accent5 2 10" xfId="258" xr:uid="{00000000-0005-0000-0000-000001010000}"/>
    <cellStyle name="20% - Accent5 2 11" xfId="259" xr:uid="{00000000-0005-0000-0000-000002010000}"/>
    <cellStyle name="20% - Accent5 2 2" xfId="260" xr:uid="{00000000-0005-0000-0000-000003010000}"/>
    <cellStyle name="20% - Accent5 2 2 2" xfId="261" xr:uid="{00000000-0005-0000-0000-000004010000}"/>
    <cellStyle name="20% - Accent5 2 3" xfId="262" xr:uid="{00000000-0005-0000-0000-000005010000}"/>
    <cellStyle name="20% - Accent5 2 3 2" xfId="263" xr:uid="{00000000-0005-0000-0000-000006010000}"/>
    <cellStyle name="20% - Accent5 2 3 2 2" xfId="264" xr:uid="{00000000-0005-0000-0000-000007010000}"/>
    <cellStyle name="20% - Accent5 2 3 2 2 2" xfId="265" xr:uid="{00000000-0005-0000-0000-000008010000}"/>
    <cellStyle name="20% - Accent5 2 3 2 2 3" xfId="266" xr:uid="{00000000-0005-0000-0000-000009010000}"/>
    <cellStyle name="20% - Accent5 2 3 2 3" xfId="267" xr:uid="{00000000-0005-0000-0000-00000A010000}"/>
    <cellStyle name="20% - Accent5 2 3 2 4" xfId="268" xr:uid="{00000000-0005-0000-0000-00000B010000}"/>
    <cellStyle name="20% - Accent5 2 3 3" xfId="269" xr:uid="{00000000-0005-0000-0000-00000C010000}"/>
    <cellStyle name="20% - Accent5 2 3 3 2" xfId="270" xr:uid="{00000000-0005-0000-0000-00000D010000}"/>
    <cellStyle name="20% - Accent5 2 3 3 3" xfId="271" xr:uid="{00000000-0005-0000-0000-00000E010000}"/>
    <cellStyle name="20% - Accent5 2 3 4" xfId="272" xr:uid="{00000000-0005-0000-0000-00000F010000}"/>
    <cellStyle name="20% - Accent5 2 3 5" xfId="273" xr:uid="{00000000-0005-0000-0000-000010010000}"/>
    <cellStyle name="20% - Accent5 2 4" xfId="274" xr:uid="{00000000-0005-0000-0000-000011010000}"/>
    <cellStyle name="20% - Accent5 2 4 2" xfId="275" xr:uid="{00000000-0005-0000-0000-000012010000}"/>
    <cellStyle name="20% - Accent5 2 4 2 2" xfId="276" xr:uid="{00000000-0005-0000-0000-000013010000}"/>
    <cellStyle name="20% - Accent5 2 4 2 3" xfId="277" xr:uid="{00000000-0005-0000-0000-000014010000}"/>
    <cellStyle name="20% - Accent5 2 4 3" xfId="278" xr:uid="{00000000-0005-0000-0000-000015010000}"/>
    <cellStyle name="20% - Accent5 2 4 3 2" xfId="279" xr:uid="{00000000-0005-0000-0000-000016010000}"/>
    <cellStyle name="20% - Accent5 2 4 3 3" xfId="280" xr:uid="{00000000-0005-0000-0000-000017010000}"/>
    <cellStyle name="20% - Accent5 2 4 4" xfId="281" xr:uid="{00000000-0005-0000-0000-000018010000}"/>
    <cellStyle name="20% - Accent5 2 4 5" xfId="282" xr:uid="{00000000-0005-0000-0000-000019010000}"/>
    <cellStyle name="20% - Accent5 2 5" xfId="283" xr:uid="{00000000-0005-0000-0000-00001A010000}"/>
    <cellStyle name="20% - Accent5 2 5 2" xfId="284" xr:uid="{00000000-0005-0000-0000-00001B010000}"/>
    <cellStyle name="20% - Accent5 2 5 2 2" xfId="285" xr:uid="{00000000-0005-0000-0000-00001C010000}"/>
    <cellStyle name="20% - Accent5 2 5 2 3" xfId="286" xr:uid="{00000000-0005-0000-0000-00001D010000}"/>
    <cellStyle name="20% - Accent5 2 5 3" xfId="287" xr:uid="{00000000-0005-0000-0000-00001E010000}"/>
    <cellStyle name="20% - Accent5 2 5 4" xfId="288" xr:uid="{00000000-0005-0000-0000-00001F010000}"/>
    <cellStyle name="20% - Accent5 2 6" xfId="289" xr:uid="{00000000-0005-0000-0000-000020010000}"/>
    <cellStyle name="20% - Accent5 2 6 2" xfId="290" xr:uid="{00000000-0005-0000-0000-000021010000}"/>
    <cellStyle name="20% - Accent5 2 6 3" xfId="291" xr:uid="{00000000-0005-0000-0000-000022010000}"/>
    <cellStyle name="20% - Accent5 2 7" xfId="292" xr:uid="{00000000-0005-0000-0000-000023010000}"/>
    <cellStyle name="20% - Accent5 2 8" xfId="293" xr:uid="{00000000-0005-0000-0000-000024010000}"/>
    <cellStyle name="20% - Accent5 2 9" xfId="294" xr:uid="{00000000-0005-0000-0000-000025010000}"/>
    <cellStyle name="20% - Accent5 3" xfId="295" xr:uid="{00000000-0005-0000-0000-000026010000}"/>
    <cellStyle name="20% - Accent5 3 2" xfId="296" xr:uid="{00000000-0005-0000-0000-000027010000}"/>
    <cellStyle name="20% - Accent5 3 3" xfId="297" xr:uid="{00000000-0005-0000-0000-000028010000}"/>
    <cellStyle name="20% - Accent5 4" xfId="298" xr:uid="{00000000-0005-0000-0000-000029010000}"/>
    <cellStyle name="20% - Accent5 4 2" xfId="299" xr:uid="{00000000-0005-0000-0000-00002A010000}"/>
    <cellStyle name="20% - Accent5 5" xfId="300" xr:uid="{00000000-0005-0000-0000-00002B010000}"/>
    <cellStyle name="20% - Accent5 6" xfId="301" xr:uid="{00000000-0005-0000-0000-00002C010000}"/>
    <cellStyle name="20% - Accent5 7" xfId="302" xr:uid="{00000000-0005-0000-0000-00002D010000}"/>
    <cellStyle name="20% - Accent5 8" xfId="303" xr:uid="{00000000-0005-0000-0000-00002E010000}"/>
    <cellStyle name="20% - Accent5 9" xfId="304" xr:uid="{00000000-0005-0000-0000-00002F010000}"/>
    <cellStyle name="20% - Accent6 10" xfId="305" xr:uid="{00000000-0005-0000-0000-000030010000}"/>
    <cellStyle name="20% - Accent6 11" xfId="306" xr:uid="{00000000-0005-0000-0000-000031010000}"/>
    <cellStyle name="20% - Accent6 12" xfId="307" xr:uid="{00000000-0005-0000-0000-000032010000}"/>
    <cellStyle name="20% - Accent6 13" xfId="308" xr:uid="{00000000-0005-0000-0000-000033010000}"/>
    <cellStyle name="20% - Accent6 14" xfId="309" xr:uid="{00000000-0005-0000-0000-000034010000}"/>
    <cellStyle name="20% - Accent6 15" xfId="310" xr:uid="{00000000-0005-0000-0000-000035010000}"/>
    <cellStyle name="20% - Accent6 2" xfId="311" xr:uid="{00000000-0005-0000-0000-000036010000}"/>
    <cellStyle name="20% - Accent6 2 10" xfId="312" xr:uid="{00000000-0005-0000-0000-000037010000}"/>
    <cellStyle name="20% - Accent6 2 11" xfId="313" xr:uid="{00000000-0005-0000-0000-000038010000}"/>
    <cellStyle name="20% - Accent6 2 2" xfId="314" xr:uid="{00000000-0005-0000-0000-000039010000}"/>
    <cellStyle name="20% - Accent6 2 2 2" xfId="315" xr:uid="{00000000-0005-0000-0000-00003A010000}"/>
    <cellStyle name="20% - Accent6 2 3" xfId="316" xr:uid="{00000000-0005-0000-0000-00003B010000}"/>
    <cellStyle name="20% - Accent6 2 3 2" xfId="317" xr:uid="{00000000-0005-0000-0000-00003C010000}"/>
    <cellStyle name="20% - Accent6 2 3 2 2" xfId="318" xr:uid="{00000000-0005-0000-0000-00003D010000}"/>
    <cellStyle name="20% - Accent6 2 3 2 2 2" xfId="319" xr:uid="{00000000-0005-0000-0000-00003E010000}"/>
    <cellStyle name="20% - Accent6 2 3 2 2 3" xfId="320" xr:uid="{00000000-0005-0000-0000-00003F010000}"/>
    <cellStyle name="20% - Accent6 2 3 2 3" xfId="321" xr:uid="{00000000-0005-0000-0000-000040010000}"/>
    <cellStyle name="20% - Accent6 2 3 2 4" xfId="322" xr:uid="{00000000-0005-0000-0000-000041010000}"/>
    <cellStyle name="20% - Accent6 2 3 3" xfId="323" xr:uid="{00000000-0005-0000-0000-000042010000}"/>
    <cellStyle name="20% - Accent6 2 3 3 2" xfId="324" xr:uid="{00000000-0005-0000-0000-000043010000}"/>
    <cellStyle name="20% - Accent6 2 3 3 3" xfId="325" xr:uid="{00000000-0005-0000-0000-000044010000}"/>
    <cellStyle name="20% - Accent6 2 3 4" xfId="326" xr:uid="{00000000-0005-0000-0000-000045010000}"/>
    <cellStyle name="20% - Accent6 2 3 5" xfId="327" xr:uid="{00000000-0005-0000-0000-000046010000}"/>
    <cellStyle name="20% - Accent6 2 4" xfId="328" xr:uid="{00000000-0005-0000-0000-000047010000}"/>
    <cellStyle name="20% - Accent6 2 4 2" xfId="329" xr:uid="{00000000-0005-0000-0000-000048010000}"/>
    <cellStyle name="20% - Accent6 2 4 2 2" xfId="330" xr:uid="{00000000-0005-0000-0000-000049010000}"/>
    <cellStyle name="20% - Accent6 2 4 2 3" xfId="331" xr:uid="{00000000-0005-0000-0000-00004A010000}"/>
    <cellStyle name="20% - Accent6 2 4 3" xfId="332" xr:uid="{00000000-0005-0000-0000-00004B010000}"/>
    <cellStyle name="20% - Accent6 2 4 3 2" xfId="333" xr:uid="{00000000-0005-0000-0000-00004C010000}"/>
    <cellStyle name="20% - Accent6 2 4 3 3" xfId="334" xr:uid="{00000000-0005-0000-0000-00004D010000}"/>
    <cellStyle name="20% - Accent6 2 4 4" xfId="335" xr:uid="{00000000-0005-0000-0000-00004E010000}"/>
    <cellStyle name="20% - Accent6 2 4 5" xfId="336" xr:uid="{00000000-0005-0000-0000-00004F010000}"/>
    <cellStyle name="20% - Accent6 2 5" xfId="337" xr:uid="{00000000-0005-0000-0000-000050010000}"/>
    <cellStyle name="20% - Accent6 2 5 2" xfId="338" xr:uid="{00000000-0005-0000-0000-000051010000}"/>
    <cellStyle name="20% - Accent6 2 5 2 2" xfId="339" xr:uid="{00000000-0005-0000-0000-000052010000}"/>
    <cellStyle name="20% - Accent6 2 5 2 3" xfId="340" xr:uid="{00000000-0005-0000-0000-000053010000}"/>
    <cellStyle name="20% - Accent6 2 5 3" xfId="341" xr:uid="{00000000-0005-0000-0000-000054010000}"/>
    <cellStyle name="20% - Accent6 2 5 4" xfId="342" xr:uid="{00000000-0005-0000-0000-000055010000}"/>
    <cellStyle name="20% - Accent6 2 6" xfId="343" xr:uid="{00000000-0005-0000-0000-000056010000}"/>
    <cellStyle name="20% - Accent6 2 6 2" xfId="344" xr:uid="{00000000-0005-0000-0000-000057010000}"/>
    <cellStyle name="20% - Accent6 2 6 3" xfId="345" xr:uid="{00000000-0005-0000-0000-000058010000}"/>
    <cellStyle name="20% - Accent6 2 7" xfId="346" xr:uid="{00000000-0005-0000-0000-000059010000}"/>
    <cellStyle name="20% - Accent6 2 8" xfId="347" xr:uid="{00000000-0005-0000-0000-00005A010000}"/>
    <cellStyle name="20% - Accent6 2 9" xfId="348" xr:uid="{00000000-0005-0000-0000-00005B010000}"/>
    <cellStyle name="20% - Accent6 3" xfId="349" xr:uid="{00000000-0005-0000-0000-00005C010000}"/>
    <cellStyle name="20% - Accent6 3 2" xfId="350" xr:uid="{00000000-0005-0000-0000-00005D010000}"/>
    <cellStyle name="20% - Accent6 3 3" xfId="351" xr:uid="{00000000-0005-0000-0000-00005E010000}"/>
    <cellStyle name="20% - Accent6 4" xfId="352" xr:uid="{00000000-0005-0000-0000-00005F010000}"/>
    <cellStyle name="20% - Accent6 4 2" xfId="353" xr:uid="{00000000-0005-0000-0000-000060010000}"/>
    <cellStyle name="20% - Accent6 5" xfId="354" xr:uid="{00000000-0005-0000-0000-000061010000}"/>
    <cellStyle name="20% - Accent6 6" xfId="355" xr:uid="{00000000-0005-0000-0000-000062010000}"/>
    <cellStyle name="20% - Accent6 7" xfId="356" xr:uid="{00000000-0005-0000-0000-000063010000}"/>
    <cellStyle name="20% - Accent6 8" xfId="357" xr:uid="{00000000-0005-0000-0000-000064010000}"/>
    <cellStyle name="20% - Accent6 9" xfId="358" xr:uid="{00000000-0005-0000-0000-000065010000}"/>
    <cellStyle name="40% - Accent1 10" xfId="359" xr:uid="{00000000-0005-0000-0000-000066010000}"/>
    <cellStyle name="40% - Accent1 11" xfId="360" xr:uid="{00000000-0005-0000-0000-000067010000}"/>
    <cellStyle name="40% - Accent1 12" xfId="361" xr:uid="{00000000-0005-0000-0000-000068010000}"/>
    <cellStyle name="40% - Accent1 13" xfId="362" xr:uid="{00000000-0005-0000-0000-000069010000}"/>
    <cellStyle name="40% - Accent1 14" xfId="363" xr:uid="{00000000-0005-0000-0000-00006A010000}"/>
    <cellStyle name="40% - Accent1 15" xfId="364" xr:uid="{00000000-0005-0000-0000-00006B010000}"/>
    <cellStyle name="40% - Accent1 2" xfId="365" xr:uid="{00000000-0005-0000-0000-00006C010000}"/>
    <cellStyle name="40% - Accent1 2 10" xfId="366" xr:uid="{00000000-0005-0000-0000-00006D010000}"/>
    <cellStyle name="40% - Accent1 2 2" xfId="367" xr:uid="{00000000-0005-0000-0000-00006E010000}"/>
    <cellStyle name="40% - Accent1 2 2 2" xfId="368" xr:uid="{00000000-0005-0000-0000-00006F010000}"/>
    <cellStyle name="40% - Accent1 2 3" xfId="369" xr:uid="{00000000-0005-0000-0000-000070010000}"/>
    <cellStyle name="40% - Accent1 2 3 2" xfId="370" xr:uid="{00000000-0005-0000-0000-000071010000}"/>
    <cellStyle name="40% - Accent1 2 3 2 2" xfId="371" xr:uid="{00000000-0005-0000-0000-000072010000}"/>
    <cellStyle name="40% - Accent1 2 3 2 2 2" xfId="372" xr:uid="{00000000-0005-0000-0000-000073010000}"/>
    <cellStyle name="40% - Accent1 2 3 2 2 3" xfId="373" xr:uid="{00000000-0005-0000-0000-000074010000}"/>
    <cellStyle name="40% - Accent1 2 3 2 3" xfId="374" xr:uid="{00000000-0005-0000-0000-000075010000}"/>
    <cellStyle name="40% - Accent1 2 3 2 4" xfId="375" xr:uid="{00000000-0005-0000-0000-000076010000}"/>
    <cellStyle name="40% - Accent1 2 3 3" xfId="376" xr:uid="{00000000-0005-0000-0000-000077010000}"/>
    <cellStyle name="40% - Accent1 2 3 3 2" xfId="377" xr:uid="{00000000-0005-0000-0000-000078010000}"/>
    <cellStyle name="40% - Accent1 2 3 3 3" xfId="378" xr:uid="{00000000-0005-0000-0000-000079010000}"/>
    <cellStyle name="40% - Accent1 2 3 4" xfId="379" xr:uid="{00000000-0005-0000-0000-00007A010000}"/>
    <cellStyle name="40% - Accent1 2 3 5" xfId="380" xr:uid="{00000000-0005-0000-0000-00007B010000}"/>
    <cellStyle name="40% - Accent1 2 4" xfId="381" xr:uid="{00000000-0005-0000-0000-00007C010000}"/>
    <cellStyle name="40% - Accent1 2 4 2" xfId="382" xr:uid="{00000000-0005-0000-0000-00007D010000}"/>
    <cellStyle name="40% - Accent1 2 4 2 2" xfId="383" xr:uid="{00000000-0005-0000-0000-00007E010000}"/>
    <cellStyle name="40% - Accent1 2 4 2 3" xfId="384" xr:uid="{00000000-0005-0000-0000-00007F010000}"/>
    <cellStyle name="40% - Accent1 2 4 3" xfId="385" xr:uid="{00000000-0005-0000-0000-000080010000}"/>
    <cellStyle name="40% - Accent1 2 4 3 2" xfId="386" xr:uid="{00000000-0005-0000-0000-000081010000}"/>
    <cellStyle name="40% - Accent1 2 4 3 3" xfId="387" xr:uid="{00000000-0005-0000-0000-000082010000}"/>
    <cellStyle name="40% - Accent1 2 4 4" xfId="388" xr:uid="{00000000-0005-0000-0000-000083010000}"/>
    <cellStyle name="40% - Accent1 2 4 5" xfId="389" xr:uid="{00000000-0005-0000-0000-000084010000}"/>
    <cellStyle name="40% - Accent1 2 5" xfId="390" xr:uid="{00000000-0005-0000-0000-000085010000}"/>
    <cellStyle name="40% - Accent1 2 5 2" xfId="391" xr:uid="{00000000-0005-0000-0000-000086010000}"/>
    <cellStyle name="40% - Accent1 2 5 2 2" xfId="392" xr:uid="{00000000-0005-0000-0000-000087010000}"/>
    <cellStyle name="40% - Accent1 2 5 2 3" xfId="393" xr:uid="{00000000-0005-0000-0000-000088010000}"/>
    <cellStyle name="40% - Accent1 2 5 3" xfId="394" xr:uid="{00000000-0005-0000-0000-000089010000}"/>
    <cellStyle name="40% - Accent1 2 5 4" xfId="395" xr:uid="{00000000-0005-0000-0000-00008A010000}"/>
    <cellStyle name="40% - Accent1 2 6" xfId="396" xr:uid="{00000000-0005-0000-0000-00008B010000}"/>
    <cellStyle name="40% - Accent1 2 6 2" xfId="397" xr:uid="{00000000-0005-0000-0000-00008C010000}"/>
    <cellStyle name="40% - Accent1 2 6 3" xfId="398" xr:uid="{00000000-0005-0000-0000-00008D010000}"/>
    <cellStyle name="40% - Accent1 2 7" xfId="399" xr:uid="{00000000-0005-0000-0000-00008E010000}"/>
    <cellStyle name="40% - Accent1 2 8" xfId="400" xr:uid="{00000000-0005-0000-0000-00008F010000}"/>
    <cellStyle name="40% - Accent1 2 9" xfId="401" xr:uid="{00000000-0005-0000-0000-000090010000}"/>
    <cellStyle name="40% - Accent1 3" xfId="402" xr:uid="{00000000-0005-0000-0000-000091010000}"/>
    <cellStyle name="40% - Accent1 3 2" xfId="403" xr:uid="{00000000-0005-0000-0000-000092010000}"/>
    <cellStyle name="40% - Accent1 3 3" xfId="404" xr:uid="{00000000-0005-0000-0000-000093010000}"/>
    <cellStyle name="40% - Accent1 4" xfId="405" xr:uid="{00000000-0005-0000-0000-000094010000}"/>
    <cellStyle name="40% - Accent1 4 2" xfId="406" xr:uid="{00000000-0005-0000-0000-000095010000}"/>
    <cellStyle name="40% - Accent1 5" xfId="407" xr:uid="{00000000-0005-0000-0000-000096010000}"/>
    <cellStyle name="40% - Accent1 6" xfId="408" xr:uid="{00000000-0005-0000-0000-000097010000}"/>
    <cellStyle name="40% - Accent1 7" xfId="409" xr:uid="{00000000-0005-0000-0000-000098010000}"/>
    <cellStyle name="40% - Accent1 8" xfId="410" xr:uid="{00000000-0005-0000-0000-000099010000}"/>
    <cellStyle name="40% - Accent1 9" xfId="411" xr:uid="{00000000-0005-0000-0000-00009A010000}"/>
    <cellStyle name="40% - Accent2 10" xfId="412" xr:uid="{00000000-0005-0000-0000-00009B010000}"/>
    <cellStyle name="40% - Accent2 11" xfId="413" xr:uid="{00000000-0005-0000-0000-00009C010000}"/>
    <cellStyle name="40% - Accent2 12" xfId="414" xr:uid="{00000000-0005-0000-0000-00009D010000}"/>
    <cellStyle name="40% - Accent2 13" xfId="415" xr:uid="{00000000-0005-0000-0000-00009E010000}"/>
    <cellStyle name="40% - Accent2 14" xfId="416" xr:uid="{00000000-0005-0000-0000-00009F010000}"/>
    <cellStyle name="40% - Accent2 15" xfId="417" xr:uid="{00000000-0005-0000-0000-0000A0010000}"/>
    <cellStyle name="40% - Accent2 2" xfId="418" xr:uid="{00000000-0005-0000-0000-0000A1010000}"/>
    <cellStyle name="40% - Accent2 2 10" xfId="419" xr:uid="{00000000-0005-0000-0000-0000A2010000}"/>
    <cellStyle name="40% - Accent2 2 2" xfId="420" xr:uid="{00000000-0005-0000-0000-0000A3010000}"/>
    <cellStyle name="40% - Accent2 2 2 2" xfId="421" xr:uid="{00000000-0005-0000-0000-0000A4010000}"/>
    <cellStyle name="40% - Accent2 2 3" xfId="422" xr:uid="{00000000-0005-0000-0000-0000A5010000}"/>
    <cellStyle name="40% - Accent2 2 3 2" xfId="423" xr:uid="{00000000-0005-0000-0000-0000A6010000}"/>
    <cellStyle name="40% - Accent2 2 3 2 2" xfId="424" xr:uid="{00000000-0005-0000-0000-0000A7010000}"/>
    <cellStyle name="40% - Accent2 2 3 2 2 2" xfId="425" xr:uid="{00000000-0005-0000-0000-0000A8010000}"/>
    <cellStyle name="40% - Accent2 2 3 2 2 3" xfId="426" xr:uid="{00000000-0005-0000-0000-0000A9010000}"/>
    <cellStyle name="40% - Accent2 2 3 2 3" xfId="427" xr:uid="{00000000-0005-0000-0000-0000AA010000}"/>
    <cellStyle name="40% - Accent2 2 3 2 4" xfId="428" xr:uid="{00000000-0005-0000-0000-0000AB010000}"/>
    <cellStyle name="40% - Accent2 2 3 3" xfId="429" xr:uid="{00000000-0005-0000-0000-0000AC010000}"/>
    <cellStyle name="40% - Accent2 2 3 3 2" xfId="430" xr:uid="{00000000-0005-0000-0000-0000AD010000}"/>
    <cellStyle name="40% - Accent2 2 3 3 3" xfId="431" xr:uid="{00000000-0005-0000-0000-0000AE010000}"/>
    <cellStyle name="40% - Accent2 2 3 4" xfId="432" xr:uid="{00000000-0005-0000-0000-0000AF010000}"/>
    <cellStyle name="40% - Accent2 2 3 5" xfId="433" xr:uid="{00000000-0005-0000-0000-0000B0010000}"/>
    <cellStyle name="40% - Accent2 2 4" xfId="434" xr:uid="{00000000-0005-0000-0000-0000B1010000}"/>
    <cellStyle name="40% - Accent2 2 4 2" xfId="435" xr:uid="{00000000-0005-0000-0000-0000B2010000}"/>
    <cellStyle name="40% - Accent2 2 4 2 2" xfId="436" xr:uid="{00000000-0005-0000-0000-0000B3010000}"/>
    <cellStyle name="40% - Accent2 2 4 2 3" xfId="437" xr:uid="{00000000-0005-0000-0000-0000B4010000}"/>
    <cellStyle name="40% - Accent2 2 4 3" xfId="438" xr:uid="{00000000-0005-0000-0000-0000B5010000}"/>
    <cellStyle name="40% - Accent2 2 4 3 2" xfId="439" xr:uid="{00000000-0005-0000-0000-0000B6010000}"/>
    <cellStyle name="40% - Accent2 2 4 3 3" xfId="440" xr:uid="{00000000-0005-0000-0000-0000B7010000}"/>
    <cellStyle name="40% - Accent2 2 4 4" xfId="441" xr:uid="{00000000-0005-0000-0000-0000B8010000}"/>
    <cellStyle name="40% - Accent2 2 4 5" xfId="442" xr:uid="{00000000-0005-0000-0000-0000B9010000}"/>
    <cellStyle name="40% - Accent2 2 5" xfId="443" xr:uid="{00000000-0005-0000-0000-0000BA010000}"/>
    <cellStyle name="40% - Accent2 2 5 2" xfId="444" xr:uid="{00000000-0005-0000-0000-0000BB010000}"/>
    <cellStyle name="40% - Accent2 2 5 2 2" xfId="445" xr:uid="{00000000-0005-0000-0000-0000BC010000}"/>
    <cellStyle name="40% - Accent2 2 5 2 3" xfId="446" xr:uid="{00000000-0005-0000-0000-0000BD010000}"/>
    <cellStyle name="40% - Accent2 2 5 3" xfId="447" xr:uid="{00000000-0005-0000-0000-0000BE010000}"/>
    <cellStyle name="40% - Accent2 2 5 4" xfId="448" xr:uid="{00000000-0005-0000-0000-0000BF010000}"/>
    <cellStyle name="40% - Accent2 2 6" xfId="449" xr:uid="{00000000-0005-0000-0000-0000C0010000}"/>
    <cellStyle name="40% - Accent2 2 6 2" xfId="450" xr:uid="{00000000-0005-0000-0000-0000C1010000}"/>
    <cellStyle name="40% - Accent2 2 6 3" xfId="451" xr:uid="{00000000-0005-0000-0000-0000C2010000}"/>
    <cellStyle name="40% - Accent2 2 7" xfId="452" xr:uid="{00000000-0005-0000-0000-0000C3010000}"/>
    <cellStyle name="40% - Accent2 2 8" xfId="453" xr:uid="{00000000-0005-0000-0000-0000C4010000}"/>
    <cellStyle name="40% - Accent2 2 9" xfId="454" xr:uid="{00000000-0005-0000-0000-0000C5010000}"/>
    <cellStyle name="40% - Accent2 3" xfId="455" xr:uid="{00000000-0005-0000-0000-0000C6010000}"/>
    <cellStyle name="40% - Accent2 3 2" xfId="456" xr:uid="{00000000-0005-0000-0000-0000C7010000}"/>
    <cellStyle name="40% - Accent2 3 3" xfId="457" xr:uid="{00000000-0005-0000-0000-0000C8010000}"/>
    <cellStyle name="40% - Accent2 4" xfId="458" xr:uid="{00000000-0005-0000-0000-0000C9010000}"/>
    <cellStyle name="40% - Accent2 4 2" xfId="459" xr:uid="{00000000-0005-0000-0000-0000CA010000}"/>
    <cellStyle name="40% - Accent2 5" xfId="460" xr:uid="{00000000-0005-0000-0000-0000CB010000}"/>
    <cellStyle name="40% - Accent2 6" xfId="461" xr:uid="{00000000-0005-0000-0000-0000CC010000}"/>
    <cellStyle name="40% - Accent2 7" xfId="462" xr:uid="{00000000-0005-0000-0000-0000CD010000}"/>
    <cellStyle name="40% - Accent2 8" xfId="463" xr:uid="{00000000-0005-0000-0000-0000CE010000}"/>
    <cellStyle name="40% - Accent2 9" xfId="464" xr:uid="{00000000-0005-0000-0000-0000CF010000}"/>
    <cellStyle name="40% - Accent3 10" xfId="465" xr:uid="{00000000-0005-0000-0000-0000D0010000}"/>
    <cellStyle name="40% - Accent3 11" xfId="466" xr:uid="{00000000-0005-0000-0000-0000D1010000}"/>
    <cellStyle name="40% - Accent3 12" xfId="467" xr:uid="{00000000-0005-0000-0000-0000D2010000}"/>
    <cellStyle name="40% - Accent3 13" xfId="468" xr:uid="{00000000-0005-0000-0000-0000D3010000}"/>
    <cellStyle name="40% - Accent3 14" xfId="469" xr:uid="{00000000-0005-0000-0000-0000D4010000}"/>
    <cellStyle name="40% - Accent3 15" xfId="470" xr:uid="{00000000-0005-0000-0000-0000D5010000}"/>
    <cellStyle name="40% - Accent3 2" xfId="471" xr:uid="{00000000-0005-0000-0000-0000D6010000}"/>
    <cellStyle name="40% - Accent3 2 10" xfId="472" xr:uid="{00000000-0005-0000-0000-0000D7010000}"/>
    <cellStyle name="40% - Accent3 2 11" xfId="473" xr:uid="{00000000-0005-0000-0000-0000D8010000}"/>
    <cellStyle name="40% - Accent3 2 2" xfId="474" xr:uid="{00000000-0005-0000-0000-0000D9010000}"/>
    <cellStyle name="40% - Accent3 2 2 2" xfId="475" xr:uid="{00000000-0005-0000-0000-0000DA010000}"/>
    <cellStyle name="40% - Accent3 2 3" xfId="476" xr:uid="{00000000-0005-0000-0000-0000DB010000}"/>
    <cellStyle name="40% - Accent3 2 3 2" xfId="477" xr:uid="{00000000-0005-0000-0000-0000DC010000}"/>
    <cellStyle name="40% - Accent3 2 3 2 2" xfId="478" xr:uid="{00000000-0005-0000-0000-0000DD010000}"/>
    <cellStyle name="40% - Accent3 2 3 2 2 2" xfId="479" xr:uid="{00000000-0005-0000-0000-0000DE010000}"/>
    <cellStyle name="40% - Accent3 2 3 2 2 3" xfId="480" xr:uid="{00000000-0005-0000-0000-0000DF010000}"/>
    <cellStyle name="40% - Accent3 2 3 2 3" xfId="481" xr:uid="{00000000-0005-0000-0000-0000E0010000}"/>
    <cellStyle name="40% - Accent3 2 3 2 4" xfId="482" xr:uid="{00000000-0005-0000-0000-0000E1010000}"/>
    <cellStyle name="40% - Accent3 2 3 3" xfId="483" xr:uid="{00000000-0005-0000-0000-0000E2010000}"/>
    <cellStyle name="40% - Accent3 2 3 3 2" xfId="484" xr:uid="{00000000-0005-0000-0000-0000E3010000}"/>
    <cellStyle name="40% - Accent3 2 3 3 3" xfId="485" xr:uid="{00000000-0005-0000-0000-0000E4010000}"/>
    <cellStyle name="40% - Accent3 2 3 4" xfId="486" xr:uid="{00000000-0005-0000-0000-0000E5010000}"/>
    <cellStyle name="40% - Accent3 2 3 5" xfId="487" xr:uid="{00000000-0005-0000-0000-0000E6010000}"/>
    <cellStyle name="40% - Accent3 2 4" xfId="488" xr:uid="{00000000-0005-0000-0000-0000E7010000}"/>
    <cellStyle name="40% - Accent3 2 4 2" xfId="489" xr:uid="{00000000-0005-0000-0000-0000E8010000}"/>
    <cellStyle name="40% - Accent3 2 4 2 2" xfId="490" xr:uid="{00000000-0005-0000-0000-0000E9010000}"/>
    <cellStyle name="40% - Accent3 2 4 2 3" xfId="491" xr:uid="{00000000-0005-0000-0000-0000EA010000}"/>
    <cellStyle name="40% - Accent3 2 4 3" xfId="492" xr:uid="{00000000-0005-0000-0000-0000EB010000}"/>
    <cellStyle name="40% - Accent3 2 4 3 2" xfId="493" xr:uid="{00000000-0005-0000-0000-0000EC010000}"/>
    <cellStyle name="40% - Accent3 2 4 3 3" xfId="494" xr:uid="{00000000-0005-0000-0000-0000ED010000}"/>
    <cellStyle name="40% - Accent3 2 4 4" xfId="495" xr:uid="{00000000-0005-0000-0000-0000EE010000}"/>
    <cellStyle name="40% - Accent3 2 4 5" xfId="496" xr:uid="{00000000-0005-0000-0000-0000EF010000}"/>
    <cellStyle name="40% - Accent3 2 5" xfId="497" xr:uid="{00000000-0005-0000-0000-0000F0010000}"/>
    <cellStyle name="40% - Accent3 2 5 2" xfId="498" xr:uid="{00000000-0005-0000-0000-0000F1010000}"/>
    <cellStyle name="40% - Accent3 2 5 2 2" xfId="499" xr:uid="{00000000-0005-0000-0000-0000F2010000}"/>
    <cellStyle name="40% - Accent3 2 5 2 3" xfId="500" xr:uid="{00000000-0005-0000-0000-0000F3010000}"/>
    <cellStyle name="40% - Accent3 2 5 3" xfId="501" xr:uid="{00000000-0005-0000-0000-0000F4010000}"/>
    <cellStyle name="40% - Accent3 2 5 4" xfId="502" xr:uid="{00000000-0005-0000-0000-0000F5010000}"/>
    <cellStyle name="40% - Accent3 2 6" xfId="503" xr:uid="{00000000-0005-0000-0000-0000F6010000}"/>
    <cellStyle name="40% - Accent3 2 6 2" xfId="504" xr:uid="{00000000-0005-0000-0000-0000F7010000}"/>
    <cellStyle name="40% - Accent3 2 6 3" xfId="505" xr:uid="{00000000-0005-0000-0000-0000F8010000}"/>
    <cellStyle name="40% - Accent3 2 7" xfId="506" xr:uid="{00000000-0005-0000-0000-0000F9010000}"/>
    <cellStyle name="40% - Accent3 2 8" xfId="507" xr:uid="{00000000-0005-0000-0000-0000FA010000}"/>
    <cellStyle name="40% - Accent3 2 9" xfId="508" xr:uid="{00000000-0005-0000-0000-0000FB010000}"/>
    <cellStyle name="40% - Accent3 3" xfId="509" xr:uid="{00000000-0005-0000-0000-0000FC010000}"/>
    <cellStyle name="40% - Accent3 3 2" xfId="510" xr:uid="{00000000-0005-0000-0000-0000FD010000}"/>
    <cellStyle name="40% - Accent3 3 3" xfId="511" xr:uid="{00000000-0005-0000-0000-0000FE010000}"/>
    <cellStyle name="40% - Accent3 4" xfId="512" xr:uid="{00000000-0005-0000-0000-0000FF010000}"/>
    <cellStyle name="40% - Accent3 4 2" xfId="513" xr:uid="{00000000-0005-0000-0000-000000020000}"/>
    <cellStyle name="40% - Accent3 5" xfId="514" xr:uid="{00000000-0005-0000-0000-000001020000}"/>
    <cellStyle name="40% - Accent3 6" xfId="515" xr:uid="{00000000-0005-0000-0000-000002020000}"/>
    <cellStyle name="40% - Accent3 7" xfId="516" xr:uid="{00000000-0005-0000-0000-000003020000}"/>
    <cellStyle name="40% - Accent3 8" xfId="517" xr:uid="{00000000-0005-0000-0000-000004020000}"/>
    <cellStyle name="40% - Accent3 9" xfId="518" xr:uid="{00000000-0005-0000-0000-000005020000}"/>
    <cellStyle name="40% - Accent4 10" xfId="519" xr:uid="{00000000-0005-0000-0000-000006020000}"/>
    <cellStyle name="40% - Accent4 11" xfId="520" xr:uid="{00000000-0005-0000-0000-000007020000}"/>
    <cellStyle name="40% - Accent4 12" xfId="521" xr:uid="{00000000-0005-0000-0000-000008020000}"/>
    <cellStyle name="40% - Accent4 13" xfId="522" xr:uid="{00000000-0005-0000-0000-000009020000}"/>
    <cellStyle name="40% - Accent4 14" xfId="523" xr:uid="{00000000-0005-0000-0000-00000A020000}"/>
    <cellStyle name="40% - Accent4 15" xfId="524" xr:uid="{00000000-0005-0000-0000-00000B020000}"/>
    <cellStyle name="40% - Accent4 2" xfId="525" xr:uid="{00000000-0005-0000-0000-00000C020000}"/>
    <cellStyle name="40% - Accent4 2 10" xfId="526" xr:uid="{00000000-0005-0000-0000-00000D020000}"/>
    <cellStyle name="40% - Accent4 2 2" xfId="527" xr:uid="{00000000-0005-0000-0000-00000E020000}"/>
    <cellStyle name="40% - Accent4 2 2 2" xfId="528" xr:uid="{00000000-0005-0000-0000-00000F020000}"/>
    <cellStyle name="40% - Accent4 2 3" xfId="529" xr:uid="{00000000-0005-0000-0000-000010020000}"/>
    <cellStyle name="40% - Accent4 2 3 2" xfId="530" xr:uid="{00000000-0005-0000-0000-000011020000}"/>
    <cellStyle name="40% - Accent4 2 3 2 2" xfId="531" xr:uid="{00000000-0005-0000-0000-000012020000}"/>
    <cellStyle name="40% - Accent4 2 3 2 2 2" xfId="532" xr:uid="{00000000-0005-0000-0000-000013020000}"/>
    <cellStyle name="40% - Accent4 2 3 2 2 3" xfId="533" xr:uid="{00000000-0005-0000-0000-000014020000}"/>
    <cellStyle name="40% - Accent4 2 3 2 3" xfId="534" xr:uid="{00000000-0005-0000-0000-000015020000}"/>
    <cellStyle name="40% - Accent4 2 3 2 4" xfId="535" xr:uid="{00000000-0005-0000-0000-000016020000}"/>
    <cellStyle name="40% - Accent4 2 3 3" xfId="536" xr:uid="{00000000-0005-0000-0000-000017020000}"/>
    <cellStyle name="40% - Accent4 2 3 3 2" xfId="537" xr:uid="{00000000-0005-0000-0000-000018020000}"/>
    <cellStyle name="40% - Accent4 2 3 3 3" xfId="538" xr:uid="{00000000-0005-0000-0000-000019020000}"/>
    <cellStyle name="40% - Accent4 2 3 4" xfId="539" xr:uid="{00000000-0005-0000-0000-00001A020000}"/>
    <cellStyle name="40% - Accent4 2 3 5" xfId="540" xr:uid="{00000000-0005-0000-0000-00001B020000}"/>
    <cellStyle name="40% - Accent4 2 4" xfId="541" xr:uid="{00000000-0005-0000-0000-00001C020000}"/>
    <cellStyle name="40% - Accent4 2 4 2" xfId="542" xr:uid="{00000000-0005-0000-0000-00001D020000}"/>
    <cellStyle name="40% - Accent4 2 4 2 2" xfId="543" xr:uid="{00000000-0005-0000-0000-00001E020000}"/>
    <cellStyle name="40% - Accent4 2 4 2 3" xfId="544" xr:uid="{00000000-0005-0000-0000-00001F020000}"/>
    <cellStyle name="40% - Accent4 2 4 3" xfId="545" xr:uid="{00000000-0005-0000-0000-000020020000}"/>
    <cellStyle name="40% - Accent4 2 4 3 2" xfId="546" xr:uid="{00000000-0005-0000-0000-000021020000}"/>
    <cellStyle name="40% - Accent4 2 4 3 3" xfId="547" xr:uid="{00000000-0005-0000-0000-000022020000}"/>
    <cellStyle name="40% - Accent4 2 4 4" xfId="548" xr:uid="{00000000-0005-0000-0000-000023020000}"/>
    <cellStyle name="40% - Accent4 2 4 5" xfId="549" xr:uid="{00000000-0005-0000-0000-000024020000}"/>
    <cellStyle name="40% - Accent4 2 5" xfId="550" xr:uid="{00000000-0005-0000-0000-000025020000}"/>
    <cellStyle name="40% - Accent4 2 5 2" xfId="551" xr:uid="{00000000-0005-0000-0000-000026020000}"/>
    <cellStyle name="40% - Accent4 2 5 2 2" xfId="552" xr:uid="{00000000-0005-0000-0000-000027020000}"/>
    <cellStyle name="40% - Accent4 2 5 2 3" xfId="553" xr:uid="{00000000-0005-0000-0000-000028020000}"/>
    <cellStyle name="40% - Accent4 2 5 3" xfId="554" xr:uid="{00000000-0005-0000-0000-000029020000}"/>
    <cellStyle name="40% - Accent4 2 5 4" xfId="555" xr:uid="{00000000-0005-0000-0000-00002A020000}"/>
    <cellStyle name="40% - Accent4 2 6" xfId="556" xr:uid="{00000000-0005-0000-0000-00002B020000}"/>
    <cellStyle name="40% - Accent4 2 6 2" xfId="557" xr:uid="{00000000-0005-0000-0000-00002C020000}"/>
    <cellStyle name="40% - Accent4 2 6 3" xfId="558" xr:uid="{00000000-0005-0000-0000-00002D020000}"/>
    <cellStyle name="40% - Accent4 2 7" xfId="559" xr:uid="{00000000-0005-0000-0000-00002E020000}"/>
    <cellStyle name="40% - Accent4 2 8" xfId="560" xr:uid="{00000000-0005-0000-0000-00002F020000}"/>
    <cellStyle name="40% - Accent4 2 9" xfId="561" xr:uid="{00000000-0005-0000-0000-000030020000}"/>
    <cellStyle name="40% - Accent4 3" xfId="562" xr:uid="{00000000-0005-0000-0000-000031020000}"/>
    <cellStyle name="40% - Accent4 3 2" xfId="563" xr:uid="{00000000-0005-0000-0000-000032020000}"/>
    <cellStyle name="40% - Accent4 3 3" xfId="564" xr:uid="{00000000-0005-0000-0000-000033020000}"/>
    <cellStyle name="40% - Accent4 4" xfId="565" xr:uid="{00000000-0005-0000-0000-000034020000}"/>
    <cellStyle name="40% - Accent4 4 2" xfId="566" xr:uid="{00000000-0005-0000-0000-000035020000}"/>
    <cellStyle name="40% - Accent4 5" xfId="567" xr:uid="{00000000-0005-0000-0000-000036020000}"/>
    <cellStyle name="40% - Accent4 6" xfId="568" xr:uid="{00000000-0005-0000-0000-000037020000}"/>
    <cellStyle name="40% - Accent4 7" xfId="569" xr:uid="{00000000-0005-0000-0000-000038020000}"/>
    <cellStyle name="40% - Accent4 8" xfId="570" xr:uid="{00000000-0005-0000-0000-000039020000}"/>
    <cellStyle name="40% - Accent4 9" xfId="571" xr:uid="{00000000-0005-0000-0000-00003A020000}"/>
    <cellStyle name="40% - Accent5 10" xfId="572" xr:uid="{00000000-0005-0000-0000-00003B020000}"/>
    <cellStyle name="40% - Accent5 11" xfId="573" xr:uid="{00000000-0005-0000-0000-00003C020000}"/>
    <cellStyle name="40% - Accent5 12" xfId="574" xr:uid="{00000000-0005-0000-0000-00003D020000}"/>
    <cellStyle name="40% - Accent5 13" xfId="575" xr:uid="{00000000-0005-0000-0000-00003E020000}"/>
    <cellStyle name="40% - Accent5 14" xfId="576" xr:uid="{00000000-0005-0000-0000-00003F020000}"/>
    <cellStyle name="40% - Accent5 15" xfId="577" xr:uid="{00000000-0005-0000-0000-000040020000}"/>
    <cellStyle name="40% - Accent5 2" xfId="578" xr:uid="{00000000-0005-0000-0000-000041020000}"/>
    <cellStyle name="40% - Accent5 2 10" xfId="579" xr:uid="{00000000-0005-0000-0000-000042020000}"/>
    <cellStyle name="40% - Accent5 2 2" xfId="580" xr:uid="{00000000-0005-0000-0000-000043020000}"/>
    <cellStyle name="40% - Accent5 2 2 2" xfId="581" xr:uid="{00000000-0005-0000-0000-000044020000}"/>
    <cellStyle name="40% - Accent5 2 3" xfId="582" xr:uid="{00000000-0005-0000-0000-000045020000}"/>
    <cellStyle name="40% - Accent5 2 3 2" xfId="583" xr:uid="{00000000-0005-0000-0000-000046020000}"/>
    <cellStyle name="40% - Accent5 2 3 2 2" xfId="584" xr:uid="{00000000-0005-0000-0000-000047020000}"/>
    <cellStyle name="40% - Accent5 2 3 2 2 2" xfId="585" xr:uid="{00000000-0005-0000-0000-000048020000}"/>
    <cellStyle name="40% - Accent5 2 3 2 2 3" xfId="586" xr:uid="{00000000-0005-0000-0000-000049020000}"/>
    <cellStyle name="40% - Accent5 2 3 2 3" xfId="587" xr:uid="{00000000-0005-0000-0000-00004A020000}"/>
    <cellStyle name="40% - Accent5 2 3 2 4" xfId="588" xr:uid="{00000000-0005-0000-0000-00004B020000}"/>
    <cellStyle name="40% - Accent5 2 3 3" xfId="589" xr:uid="{00000000-0005-0000-0000-00004C020000}"/>
    <cellStyle name="40% - Accent5 2 3 3 2" xfId="590" xr:uid="{00000000-0005-0000-0000-00004D020000}"/>
    <cellStyle name="40% - Accent5 2 3 3 3" xfId="591" xr:uid="{00000000-0005-0000-0000-00004E020000}"/>
    <cellStyle name="40% - Accent5 2 3 4" xfId="592" xr:uid="{00000000-0005-0000-0000-00004F020000}"/>
    <cellStyle name="40% - Accent5 2 3 5" xfId="593" xr:uid="{00000000-0005-0000-0000-000050020000}"/>
    <cellStyle name="40% - Accent5 2 4" xfId="594" xr:uid="{00000000-0005-0000-0000-000051020000}"/>
    <cellStyle name="40% - Accent5 2 4 2" xfId="595" xr:uid="{00000000-0005-0000-0000-000052020000}"/>
    <cellStyle name="40% - Accent5 2 4 2 2" xfId="596" xr:uid="{00000000-0005-0000-0000-000053020000}"/>
    <cellStyle name="40% - Accent5 2 4 2 3" xfId="597" xr:uid="{00000000-0005-0000-0000-000054020000}"/>
    <cellStyle name="40% - Accent5 2 4 3" xfId="598" xr:uid="{00000000-0005-0000-0000-000055020000}"/>
    <cellStyle name="40% - Accent5 2 4 3 2" xfId="599" xr:uid="{00000000-0005-0000-0000-000056020000}"/>
    <cellStyle name="40% - Accent5 2 4 3 3" xfId="600" xr:uid="{00000000-0005-0000-0000-000057020000}"/>
    <cellStyle name="40% - Accent5 2 4 4" xfId="601" xr:uid="{00000000-0005-0000-0000-000058020000}"/>
    <cellStyle name="40% - Accent5 2 4 5" xfId="602" xr:uid="{00000000-0005-0000-0000-000059020000}"/>
    <cellStyle name="40% - Accent5 2 5" xfId="603" xr:uid="{00000000-0005-0000-0000-00005A020000}"/>
    <cellStyle name="40% - Accent5 2 5 2" xfId="604" xr:uid="{00000000-0005-0000-0000-00005B020000}"/>
    <cellStyle name="40% - Accent5 2 5 2 2" xfId="605" xr:uid="{00000000-0005-0000-0000-00005C020000}"/>
    <cellStyle name="40% - Accent5 2 5 2 3" xfId="606" xr:uid="{00000000-0005-0000-0000-00005D020000}"/>
    <cellStyle name="40% - Accent5 2 5 3" xfId="607" xr:uid="{00000000-0005-0000-0000-00005E020000}"/>
    <cellStyle name="40% - Accent5 2 5 4" xfId="608" xr:uid="{00000000-0005-0000-0000-00005F020000}"/>
    <cellStyle name="40% - Accent5 2 6" xfId="609" xr:uid="{00000000-0005-0000-0000-000060020000}"/>
    <cellStyle name="40% - Accent5 2 6 2" xfId="610" xr:uid="{00000000-0005-0000-0000-000061020000}"/>
    <cellStyle name="40% - Accent5 2 6 3" xfId="611" xr:uid="{00000000-0005-0000-0000-000062020000}"/>
    <cellStyle name="40% - Accent5 2 7" xfId="612" xr:uid="{00000000-0005-0000-0000-000063020000}"/>
    <cellStyle name="40% - Accent5 2 8" xfId="613" xr:uid="{00000000-0005-0000-0000-000064020000}"/>
    <cellStyle name="40% - Accent5 2 9" xfId="614" xr:uid="{00000000-0005-0000-0000-000065020000}"/>
    <cellStyle name="40% - Accent5 3" xfId="615" xr:uid="{00000000-0005-0000-0000-000066020000}"/>
    <cellStyle name="40% - Accent5 3 2" xfId="616" xr:uid="{00000000-0005-0000-0000-000067020000}"/>
    <cellStyle name="40% - Accent5 3 3" xfId="617" xr:uid="{00000000-0005-0000-0000-000068020000}"/>
    <cellStyle name="40% - Accent5 4" xfId="618" xr:uid="{00000000-0005-0000-0000-000069020000}"/>
    <cellStyle name="40% - Accent5 4 2" xfId="619" xr:uid="{00000000-0005-0000-0000-00006A020000}"/>
    <cellStyle name="40% - Accent5 5" xfId="620" xr:uid="{00000000-0005-0000-0000-00006B020000}"/>
    <cellStyle name="40% - Accent5 6" xfId="621" xr:uid="{00000000-0005-0000-0000-00006C020000}"/>
    <cellStyle name="40% - Accent5 7" xfId="622" xr:uid="{00000000-0005-0000-0000-00006D020000}"/>
    <cellStyle name="40% - Accent5 8" xfId="623" xr:uid="{00000000-0005-0000-0000-00006E020000}"/>
    <cellStyle name="40% - Accent5 9" xfId="624" xr:uid="{00000000-0005-0000-0000-00006F020000}"/>
    <cellStyle name="40% - Accent6 10" xfId="625" xr:uid="{00000000-0005-0000-0000-000070020000}"/>
    <cellStyle name="40% - Accent6 11" xfId="626" xr:uid="{00000000-0005-0000-0000-000071020000}"/>
    <cellStyle name="40% - Accent6 12" xfId="627" xr:uid="{00000000-0005-0000-0000-000072020000}"/>
    <cellStyle name="40% - Accent6 13" xfId="628" xr:uid="{00000000-0005-0000-0000-000073020000}"/>
    <cellStyle name="40% - Accent6 14" xfId="629" xr:uid="{00000000-0005-0000-0000-000074020000}"/>
    <cellStyle name="40% - Accent6 15" xfId="630" xr:uid="{00000000-0005-0000-0000-000075020000}"/>
    <cellStyle name="40% - Accent6 2" xfId="631" xr:uid="{00000000-0005-0000-0000-000076020000}"/>
    <cellStyle name="40% - Accent6 2 10" xfId="632" xr:uid="{00000000-0005-0000-0000-000077020000}"/>
    <cellStyle name="40% - Accent6 2 11" xfId="633" xr:uid="{00000000-0005-0000-0000-000078020000}"/>
    <cellStyle name="40% - Accent6 2 2" xfId="634" xr:uid="{00000000-0005-0000-0000-000079020000}"/>
    <cellStyle name="40% - Accent6 2 2 2" xfId="635" xr:uid="{00000000-0005-0000-0000-00007A020000}"/>
    <cellStyle name="40% - Accent6 2 3" xfId="636" xr:uid="{00000000-0005-0000-0000-00007B020000}"/>
    <cellStyle name="40% - Accent6 2 3 2" xfId="637" xr:uid="{00000000-0005-0000-0000-00007C020000}"/>
    <cellStyle name="40% - Accent6 2 3 2 2" xfId="638" xr:uid="{00000000-0005-0000-0000-00007D020000}"/>
    <cellStyle name="40% - Accent6 2 3 2 2 2" xfId="639" xr:uid="{00000000-0005-0000-0000-00007E020000}"/>
    <cellStyle name="40% - Accent6 2 3 2 2 3" xfId="640" xr:uid="{00000000-0005-0000-0000-00007F020000}"/>
    <cellStyle name="40% - Accent6 2 3 2 3" xfId="641" xr:uid="{00000000-0005-0000-0000-000080020000}"/>
    <cellStyle name="40% - Accent6 2 3 2 4" xfId="642" xr:uid="{00000000-0005-0000-0000-000081020000}"/>
    <cellStyle name="40% - Accent6 2 3 3" xfId="643" xr:uid="{00000000-0005-0000-0000-000082020000}"/>
    <cellStyle name="40% - Accent6 2 3 3 2" xfId="644" xr:uid="{00000000-0005-0000-0000-000083020000}"/>
    <cellStyle name="40% - Accent6 2 3 3 3" xfId="645" xr:uid="{00000000-0005-0000-0000-000084020000}"/>
    <cellStyle name="40% - Accent6 2 3 4" xfId="646" xr:uid="{00000000-0005-0000-0000-000085020000}"/>
    <cellStyle name="40% - Accent6 2 3 5" xfId="647" xr:uid="{00000000-0005-0000-0000-000086020000}"/>
    <cellStyle name="40% - Accent6 2 4" xfId="648" xr:uid="{00000000-0005-0000-0000-000087020000}"/>
    <cellStyle name="40% - Accent6 2 4 2" xfId="649" xr:uid="{00000000-0005-0000-0000-000088020000}"/>
    <cellStyle name="40% - Accent6 2 4 2 2" xfId="650" xr:uid="{00000000-0005-0000-0000-000089020000}"/>
    <cellStyle name="40% - Accent6 2 4 2 3" xfId="651" xr:uid="{00000000-0005-0000-0000-00008A020000}"/>
    <cellStyle name="40% - Accent6 2 4 3" xfId="652" xr:uid="{00000000-0005-0000-0000-00008B020000}"/>
    <cellStyle name="40% - Accent6 2 4 3 2" xfId="653" xr:uid="{00000000-0005-0000-0000-00008C020000}"/>
    <cellStyle name="40% - Accent6 2 4 3 3" xfId="654" xr:uid="{00000000-0005-0000-0000-00008D020000}"/>
    <cellStyle name="40% - Accent6 2 4 4" xfId="655" xr:uid="{00000000-0005-0000-0000-00008E020000}"/>
    <cellStyle name="40% - Accent6 2 4 5" xfId="656" xr:uid="{00000000-0005-0000-0000-00008F020000}"/>
    <cellStyle name="40% - Accent6 2 5" xfId="657" xr:uid="{00000000-0005-0000-0000-000090020000}"/>
    <cellStyle name="40% - Accent6 2 5 2" xfId="658" xr:uid="{00000000-0005-0000-0000-000091020000}"/>
    <cellStyle name="40% - Accent6 2 5 2 2" xfId="659" xr:uid="{00000000-0005-0000-0000-000092020000}"/>
    <cellStyle name="40% - Accent6 2 5 2 3" xfId="660" xr:uid="{00000000-0005-0000-0000-000093020000}"/>
    <cellStyle name="40% - Accent6 2 5 3" xfId="661" xr:uid="{00000000-0005-0000-0000-000094020000}"/>
    <cellStyle name="40% - Accent6 2 5 4" xfId="662" xr:uid="{00000000-0005-0000-0000-000095020000}"/>
    <cellStyle name="40% - Accent6 2 6" xfId="663" xr:uid="{00000000-0005-0000-0000-000096020000}"/>
    <cellStyle name="40% - Accent6 2 6 2" xfId="664" xr:uid="{00000000-0005-0000-0000-000097020000}"/>
    <cellStyle name="40% - Accent6 2 6 3" xfId="665" xr:uid="{00000000-0005-0000-0000-000098020000}"/>
    <cellStyle name="40% - Accent6 2 7" xfId="666" xr:uid="{00000000-0005-0000-0000-000099020000}"/>
    <cellStyle name="40% - Accent6 2 8" xfId="667" xr:uid="{00000000-0005-0000-0000-00009A020000}"/>
    <cellStyle name="40% - Accent6 2 9" xfId="668" xr:uid="{00000000-0005-0000-0000-00009B020000}"/>
    <cellStyle name="40% - Accent6 3" xfId="669" xr:uid="{00000000-0005-0000-0000-00009C020000}"/>
    <cellStyle name="40% - Accent6 3 2" xfId="670" xr:uid="{00000000-0005-0000-0000-00009D020000}"/>
    <cellStyle name="40% - Accent6 3 3" xfId="671" xr:uid="{00000000-0005-0000-0000-00009E020000}"/>
    <cellStyle name="40% - Accent6 4" xfId="672" xr:uid="{00000000-0005-0000-0000-00009F020000}"/>
    <cellStyle name="40% - Accent6 4 2" xfId="673" xr:uid="{00000000-0005-0000-0000-0000A0020000}"/>
    <cellStyle name="40% - Accent6 5" xfId="674" xr:uid="{00000000-0005-0000-0000-0000A1020000}"/>
    <cellStyle name="40% - Accent6 6" xfId="675" xr:uid="{00000000-0005-0000-0000-0000A2020000}"/>
    <cellStyle name="40% - Accent6 7" xfId="676" xr:uid="{00000000-0005-0000-0000-0000A3020000}"/>
    <cellStyle name="40% - Accent6 8" xfId="677" xr:uid="{00000000-0005-0000-0000-0000A4020000}"/>
    <cellStyle name="40% - Accent6 9" xfId="678" xr:uid="{00000000-0005-0000-0000-0000A5020000}"/>
    <cellStyle name="60% - Accent1 10" xfId="679" xr:uid="{00000000-0005-0000-0000-0000A6020000}"/>
    <cellStyle name="60% - Accent1 11" xfId="680" xr:uid="{00000000-0005-0000-0000-0000A7020000}"/>
    <cellStyle name="60% - Accent1 12" xfId="681" xr:uid="{00000000-0005-0000-0000-0000A8020000}"/>
    <cellStyle name="60% - Accent1 13" xfId="682" xr:uid="{00000000-0005-0000-0000-0000A9020000}"/>
    <cellStyle name="60% - Accent1 14" xfId="683" xr:uid="{00000000-0005-0000-0000-0000AA020000}"/>
    <cellStyle name="60% - Accent1 15" xfId="684" xr:uid="{00000000-0005-0000-0000-0000AB020000}"/>
    <cellStyle name="60% - Accent1 2" xfId="685" xr:uid="{00000000-0005-0000-0000-0000AC020000}"/>
    <cellStyle name="60% - Accent1 2 2" xfId="686" xr:uid="{00000000-0005-0000-0000-0000AD020000}"/>
    <cellStyle name="60% - Accent1 2 2 2" xfId="687" xr:uid="{00000000-0005-0000-0000-0000AE020000}"/>
    <cellStyle name="60% - Accent1 2 3" xfId="688" xr:uid="{00000000-0005-0000-0000-0000AF020000}"/>
    <cellStyle name="60% - Accent1 2 3 2" xfId="689" xr:uid="{00000000-0005-0000-0000-0000B0020000}"/>
    <cellStyle name="60% - Accent1 2 4" xfId="690" xr:uid="{00000000-0005-0000-0000-0000B1020000}"/>
    <cellStyle name="60% - Accent1 2 5" xfId="691" xr:uid="{00000000-0005-0000-0000-0000B2020000}"/>
    <cellStyle name="60% - Accent1 2 6" xfId="692" xr:uid="{00000000-0005-0000-0000-0000B3020000}"/>
    <cellStyle name="60% - Accent1 3" xfId="693" xr:uid="{00000000-0005-0000-0000-0000B4020000}"/>
    <cellStyle name="60% - Accent1 3 2" xfId="694" xr:uid="{00000000-0005-0000-0000-0000B5020000}"/>
    <cellStyle name="60% - Accent1 3 3" xfId="695" xr:uid="{00000000-0005-0000-0000-0000B6020000}"/>
    <cellStyle name="60% - Accent1 4" xfId="696" xr:uid="{00000000-0005-0000-0000-0000B7020000}"/>
    <cellStyle name="60% - Accent1 4 2" xfId="697" xr:uid="{00000000-0005-0000-0000-0000B8020000}"/>
    <cellStyle name="60% - Accent1 5" xfId="698" xr:uid="{00000000-0005-0000-0000-0000B9020000}"/>
    <cellStyle name="60% - Accent1 6" xfId="699" xr:uid="{00000000-0005-0000-0000-0000BA020000}"/>
    <cellStyle name="60% - Accent1 7" xfId="700" xr:uid="{00000000-0005-0000-0000-0000BB020000}"/>
    <cellStyle name="60% - Accent1 8" xfId="701" xr:uid="{00000000-0005-0000-0000-0000BC020000}"/>
    <cellStyle name="60% - Accent1 9" xfId="702" xr:uid="{00000000-0005-0000-0000-0000BD020000}"/>
    <cellStyle name="60% - Accent2 10" xfId="703" xr:uid="{00000000-0005-0000-0000-0000BE020000}"/>
    <cellStyle name="60% - Accent2 11" xfId="704" xr:uid="{00000000-0005-0000-0000-0000BF020000}"/>
    <cellStyle name="60% - Accent2 12" xfId="705" xr:uid="{00000000-0005-0000-0000-0000C0020000}"/>
    <cellStyle name="60% - Accent2 13" xfId="706" xr:uid="{00000000-0005-0000-0000-0000C1020000}"/>
    <cellStyle name="60% - Accent2 14" xfId="707" xr:uid="{00000000-0005-0000-0000-0000C2020000}"/>
    <cellStyle name="60% - Accent2 15" xfId="708" xr:uid="{00000000-0005-0000-0000-0000C3020000}"/>
    <cellStyle name="60% - Accent2 2" xfId="709" xr:uid="{00000000-0005-0000-0000-0000C4020000}"/>
    <cellStyle name="60% - Accent2 2 2" xfId="710" xr:uid="{00000000-0005-0000-0000-0000C5020000}"/>
    <cellStyle name="60% - Accent2 2 2 2" xfId="711" xr:uid="{00000000-0005-0000-0000-0000C6020000}"/>
    <cellStyle name="60% - Accent2 2 3" xfId="712" xr:uid="{00000000-0005-0000-0000-0000C7020000}"/>
    <cellStyle name="60% - Accent2 2 3 2" xfId="713" xr:uid="{00000000-0005-0000-0000-0000C8020000}"/>
    <cellStyle name="60% - Accent2 2 4" xfId="714" xr:uid="{00000000-0005-0000-0000-0000C9020000}"/>
    <cellStyle name="60% - Accent2 2 5" xfId="715" xr:uid="{00000000-0005-0000-0000-0000CA020000}"/>
    <cellStyle name="60% - Accent2 2 6" xfId="716" xr:uid="{00000000-0005-0000-0000-0000CB020000}"/>
    <cellStyle name="60% - Accent2 3" xfId="717" xr:uid="{00000000-0005-0000-0000-0000CC020000}"/>
    <cellStyle name="60% - Accent2 3 2" xfId="718" xr:uid="{00000000-0005-0000-0000-0000CD020000}"/>
    <cellStyle name="60% - Accent2 3 3" xfId="719" xr:uid="{00000000-0005-0000-0000-0000CE020000}"/>
    <cellStyle name="60% - Accent2 4" xfId="720" xr:uid="{00000000-0005-0000-0000-0000CF020000}"/>
    <cellStyle name="60% - Accent2 4 2" xfId="721" xr:uid="{00000000-0005-0000-0000-0000D0020000}"/>
    <cellStyle name="60% - Accent2 5" xfId="722" xr:uid="{00000000-0005-0000-0000-0000D1020000}"/>
    <cellStyle name="60% - Accent2 6" xfId="723" xr:uid="{00000000-0005-0000-0000-0000D2020000}"/>
    <cellStyle name="60% - Accent2 7" xfId="724" xr:uid="{00000000-0005-0000-0000-0000D3020000}"/>
    <cellStyle name="60% - Accent2 8" xfId="725" xr:uid="{00000000-0005-0000-0000-0000D4020000}"/>
    <cellStyle name="60% - Accent2 9" xfId="726" xr:uid="{00000000-0005-0000-0000-0000D5020000}"/>
    <cellStyle name="60% - Accent3 10" xfId="727" xr:uid="{00000000-0005-0000-0000-0000D6020000}"/>
    <cellStyle name="60% - Accent3 11" xfId="728" xr:uid="{00000000-0005-0000-0000-0000D7020000}"/>
    <cellStyle name="60% - Accent3 12" xfId="729" xr:uid="{00000000-0005-0000-0000-0000D8020000}"/>
    <cellStyle name="60% - Accent3 13" xfId="730" xr:uid="{00000000-0005-0000-0000-0000D9020000}"/>
    <cellStyle name="60% - Accent3 14" xfId="731" xr:uid="{00000000-0005-0000-0000-0000DA020000}"/>
    <cellStyle name="60% - Accent3 15" xfId="732" xr:uid="{00000000-0005-0000-0000-0000DB020000}"/>
    <cellStyle name="60% - Accent3 2" xfId="733" xr:uid="{00000000-0005-0000-0000-0000DC020000}"/>
    <cellStyle name="60% - Accent3 2 2" xfId="734" xr:uid="{00000000-0005-0000-0000-0000DD020000}"/>
    <cellStyle name="60% - Accent3 2 2 2" xfId="735" xr:uid="{00000000-0005-0000-0000-0000DE020000}"/>
    <cellStyle name="60% - Accent3 2 3" xfId="736" xr:uid="{00000000-0005-0000-0000-0000DF020000}"/>
    <cellStyle name="60% - Accent3 2 3 2" xfId="737" xr:uid="{00000000-0005-0000-0000-0000E0020000}"/>
    <cellStyle name="60% - Accent3 2 4" xfId="738" xr:uid="{00000000-0005-0000-0000-0000E1020000}"/>
    <cellStyle name="60% - Accent3 2 5" xfId="739" xr:uid="{00000000-0005-0000-0000-0000E2020000}"/>
    <cellStyle name="60% - Accent3 2 6" xfId="740" xr:uid="{00000000-0005-0000-0000-0000E3020000}"/>
    <cellStyle name="60% - Accent3 2 7" xfId="741" xr:uid="{00000000-0005-0000-0000-0000E4020000}"/>
    <cellStyle name="60% - Accent3 3" xfId="742" xr:uid="{00000000-0005-0000-0000-0000E5020000}"/>
    <cellStyle name="60% - Accent3 3 2" xfId="743" xr:uid="{00000000-0005-0000-0000-0000E6020000}"/>
    <cellStyle name="60% - Accent3 3 3" xfId="744" xr:uid="{00000000-0005-0000-0000-0000E7020000}"/>
    <cellStyle name="60% - Accent3 4" xfId="745" xr:uid="{00000000-0005-0000-0000-0000E8020000}"/>
    <cellStyle name="60% - Accent3 4 2" xfId="746" xr:uid="{00000000-0005-0000-0000-0000E9020000}"/>
    <cellStyle name="60% - Accent3 5" xfId="747" xr:uid="{00000000-0005-0000-0000-0000EA020000}"/>
    <cellStyle name="60% - Accent3 6" xfId="748" xr:uid="{00000000-0005-0000-0000-0000EB020000}"/>
    <cellStyle name="60% - Accent3 7" xfId="749" xr:uid="{00000000-0005-0000-0000-0000EC020000}"/>
    <cellStyle name="60% - Accent3 8" xfId="750" xr:uid="{00000000-0005-0000-0000-0000ED020000}"/>
    <cellStyle name="60% - Accent3 9" xfId="751" xr:uid="{00000000-0005-0000-0000-0000EE020000}"/>
    <cellStyle name="60% - Accent4 10" xfId="752" xr:uid="{00000000-0005-0000-0000-0000EF020000}"/>
    <cellStyle name="60% - Accent4 11" xfId="753" xr:uid="{00000000-0005-0000-0000-0000F0020000}"/>
    <cellStyle name="60% - Accent4 12" xfId="754" xr:uid="{00000000-0005-0000-0000-0000F1020000}"/>
    <cellStyle name="60% - Accent4 13" xfId="755" xr:uid="{00000000-0005-0000-0000-0000F2020000}"/>
    <cellStyle name="60% - Accent4 14" xfId="756" xr:uid="{00000000-0005-0000-0000-0000F3020000}"/>
    <cellStyle name="60% - Accent4 15" xfId="757" xr:uid="{00000000-0005-0000-0000-0000F4020000}"/>
    <cellStyle name="60% - Accent4 2" xfId="758" xr:uid="{00000000-0005-0000-0000-0000F5020000}"/>
    <cellStyle name="60% - Accent4 2 2" xfId="759" xr:uid="{00000000-0005-0000-0000-0000F6020000}"/>
    <cellStyle name="60% - Accent4 2 2 2" xfId="760" xr:uid="{00000000-0005-0000-0000-0000F7020000}"/>
    <cellStyle name="60% - Accent4 2 3" xfId="761" xr:uid="{00000000-0005-0000-0000-0000F8020000}"/>
    <cellStyle name="60% - Accent4 2 3 2" xfId="762" xr:uid="{00000000-0005-0000-0000-0000F9020000}"/>
    <cellStyle name="60% - Accent4 2 4" xfId="763" xr:uid="{00000000-0005-0000-0000-0000FA020000}"/>
    <cellStyle name="60% - Accent4 2 5" xfId="764" xr:uid="{00000000-0005-0000-0000-0000FB020000}"/>
    <cellStyle name="60% - Accent4 2 6" xfId="765" xr:uid="{00000000-0005-0000-0000-0000FC020000}"/>
    <cellStyle name="60% - Accent4 2 7" xfId="766" xr:uid="{00000000-0005-0000-0000-0000FD020000}"/>
    <cellStyle name="60% - Accent4 3" xfId="767" xr:uid="{00000000-0005-0000-0000-0000FE020000}"/>
    <cellStyle name="60% - Accent4 3 2" xfId="768" xr:uid="{00000000-0005-0000-0000-0000FF020000}"/>
    <cellStyle name="60% - Accent4 3 3" xfId="769" xr:uid="{00000000-0005-0000-0000-000000030000}"/>
    <cellStyle name="60% - Accent4 4" xfId="770" xr:uid="{00000000-0005-0000-0000-000001030000}"/>
    <cellStyle name="60% - Accent4 4 2" xfId="771" xr:uid="{00000000-0005-0000-0000-000002030000}"/>
    <cellStyle name="60% - Accent4 5" xfId="772" xr:uid="{00000000-0005-0000-0000-000003030000}"/>
    <cellStyle name="60% - Accent4 6" xfId="773" xr:uid="{00000000-0005-0000-0000-000004030000}"/>
    <cellStyle name="60% - Accent4 7" xfId="774" xr:uid="{00000000-0005-0000-0000-000005030000}"/>
    <cellStyle name="60% - Accent4 8" xfId="775" xr:uid="{00000000-0005-0000-0000-000006030000}"/>
    <cellStyle name="60% - Accent4 9" xfId="776" xr:uid="{00000000-0005-0000-0000-000007030000}"/>
    <cellStyle name="60% - Accent5 10" xfId="777" xr:uid="{00000000-0005-0000-0000-000008030000}"/>
    <cellStyle name="60% - Accent5 11" xfId="778" xr:uid="{00000000-0005-0000-0000-000009030000}"/>
    <cellStyle name="60% - Accent5 12" xfId="779" xr:uid="{00000000-0005-0000-0000-00000A030000}"/>
    <cellStyle name="60% - Accent5 13" xfId="780" xr:uid="{00000000-0005-0000-0000-00000B030000}"/>
    <cellStyle name="60% - Accent5 14" xfId="781" xr:uid="{00000000-0005-0000-0000-00000C030000}"/>
    <cellStyle name="60% - Accent5 15" xfId="782" xr:uid="{00000000-0005-0000-0000-00000D030000}"/>
    <cellStyle name="60% - Accent5 2" xfId="783" xr:uid="{00000000-0005-0000-0000-00000E030000}"/>
    <cellStyle name="60% - Accent5 2 2" xfId="784" xr:uid="{00000000-0005-0000-0000-00000F030000}"/>
    <cellStyle name="60% - Accent5 2 2 2" xfId="785" xr:uid="{00000000-0005-0000-0000-000010030000}"/>
    <cellStyle name="60% - Accent5 2 3" xfId="786" xr:uid="{00000000-0005-0000-0000-000011030000}"/>
    <cellStyle name="60% - Accent5 2 3 2" xfId="787" xr:uid="{00000000-0005-0000-0000-000012030000}"/>
    <cellStyle name="60% - Accent5 2 4" xfId="788" xr:uid="{00000000-0005-0000-0000-000013030000}"/>
    <cellStyle name="60% - Accent5 2 5" xfId="789" xr:uid="{00000000-0005-0000-0000-000014030000}"/>
    <cellStyle name="60% - Accent5 2 6" xfId="790" xr:uid="{00000000-0005-0000-0000-000015030000}"/>
    <cellStyle name="60% - Accent5 3" xfId="791" xr:uid="{00000000-0005-0000-0000-000016030000}"/>
    <cellStyle name="60% - Accent5 3 2" xfId="792" xr:uid="{00000000-0005-0000-0000-000017030000}"/>
    <cellStyle name="60% - Accent5 3 3" xfId="793" xr:uid="{00000000-0005-0000-0000-000018030000}"/>
    <cellStyle name="60% - Accent5 4" xfId="794" xr:uid="{00000000-0005-0000-0000-000019030000}"/>
    <cellStyle name="60% - Accent5 4 2" xfId="795" xr:uid="{00000000-0005-0000-0000-00001A030000}"/>
    <cellStyle name="60% - Accent5 5" xfId="796" xr:uid="{00000000-0005-0000-0000-00001B030000}"/>
    <cellStyle name="60% - Accent5 6" xfId="797" xr:uid="{00000000-0005-0000-0000-00001C030000}"/>
    <cellStyle name="60% - Accent5 7" xfId="798" xr:uid="{00000000-0005-0000-0000-00001D030000}"/>
    <cellStyle name="60% - Accent5 8" xfId="799" xr:uid="{00000000-0005-0000-0000-00001E030000}"/>
    <cellStyle name="60% - Accent5 9" xfId="800" xr:uid="{00000000-0005-0000-0000-00001F030000}"/>
    <cellStyle name="60% - Accent6 10" xfId="801" xr:uid="{00000000-0005-0000-0000-000020030000}"/>
    <cellStyle name="60% - Accent6 11" xfId="802" xr:uid="{00000000-0005-0000-0000-000021030000}"/>
    <cellStyle name="60% - Accent6 12" xfId="803" xr:uid="{00000000-0005-0000-0000-000022030000}"/>
    <cellStyle name="60% - Accent6 13" xfId="804" xr:uid="{00000000-0005-0000-0000-000023030000}"/>
    <cellStyle name="60% - Accent6 14" xfId="805" xr:uid="{00000000-0005-0000-0000-000024030000}"/>
    <cellStyle name="60% - Accent6 15" xfId="806" xr:uid="{00000000-0005-0000-0000-000025030000}"/>
    <cellStyle name="60% - Accent6 2" xfId="807" xr:uid="{00000000-0005-0000-0000-000026030000}"/>
    <cellStyle name="60% - Accent6 2 2" xfId="808" xr:uid="{00000000-0005-0000-0000-000027030000}"/>
    <cellStyle name="60% - Accent6 2 2 2" xfId="809" xr:uid="{00000000-0005-0000-0000-000028030000}"/>
    <cellStyle name="60% - Accent6 2 3" xfId="810" xr:uid="{00000000-0005-0000-0000-000029030000}"/>
    <cellStyle name="60% - Accent6 2 3 2" xfId="811" xr:uid="{00000000-0005-0000-0000-00002A030000}"/>
    <cellStyle name="60% - Accent6 2 4" xfId="812" xr:uid="{00000000-0005-0000-0000-00002B030000}"/>
    <cellStyle name="60% - Accent6 2 5" xfId="813" xr:uid="{00000000-0005-0000-0000-00002C030000}"/>
    <cellStyle name="60% - Accent6 2 6" xfId="814" xr:uid="{00000000-0005-0000-0000-00002D030000}"/>
    <cellStyle name="60% - Accent6 3" xfId="815" xr:uid="{00000000-0005-0000-0000-00002E030000}"/>
    <cellStyle name="60% - Accent6 3 2" xfId="816" xr:uid="{00000000-0005-0000-0000-00002F030000}"/>
    <cellStyle name="60% - Accent6 3 3" xfId="817" xr:uid="{00000000-0005-0000-0000-000030030000}"/>
    <cellStyle name="60% - Accent6 4" xfId="818" xr:uid="{00000000-0005-0000-0000-000031030000}"/>
    <cellStyle name="60% - Accent6 4 2" xfId="819" xr:uid="{00000000-0005-0000-0000-000032030000}"/>
    <cellStyle name="60% - Accent6 5" xfId="820" xr:uid="{00000000-0005-0000-0000-000033030000}"/>
    <cellStyle name="60% - Accent6 6" xfId="821" xr:uid="{00000000-0005-0000-0000-000034030000}"/>
    <cellStyle name="60% - Accent6 7" xfId="822" xr:uid="{00000000-0005-0000-0000-000035030000}"/>
    <cellStyle name="60% - Accent6 8" xfId="823" xr:uid="{00000000-0005-0000-0000-000036030000}"/>
    <cellStyle name="60% - Accent6 9" xfId="824" xr:uid="{00000000-0005-0000-0000-000037030000}"/>
    <cellStyle name="Accent1 10" xfId="825" xr:uid="{00000000-0005-0000-0000-000038030000}"/>
    <cellStyle name="Accent1 11" xfId="826" xr:uid="{00000000-0005-0000-0000-000039030000}"/>
    <cellStyle name="Accent1 12" xfId="827" xr:uid="{00000000-0005-0000-0000-00003A030000}"/>
    <cellStyle name="Accent1 13" xfId="828" xr:uid="{00000000-0005-0000-0000-00003B030000}"/>
    <cellStyle name="Accent1 14" xfId="829" xr:uid="{00000000-0005-0000-0000-00003C030000}"/>
    <cellStyle name="Accent1 15" xfId="830" xr:uid="{00000000-0005-0000-0000-00003D030000}"/>
    <cellStyle name="Accent1 2" xfId="831" xr:uid="{00000000-0005-0000-0000-00003E030000}"/>
    <cellStyle name="Accent1 2 2" xfId="832" xr:uid="{00000000-0005-0000-0000-00003F030000}"/>
    <cellStyle name="Accent1 2 2 2" xfId="833" xr:uid="{00000000-0005-0000-0000-000040030000}"/>
    <cellStyle name="Accent1 2 3" xfId="834" xr:uid="{00000000-0005-0000-0000-000041030000}"/>
    <cellStyle name="Accent1 2 3 2" xfId="835" xr:uid="{00000000-0005-0000-0000-000042030000}"/>
    <cellStyle name="Accent1 2 4" xfId="836" xr:uid="{00000000-0005-0000-0000-000043030000}"/>
    <cellStyle name="Accent1 2 5" xfId="837" xr:uid="{00000000-0005-0000-0000-000044030000}"/>
    <cellStyle name="Accent1 2 6" xfId="838" xr:uid="{00000000-0005-0000-0000-000045030000}"/>
    <cellStyle name="Accent1 2 7" xfId="839" xr:uid="{00000000-0005-0000-0000-000046030000}"/>
    <cellStyle name="Accent1 3" xfId="840" xr:uid="{00000000-0005-0000-0000-000047030000}"/>
    <cellStyle name="Accent1 3 2" xfId="841" xr:uid="{00000000-0005-0000-0000-000048030000}"/>
    <cellStyle name="Accent1 3 3" xfId="842" xr:uid="{00000000-0005-0000-0000-000049030000}"/>
    <cellStyle name="Accent1 4" xfId="843" xr:uid="{00000000-0005-0000-0000-00004A030000}"/>
    <cellStyle name="Accent1 4 2" xfId="844" xr:uid="{00000000-0005-0000-0000-00004B030000}"/>
    <cellStyle name="Accent1 5" xfId="845" xr:uid="{00000000-0005-0000-0000-00004C030000}"/>
    <cellStyle name="Accent1 6" xfId="846" xr:uid="{00000000-0005-0000-0000-00004D030000}"/>
    <cellStyle name="Accent1 7" xfId="847" xr:uid="{00000000-0005-0000-0000-00004E030000}"/>
    <cellStyle name="Accent1 8" xfId="848" xr:uid="{00000000-0005-0000-0000-00004F030000}"/>
    <cellStyle name="Accent1 9" xfId="849" xr:uid="{00000000-0005-0000-0000-000050030000}"/>
    <cellStyle name="Accent2 10" xfId="850" xr:uid="{00000000-0005-0000-0000-000051030000}"/>
    <cellStyle name="Accent2 11" xfId="851" xr:uid="{00000000-0005-0000-0000-000052030000}"/>
    <cellStyle name="Accent2 12" xfId="852" xr:uid="{00000000-0005-0000-0000-000053030000}"/>
    <cellStyle name="Accent2 13" xfId="853" xr:uid="{00000000-0005-0000-0000-000054030000}"/>
    <cellStyle name="Accent2 14" xfId="854" xr:uid="{00000000-0005-0000-0000-000055030000}"/>
    <cellStyle name="Accent2 15" xfId="855" xr:uid="{00000000-0005-0000-0000-000056030000}"/>
    <cellStyle name="Accent2 2" xfId="856" xr:uid="{00000000-0005-0000-0000-000057030000}"/>
    <cellStyle name="Accent2 2 2" xfId="857" xr:uid="{00000000-0005-0000-0000-000058030000}"/>
    <cellStyle name="Accent2 2 2 2" xfId="858" xr:uid="{00000000-0005-0000-0000-000059030000}"/>
    <cellStyle name="Accent2 2 3" xfId="859" xr:uid="{00000000-0005-0000-0000-00005A030000}"/>
    <cellStyle name="Accent2 2 3 2" xfId="860" xr:uid="{00000000-0005-0000-0000-00005B030000}"/>
    <cellStyle name="Accent2 2 4" xfId="861" xr:uid="{00000000-0005-0000-0000-00005C030000}"/>
    <cellStyle name="Accent2 2 5" xfId="862" xr:uid="{00000000-0005-0000-0000-00005D030000}"/>
    <cellStyle name="Accent2 2 6" xfId="863" xr:uid="{00000000-0005-0000-0000-00005E030000}"/>
    <cellStyle name="Accent2 2 7" xfId="864" xr:uid="{00000000-0005-0000-0000-00005F030000}"/>
    <cellStyle name="Accent2 3" xfId="865" xr:uid="{00000000-0005-0000-0000-000060030000}"/>
    <cellStyle name="Accent2 3 2" xfId="866" xr:uid="{00000000-0005-0000-0000-000061030000}"/>
    <cellStyle name="Accent2 3 3" xfId="867" xr:uid="{00000000-0005-0000-0000-000062030000}"/>
    <cellStyle name="Accent2 4" xfId="868" xr:uid="{00000000-0005-0000-0000-000063030000}"/>
    <cellStyle name="Accent2 4 2" xfId="869" xr:uid="{00000000-0005-0000-0000-000064030000}"/>
    <cellStyle name="Accent2 5" xfId="870" xr:uid="{00000000-0005-0000-0000-000065030000}"/>
    <cellStyle name="Accent2 6" xfId="871" xr:uid="{00000000-0005-0000-0000-000066030000}"/>
    <cellStyle name="Accent2 7" xfId="872" xr:uid="{00000000-0005-0000-0000-000067030000}"/>
    <cellStyle name="Accent2 8" xfId="873" xr:uid="{00000000-0005-0000-0000-000068030000}"/>
    <cellStyle name="Accent2 9" xfId="874" xr:uid="{00000000-0005-0000-0000-000069030000}"/>
    <cellStyle name="Accent3 10" xfId="875" xr:uid="{00000000-0005-0000-0000-00006A030000}"/>
    <cellStyle name="Accent3 11" xfId="876" xr:uid="{00000000-0005-0000-0000-00006B030000}"/>
    <cellStyle name="Accent3 12" xfId="877" xr:uid="{00000000-0005-0000-0000-00006C030000}"/>
    <cellStyle name="Accent3 13" xfId="878" xr:uid="{00000000-0005-0000-0000-00006D030000}"/>
    <cellStyle name="Accent3 14" xfId="879" xr:uid="{00000000-0005-0000-0000-00006E030000}"/>
    <cellStyle name="Accent3 15" xfId="880" xr:uid="{00000000-0005-0000-0000-00006F030000}"/>
    <cellStyle name="Accent3 2" xfId="881" xr:uid="{00000000-0005-0000-0000-000070030000}"/>
    <cellStyle name="Accent3 2 2" xfId="882" xr:uid="{00000000-0005-0000-0000-000071030000}"/>
    <cellStyle name="Accent3 2 2 2" xfId="883" xr:uid="{00000000-0005-0000-0000-000072030000}"/>
    <cellStyle name="Accent3 2 3" xfId="884" xr:uid="{00000000-0005-0000-0000-000073030000}"/>
    <cellStyle name="Accent3 2 3 2" xfId="885" xr:uid="{00000000-0005-0000-0000-000074030000}"/>
    <cellStyle name="Accent3 2 4" xfId="886" xr:uid="{00000000-0005-0000-0000-000075030000}"/>
    <cellStyle name="Accent3 2 5" xfId="887" xr:uid="{00000000-0005-0000-0000-000076030000}"/>
    <cellStyle name="Accent3 2 6" xfId="888" xr:uid="{00000000-0005-0000-0000-000077030000}"/>
    <cellStyle name="Accent3 2 7" xfId="889" xr:uid="{00000000-0005-0000-0000-000078030000}"/>
    <cellStyle name="Accent3 3" xfId="890" xr:uid="{00000000-0005-0000-0000-000079030000}"/>
    <cellStyle name="Accent3 3 2" xfId="891" xr:uid="{00000000-0005-0000-0000-00007A030000}"/>
    <cellStyle name="Accent3 3 3" xfId="892" xr:uid="{00000000-0005-0000-0000-00007B030000}"/>
    <cellStyle name="Accent3 4" xfId="893" xr:uid="{00000000-0005-0000-0000-00007C030000}"/>
    <cellStyle name="Accent3 4 2" xfId="894" xr:uid="{00000000-0005-0000-0000-00007D030000}"/>
    <cellStyle name="Accent3 5" xfId="895" xr:uid="{00000000-0005-0000-0000-00007E030000}"/>
    <cellStyle name="Accent3 6" xfId="896" xr:uid="{00000000-0005-0000-0000-00007F030000}"/>
    <cellStyle name="Accent3 7" xfId="897" xr:uid="{00000000-0005-0000-0000-000080030000}"/>
    <cellStyle name="Accent3 8" xfId="898" xr:uid="{00000000-0005-0000-0000-000081030000}"/>
    <cellStyle name="Accent3 9" xfId="899" xr:uid="{00000000-0005-0000-0000-000082030000}"/>
    <cellStyle name="Accent4 10" xfId="900" xr:uid="{00000000-0005-0000-0000-000083030000}"/>
    <cellStyle name="Accent4 11" xfId="901" xr:uid="{00000000-0005-0000-0000-000084030000}"/>
    <cellStyle name="Accent4 12" xfId="902" xr:uid="{00000000-0005-0000-0000-000085030000}"/>
    <cellStyle name="Accent4 13" xfId="903" xr:uid="{00000000-0005-0000-0000-000086030000}"/>
    <cellStyle name="Accent4 14" xfId="904" xr:uid="{00000000-0005-0000-0000-000087030000}"/>
    <cellStyle name="Accent4 15" xfId="905" xr:uid="{00000000-0005-0000-0000-000088030000}"/>
    <cellStyle name="Accent4 2" xfId="906" xr:uid="{00000000-0005-0000-0000-000089030000}"/>
    <cellStyle name="Accent4 2 2" xfId="907" xr:uid="{00000000-0005-0000-0000-00008A030000}"/>
    <cellStyle name="Accent4 2 2 2" xfId="908" xr:uid="{00000000-0005-0000-0000-00008B030000}"/>
    <cellStyle name="Accent4 2 3" xfId="909" xr:uid="{00000000-0005-0000-0000-00008C030000}"/>
    <cellStyle name="Accent4 2 3 2" xfId="910" xr:uid="{00000000-0005-0000-0000-00008D030000}"/>
    <cellStyle name="Accent4 2 4" xfId="911" xr:uid="{00000000-0005-0000-0000-00008E030000}"/>
    <cellStyle name="Accent4 2 5" xfId="912" xr:uid="{00000000-0005-0000-0000-00008F030000}"/>
    <cellStyle name="Accent4 2 6" xfId="913" xr:uid="{00000000-0005-0000-0000-000090030000}"/>
    <cellStyle name="Accent4 2 7" xfId="914" xr:uid="{00000000-0005-0000-0000-000091030000}"/>
    <cellStyle name="Accent4 3" xfId="915" xr:uid="{00000000-0005-0000-0000-000092030000}"/>
    <cellStyle name="Accent4 3 2" xfId="916" xr:uid="{00000000-0005-0000-0000-000093030000}"/>
    <cellStyle name="Accent4 3 3" xfId="917" xr:uid="{00000000-0005-0000-0000-000094030000}"/>
    <cellStyle name="Accent4 4" xfId="918" xr:uid="{00000000-0005-0000-0000-000095030000}"/>
    <cellStyle name="Accent4 4 2" xfId="919" xr:uid="{00000000-0005-0000-0000-000096030000}"/>
    <cellStyle name="Accent4 5" xfId="920" xr:uid="{00000000-0005-0000-0000-000097030000}"/>
    <cellStyle name="Accent4 6" xfId="921" xr:uid="{00000000-0005-0000-0000-000098030000}"/>
    <cellStyle name="Accent4 7" xfId="922" xr:uid="{00000000-0005-0000-0000-000099030000}"/>
    <cellStyle name="Accent4 8" xfId="923" xr:uid="{00000000-0005-0000-0000-00009A030000}"/>
    <cellStyle name="Accent4 9" xfId="924" xr:uid="{00000000-0005-0000-0000-00009B030000}"/>
    <cellStyle name="Accent5 10" xfId="925" xr:uid="{00000000-0005-0000-0000-00009C030000}"/>
    <cellStyle name="Accent5 11" xfId="926" xr:uid="{00000000-0005-0000-0000-00009D030000}"/>
    <cellStyle name="Accent5 12" xfId="927" xr:uid="{00000000-0005-0000-0000-00009E030000}"/>
    <cellStyle name="Accent5 13" xfId="928" xr:uid="{00000000-0005-0000-0000-00009F030000}"/>
    <cellStyle name="Accent5 14" xfId="929" xr:uid="{00000000-0005-0000-0000-0000A0030000}"/>
    <cellStyle name="Accent5 15" xfId="930" xr:uid="{00000000-0005-0000-0000-0000A1030000}"/>
    <cellStyle name="Accent5 2" xfId="931" xr:uid="{00000000-0005-0000-0000-0000A2030000}"/>
    <cellStyle name="Accent5 2 2" xfId="932" xr:uid="{00000000-0005-0000-0000-0000A3030000}"/>
    <cellStyle name="Accent5 2 2 2" xfId="933" xr:uid="{00000000-0005-0000-0000-0000A4030000}"/>
    <cellStyle name="Accent5 2 3" xfId="934" xr:uid="{00000000-0005-0000-0000-0000A5030000}"/>
    <cellStyle name="Accent5 2 3 2" xfId="935" xr:uid="{00000000-0005-0000-0000-0000A6030000}"/>
    <cellStyle name="Accent5 2 4" xfId="936" xr:uid="{00000000-0005-0000-0000-0000A7030000}"/>
    <cellStyle name="Accent5 2 5" xfId="937" xr:uid="{00000000-0005-0000-0000-0000A8030000}"/>
    <cellStyle name="Accent5 2 6" xfId="938" xr:uid="{00000000-0005-0000-0000-0000A9030000}"/>
    <cellStyle name="Accent5 3" xfId="939" xr:uid="{00000000-0005-0000-0000-0000AA030000}"/>
    <cellStyle name="Accent5 3 2" xfId="940" xr:uid="{00000000-0005-0000-0000-0000AB030000}"/>
    <cellStyle name="Accent5 3 3" xfId="941" xr:uid="{00000000-0005-0000-0000-0000AC030000}"/>
    <cellStyle name="Accent5 4" xfId="942" xr:uid="{00000000-0005-0000-0000-0000AD030000}"/>
    <cellStyle name="Accent5 4 2" xfId="943" xr:uid="{00000000-0005-0000-0000-0000AE030000}"/>
    <cellStyle name="Accent5 5" xfId="944" xr:uid="{00000000-0005-0000-0000-0000AF030000}"/>
    <cellStyle name="Accent5 6" xfId="945" xr:uid="{00000000-0005-0000-0000-0000B0030000}"/>
    <cellStyle name="Accent5 7" xfId="946" xr:uid="{00000000-0005-0000-0000-0000B1030000}"/>
    <cellStyle name="Accent5 8" xfId="947" xr:uid="{00000000-0005-0000-0000-0000B2030000}"/>
    <cellStyle name="Accent5 9" xfId="948" xr:uid="{00000000-0005-0000-0000-0000B3030000}"/>
    <cellStyle name="Accent6 10" xfId="949" xr:uid="{00000000-0005-0000-0000-0000B4030000}"/>
    <cellStyle name="Accent6 11" xfId="950" xr:uid="{00000000-0005-0000-0000-0000B5030000}"/>
    <cellStyle name="Accent6 12" xfId="951" xr:uid="{00000000-0005-0000-0000-0000B6030000}"/>
    <cellStyle name="Accent6 13" xfId="952" xr:uid="{00000000-0005-0000-0000-0000B7030000}"/>
    <cellStyle name="Accent6 14" xfId="953" xr:uid="{00000000-0005-0000-0000-0000B8030000}"/>
    <cellStyle name="Accent6 15" xfId="954" xr:uid="{00000000-0005-0000-0000-0000B9030000}"/>
    <cellStyle name="Accent6 2" xfId="955" xr:uid="{00000000-0005-0000-0000-0000BA030000}"/>
    <cellStyle name="Accent6 2 2" xfId="956" xr:uid="{00000000-0005-0000-0000-0000BB030000}"/>
    <cellStyle name="Accent6 2 2 2" xfId="957" xr:uid="{00000000-0005-0000-0000-0000BC030000}"/>
    <cellStyle name="Accent6 2 3" xfId="958" xr:uid="{00000000-0005-0000-0000-0000BD030000}"/>
    <cellStyle name="Accent6 2 3 2" xfId="959" xr:uid="{00000000-0005-0000-0000-0000BE030000}"/>
    <cellStyle name="Accent6 2 4" xfId="960" xr:uid="{00000000-0005-0000-0000-0000BF030000}"/>
    <cellStyle name="Accent6 2 5" xfId="961" xr:uid="{00000000-0005-0000-0000-0000C0030000}"/>
    <cellStyle name="Accent6 2 6" xfId="962" xr:uid="{00000000-0005-0000-0000-0000C1030000}"/>
    <cellStyle name="Accent6 2 7" xfId="963" xr:uid="{00000000-0005-0000-0000-0000C2030000}"/>
    <cellStyle name="Accent6 3" xfId="964" xr:uid="{00000000-0005-0000-0000-0000C3030000}"/>
    <cellStyle name="Accent6 3 2" xfId="965" xr:uid="{00000000-0005-0000-0000-0000C4030000}"/>
    <cellStyle name="Accent6 3 3" xfId="966" xr:uid="{00000000-0005-0000-0000-0000C5030000}"/>
    <cellStyle name="Accent6 4" xfId="967" xr:uid="{00000000-0005-0000-0000-0000C6030000}"/>
    <cellStyle name="Accent6 4 2" xfId="968" xr:uid="{00000000-0005-0000-0000-0000C7030000}"/>
    <cellStyle name="Accent6 5" xfId="969" xr:uid="{00000000-0005-0000-0000-0000C8030000}"/>
    <cellStyle name="Accent6 6" xfId="970" xr:uid="{00000000-0005-0000-0000-0000C9030000}"/>
    <cellStyle name="Accent6 7" xfId="971" xr:uid="{00000000-0005-0000-0000-0000CA030000}"/>
    <cellStyle name="Accent6 8" xfId="972" xr:uid="{00000000-0005-0000-0000-0000CB030000}"/>
    <cellStyle name="Accent6 9" xfId="973" xr:uid="{00000000-0005-0000-0000-0000CC030000}"/>
    <cellStyle name="Bad 10" xfId="974" xr:uid="{00000000-0005-0000-0000-0000CD030000}"/>
    <cellStyle name="Bad 11" xfId="975" xr:uid="{00000000-0005-0000-0000-0000CE030000}"/>
    <cellStyle name="Bad 12" xfId="976" xr:uid="{00000000-0005-0000-0000-0000CF030000}"/>
    <cellStyle name="Bad 13" xfId="977" xr:uid="{00000000-0005-0000-0000-0000D0030000}"/>
    <cellStyle name="Bad 14" xfId="978" xr:uid="{00000000-0005-0000-0000-0000D1030000}"/>
    <cellStyle name="Bad 15" xfId="979" xr:uid="{00000000-0005-0000-0000-0000D2030000}"/>
    <cellStyle name="Bad 2" xfId="980" xr:uid="{00000000-0005-0000-0000-0000D3030000}"/>
    <cellStyle name="Bad 2 2" xfId="981" xr:uid="{00000000-0005-0000-0000-0000D4030000}"/>
    <cellStyle name="Bad 2 2 2" xfId="982" xr:uid="{00000000-0005-0000-0000-0000D5030000}"/>
    <cellStyle name="Bad 2 3" xfId="983" xr:uid="{00000000-0005-0000-0000-0000D6030000}"/>
    <cellStyle name="Bad 2 3 2" xfId="984" xr:uid="{00000000-0005-0000-0000-0000D7030000}"/>
    <cellStyle name="Bad 2 4" xfId="985" xr:uid="{00000000-0005-0000-0000-0000D8030000}"/>
    <cellStyle name="Bad 2 5" xfId="986" xr:uid="{00000000-0005-0000-0000-0000D9030000}"/>
    <cellStyle name="Bad 2 6" xfId="987" xr:uid="{00000000-0005-0000-0000-0000DA030000}"/>
    <cellStyle name="Bad 3" xfId="988" xr:uid="{00000000-0005-0000-0000-0000DB030000}"/>
    <cellStyle name="Bad 3 2" xfId="989" xr:uid="{00000000-0005-0000-0000-0000DC030000}"/>
    <cellStyle name="Bad 3 3" xfId="990" xr:uid="{00000000-0005-0000-0000-0000DD030000}"/>
    <cellStyle name="Bad 4" xfId="991" xr:uid="{00000000-0005-0000-0000-0000DE030000}"/>
    <cellStyle name="Bad 4 2" xfId="992" xr:uid="{00000000-0005-0000-0000-0000DF030000}"/>
    <cellStyle name="Bad 5" xfId="993" xr:uid="{00000000-0005-0000-0000-0000E0030000}"/>
    <cellStyle name="Bad 6" xfId="994" xr:uid="{00000000-0005-0000-0000-0000E1030000}"/>
    <cellStyle name="Bad 7" xfId="995" xr:uid="{00000000-0005-0000-0000-0000E2030000}"/>
    <cellStyle name="Bad 8" xfId="996" xr:uid="{00000000-0005-0000-0000-0000E3030000}"/>
    <cellStyle name="Bad 9" xfId="997" xr:uid="{00000000-0005-0000-0000-0000E4030000}"/>
    <cellStyle name="Calculation 10" xfId="998" xr:uid="{00000000-0005-0000-0000-0000E5030000}"/>
    <cellStyle name="Calculation 11" xfId="999" xr:uid="{00000000-0005-0000-0000-0000E6030000}"/>
    <cellStyle name="Calculation 12" xfId="1000" xr:uid="{00000000-0005-0000-0000-0000E7030000}"/>
    <cellStyle name="Calculation 13" xfId="1001" xr:uid="{00000000-0005-0000-0000-0000E8030000}"/>
    <cellStyle name="Calculation 14" xfId="1002" xr:uid="{00000000-0005-0000-0000-0000E9030000}"/>
    <cellStyle name="Calculation 15" xfId="1003" xr:uid="{00000000-0005-0000-0000-0000EA030000}"/>
    <cellStyle name="Calculation 2" xfId="1004" xr:uid="{00000000-0005-0000-0000-0000EB030000}"/>
    <cellStyle name="Calculation 2 2" xfId="1005" xr:uid="{00000000-0005-0000-0000-0000EC030000}"/>
    <cellStyle name="Calculation 2 2 2" xfId="1006" xr:uid="{00000000-0005-0000-0000-0000ED030000}"/>
    <cellStyle name="Calculation 2 3" xfId="1007" xr:uid="{00000000-0005-0000-0000-0000EE030000}"/>
    <cellStyle name="Calculation 2 3 2" xfId="1008" xr:uid="{00000000-0005-0000-0000-0000EF030000}"/>
    <cellStyle name="Calculation 2 4" xfId="1009" xr:uid="{00000000-0005-0000-0000-0000F0030000}"/>
    <cellStyle name="Calculation 2 5" xfId="1010" xr:uid="{00000000-0005-0000-0000-0000F1030000}"/>
    <cellStyle name="Calculation 2 6" xfId="1011" xr:uid="{00000000-0005-0000-0000-0000F2030000}"/>
    <cellStyle name="Calculation 3" xfId="1012" xr:uid="{00000000-0005-0000-0000-0000F3030000}"/>
    <cellStyle name="Calculation 3 2" xfId="1013" xr:uid="{00000000-0005-0000-0000-0000F4030000}"/>
    <cellStyle name="Calculation 3 3" xfId="1014" xr:uid="{00000000-0005-0000-0000-0000F5030000}"/>
    <cellStyle name="Calculation 4" xfId="1015" xr:uid="{00000000-0005-0000-0000-0000F6030000}"/>
    <cellStyle name="Calculation 4 2" xfId="1016" xr:uid="{00000000-0005-0000-0000-0000F7030000}"/>
    <cellStyle name="Calculation 5" xfId="1017" xr:uid="{00000000-0005-0000-0000-0000F8030000}"/>
    <cellStyle name="Calculation 6" xfId="1018" xr:uid="{00000000-0005-0000-0000-0000F9030000}"/>
    <cellStyle name="Calculation 7" xfId="1019" xr:uid="{00000000-0005-0000-0000-0000FA030000}"/>
    <cellStyle name="Calculation 8" xfId="1020" xr:uid="{00000000-0005-0000-0000-0000FB030000}"/>
    <cellStyle name="Calculation 9" xfId="1021" xr:uid="{00000000-0005-0000-0000-0000FC030000}"/>
    <cellStyle name="Check Cell 10" xfId="1022" xr:uid="{00000000-0005-0000-0000-0000FD030000}"/>
    <cellStyle name="Check Cell 11" xfId="1023" xr:uid="{00000000-0005-0000-0000-0000FE030000}"/>
    <cellStyle name="Check Cell 12" xfId="1024" xr:uid="{00000000-0005-0000-0000-0000FF030000}"/>
    <cellStyle name="Check Cell 13" xfId="1025" xr:uid="{00000000-0005-0000-0000-000000040000}"/>
    <cellStyle name="Check Cell 14" xfId="1026" xr:uid="{00000000-0005-0000-0000-000001040000}"/>
    <cellStyle name="Check Cell 15" xfId="1027" xr:uid="{00000000-0005-0000-0000-000002040000}"/>
    <cellStyle name="Check Cell 2" xfId="1028" xr:uid="{00000000-0005-0000-0000-000003040000}"/>
    <cellStyle name="Check Cell 2 2" xfId="1029" xr:uid="{00000000-0005-0000-0000-000004040000}"/>
    <cellStyle name="Check Cell 2 2 2" xfId="1030" xr:uid="{00000000-0005-0000-0000-000005040000}"/>
    <cellStyle name="Check Cell 2 3" xfId="1031" xr:uid="{00000000-0005-0000-0000-000006040000}"/>
    <cellStyle name="Check Cell 2 3 2" xfId="1032" xr:uid="{00000000-0005-0000-0000-000007040000}"/>
    <cellStyle name="Check Cell 2 4" xfId="1033" xr:uid="{00000000-0005-0000-0000-000008040000}"/>
    <cellStyle name="Check Cell 2 5" xfId="1034" xr:uid="{00000000-0005-0000-0000-000009040000}"/>
    <cellStyle name="Check Cell 2 6" xfId="1035" xr:uid="{00000000-0005-0000-0000-00000A040000}"/>
    <cellStyle name="Check Cell 3" xfId="1036" xr:uid="{00000000-0005-0000-0000-00000B040000}"/>
    <cellStyle name="Check Cell 3 2" xfId="1037" xr:uid="{00000000-0005-0000-0000-00000C040000}"/>
    <cellStyle name="Check Cell 3 3" xfId="1038" xr:uid="{00000000-0005-0000-0000-00000D040000}"/>
    <cellStyle name="Check Cell 4" xfId="1039" xr:uid="{00000000-0005-0000-0000-00000E040000}"/>
    <cellStyle name="Check Cell 4 2" xfId="1040" xr:uid="{00000000-0005-0000-0000-00000F040000}"/>
    <cellStyle name="Check Cell 5" xfId="1041" xr:uid="{00000000-0005-0000-0000-000010040000}"/>
    <cellStyle name="Check Cell 6" xfId="1042" xr:uid="{00000000-0005-0000-0000-000011040000}"/>
    <cellStyle name="Check Cell 7" xfId="1043" xr:uid="{00000000-0005-0000-0000-000012040000}"/>
    <cellStyle name="Check Cell 8" xfId="1044" xr:uid="{00000000-0005-0000-0000-000013040000}"/>
    <cellStyle name="Check Cell 9" xfId="1045" xr:uid="{00000000-0005-0000-0000-000014040000}"/>
    <cellStyle name="Comma" xfId="1046" builtinId="3"/>
    <cellStyle name="Comma 10" xfId="1047" xr:uid="{00000000-0005-0000-0000-000016040000}"/>
    <cellStyle name="Comma 11" xfId="1048" xr:uid="{00000000-0005-0000-0000-000017040000}"/>
    <cellStyle name="Comma 12" xfId="1049" xr:uid="{00000000-0005-0000-0000-000018040000}"/>
    <cellStyle name="Comma 13" xfId="1050" xr:uid="{00000000-0005-0000-0000-000019040000}"/>
    <cellStyle name="Comma 14" xfId="1051" xr:uid="{00000000-0005-0000-0000-00001A040000}"/>
    <cellStyle name="Comma 15" xfId="1052" xr:uid="{00000000-0005-0000-0000-00001B040000}"/>
    <cellStyle name="Comma 16" xfId="1053" xr:uid="{00000000-0005-0000-0000-00001C040000}"/>
    <cellStyle name="Comma 17" xfId="1054" xr:uid="{00000000-0005-0000-0000-00001D040000}"/>
    <cellStyle name="Comma 2" xfId="1055" xr:uid="{00000000-0005-0000-0000-00001E040000}"/>
    <cellStyle name="Comma 2 10" xfId="1056" xr:uid="{00000000-0005-0000-0000-00001F040000}"/>
    <cellStyle name="Comma 2 2" xfId="1057" xr:uid="{00000000-0005-0000-0000-000020040000}"/>
    <cellStyle name="Comma 2 2 2" xfId="1058" xr:uid="{00000000-0005-0000-0000-000021040000}"/>
    <cellStyle name="Comma 2 2 3" xfId="1059" xr:uid="{00000000-0005-0000-0000-000022040000}"/>
    <cellStyle name="Comma 2 3" xfId="1060" xr:uid="{00000000-0005-0000-0000-000023040000}"/>
    <cellStyle name="Comma 2 3 2" xfId="1061" xr:uid="{00000000-0005-0000-0000-000024040000}"/>
    <cellStyle name="Comma 2 3 3" xfId="1062" xr:uid="{00000000-0005-0000-0000-000025040000}"/>
    <cellStyle name="Comma 2 4" xfId="1063" xr:uid="{00000000-0005-0000-0000-000026040000}"/>
    <cellStyle name="Comma 2 4 2" xfId="1064" xr:uid="{00000000-0005-0000-0000-000027040000}"/>
    <cellStyle name="Comma 2 5" xfId="1065" xr:uid="{00000000-0005-0000-0000-000028040000}"/>
    <cellStyle name="Comma 2 5 2" xfId="1066" xr:uid="{00000000-0005-0000-0000-000029040000}"/>
    <cellStyle name="Comma 2 6" xfId="1067" xr:uid="{00000000-0005-0000-0000-00002A040000}"/>
    <cellStyle name="Comma 2 6 2" xfId="1068" xr:uid="{00000000-0005-0000-0000-00002B040000}"/>
    <cellStyle name="Comma 2 7" xfId="1069" xr:uid="{00000000-0005-0000-0000-00002C040000}"/>
    <cellStyle name="Comma 2 8" xfId="1070" xr:uid="{00000000-0005-0000-0000-00002D040000}"/>
    <cellStyle name="Comma 2 9" xfId="1071" xr:uid="{00000000-0005-0000-0000-00002E040000}"/>
    <cellStyle name="Comma 3" xfId="1072" xr:uid="{00000000-0005-0000-0000-00002F040000}"/>
    <cellStyle name="Comma 3 2" xfId="1073" xr:uid="{00000000-0005-0000-0000-000030040000}"/>
    <cellStyle name="Comma 3 2 2" xfId="1074" xr:uid="{00000000-0005-0000-0000-000031040000}"/>
    <cellStyle name="Comma 3 2 2 2" xfId="1075" xr:uid="{00000000-0005-0000-0000-000032040000}"/>
    <cellStyle name="Comma 3 2 2 3" xfId="1076" xr:uid="{00000000-0005-0000-0000-000033040000}"/>
    <cellStyle name="Comma 3 2 3" xfId="1077" xr:uid="{00000000-0005-0000-0000-000034040000}"/>
    <cellStyle name="Comma 3 3" xfId="1078" xr:uid="{00000000-0005-0000-0000-000035040000}"/>
    <cellStyle name="Comma 3 3 2" xfId="1079" xr:uid="{00000000-0005-0000-0000-000036040000}"/>
    <cellStyle name="Comma 3 3 3" xfId="1080" xr:uid="{00000000-0005-0000-0000-000037040000}"/>
    <cellStyle name="Comma 3 4" xfId="1081" xr:uid="{00000000-0005-0000-0000-000038040000}"/>
    <cellStyle name="Comma 3 4 2" xfId="1082" xr:uid="{00000000-0005-0000-0000-000039040000}"/>
    <cellStyle name="Comma 3 5" xfId="1083" xr:uid="{00000000-0005-0000-0000-00003A040000}"/>
    <cellStyle name="Comma 3 6" xfId="1084" xr:uid="{00000000-0005-0000-0000-00003B040000}"/>
    <cellStyle name="Comma 3 7" xfId="1085" xr:uid="{00000000-0005-0000-0000-00003C040000}"/>
    <cellStyle name="Comma 4" xfId="1086" xr:uid="{00000000-0005-0000-0000-00003D040000}"/>
    <cellStyle name="Comma 4 2" xfId="1087" xr:uid="{00000000-0005-0000-0000-00003E040000}"/>
    <cellStyle name="Comma 4 2 2" xfId="1088" xr:uid="{00000000-0005-0000-0000-00003F040000}"/>
    <cellStyle name="Comma 4 3" xfId="1089" xr:uid="{00000000-0005-0000-0000-000040040000}"/>
    <cellStyle name="Comma 4 3 2" xfId="1090" xr:uid="{00000000-0005-0000-0000-000041040000}"/>
    <cellStyle name="Comma 4 4" xfId="1091" xr:uid="{00000000-0005-0000-0000-000042040000}"/>
    <cellStyle name="Comma 4 5" xfId="1092" xr:uid="{00000000-0005-0000-0000-000043040000}"/>
    <cellStyle name="Comma 4 6" xfId="1093" xr:uid="{00000000-0005-0000-0000-000044040000}"/>
    <cellStyle name="Comma 5" xfId="1094" xr:uid="{00000000-0005-0000-0000-000045040000}"/>
    <cellStyle name="Comma 5 2" xfId="1095" xr:uid="{00000000-0005-0000-0000-000046040000}"/>
    <cellStyle name="Comma 5 3" xfId="1096" xr:uid="{00000000-0005-0000-0000-000047040000}"/>
    <cellStyle name="Comma 6" xfId="1097" xr:uid="{00000000-0005-0000-0000-000048040000}"/>
    <cellStyle name="Comma 6 2" xfId="1098" xr:uid="{00000000-0005-0000-0000-000049040000}"/>
    <cellStyle name="Comma 7" xfId="1099" xr:uid="{00000000-0005-0000-0000-00004A040000}"/>
    <cellStyle name="Comma 7 2" xfId="1100" xr:uid="{00000000-0005-0000-0000-00004B040000}"/>
    <cellStyle name="Comma 7 2 2" xfId="1101" xr:uid="{00000000-0005-0000-0000-00004C040000}"/>
    <cellStyle name="Comma 7 2 3" xfId="1102" xr:uid="{00000000-0005-0000-0000-00004D040000}"/>
    <cellStyle name="Comma 7 3" xfId="1103" xr:uid="{00000000-0005-0000-0000-00004E040000}"/>
    <cellStyle name="Comma 7 3 2" xfId="1104" xr:uid="{00000000-0005-0000-0000-00004F040000}"/>
    <cellStyle name="Comma 7 4" xfId="1105" xr:uid="{00000000-0005-0000-0000-000050040000}"/>
    <cellStyle name="Comma 7 5" xfId="1106" xr:uid="{00000000-0005-0000-0000-000051040000}"/>
    <cellStyle name="Comma 7 6" xfId="1107" xr:uid="{00000000-0005-0000-0000-000052040000}"/>
    <cellStyle name="Comma 8" xfId="1108" xr:uid="{00000000-0005-0000-0000-000053040000}"/>
    <cellStyle name="Comma 8 2" xfId="1109" xr:uid="{00000000-0005-0000-0000-000054040000}"/>
    <cellStyle name="Comma 9" xfId="1110" xr:uid="{00000000-0005-0000-0000-000055040000}"/>
    <cellStyle name="Comma0" xfId="1111" xr:uid="{00000000-0005-0000-0000-000056040000}"/>
    <cellStyle name="Comma0 2" xfId="1112" xr:uid="{00000000-0005-0000-0000-000057040000}"/>
    <cellStyle name="Comma0 2 2" xfId="1113" xr:uid="{00000000-0005-0000-0000-000058040000}"/>
    <cellStyle name="Comma0 3" xfId="1114" xr:uid="{00000000-0005-0000-0000-000059040000}"/>
    <cellStyle name="Comma0 3 2" xfId="1115" xr:uid="{00000000-0005-0000-0000-00005A040000}"/>
    <cellStyle name="Comma0 4" xfId="1116" xr:uid="{00000000-0005-0000-0000-00005B040000}"/>
    <cellStyle name="Currency 10" xfId="1117" xr:uid="{00000000-0005-0000-0000-00005C040000}"/>
    <cellStyle name="Currency 11" xfId="1118" xr:uid="{00000000-0005-0000-0000-00005D040000}"/>
    <cellStyle name="Currency 2" xfId="1119" xr:uid="{00000000-0005-0000-0000-00005E040000}"/>
    <cellStyle name="Currency 2 2" xfId="1120" xr:uid="{00000000-0005-0000-0000-00005F040000}"/>
    <cellStyle name="Currency 2 2 2" xfId="1121" xr:uid="{00000000-0005-0000-0000-000060040000}"/>
    <cellStyle name="Currency 2 2 3" xfId="1122" xr:uid="{00000000-0005-0000-0000-000061040000}"/>
    <cellStyle name="Currency 2 3" xfId="1123" xr:uid="{00000000-0005-0000-0000-000062040000}"/>
    <cellStyle name="Currency 2 3 2" xfId="1124" xr:uid="{00000000-0005-0000-0000-000063040000}"/>
    <cellStyle name="Currency 2 3 3" xfId="1125" xr:uid="{00000000-0005-0000-0000-000064040000}"/>
    <cellStyle name="Currency 2 4" xfId="1126" xr:uid="{00000000-0005-0000-0000-000065040000}"/>
    <cellStyle name="Currency 2 4 2" xfId="1127" xr:uid="{00000000-0005-0000-0000-000066040000}"/>
    <cellStyle name="Currency 2 5" xfId="1128" xr:uid="{00000000-0005-0000-0000-000067040000}"/>
    <cellStyle name="Currency 2 5 2" xfId="1129" xr:uid="{00000000-0005-0000-0000-000068040000}"/>
    <cellStyle name="Currency 2 6" xfId="1130" xr:uid="{00000000-0005-0000-0000-000069040000}"/>
    <cellStyle name="Currency 2 6 2" xfId="1131" xr:uid="{00000000-0005-0000-0000-00006A040000}"/>
    <cellStyle name="Currency 2 7" xfId="1132" xr:uid="{00000000-0005-0000-0000-00006B040000}"/>
    <cellStyle name="Currency 2 8" xfId="1133" xr:uid="{00000000-0005-0000-0000-00006C040000}"/>
    <cellStyle name="Currency 2 9" xfId="1134" xr:uid="{00000000-0005-0000-0000-00006D040000}"/>
    <cellStyle name="Currency 3" xfId="1135" xr:uid="{00000000-0005-0000-0000-00006E040000}"/>
    <cellStyle name="Currency 3 2" xfId="1136" xr:uid="{00000000-0005-0000-0000-00006F040000}"/>
    <cellStyle name="Currency 3 2 2" xfId="1137" xr:uid="{00000000-0005-0000-0000-000070040000}"/>
    <cellStyle name="Currency 3 3" xfId="1138" xr:uid="{00000000-0005-0000-0000-000071040000}"/>
    <cellStyle name="Currency 4" xfId="1139" xr:uid="{00000000-0005-0000-0000-000072040000}"/>
    <cellStyle name="Currency 4 2" xfId="1140" xr:uid="{00000000-0005-0000-0000-000073040000}"/>
    <cellStyle name="Currency 5" xfId="1141" xr:uid="{00000000-0005-0000-0000-000074040000}"/>
    <cellStyle name="Currency 5 2" xfId="1142" xr:uid="{00000000-0005-0000-0000-000075040000}"/>
    <cellStyle name="Currency 5 2 2" xfId="1143" xr:uid="{00000000-0005-0000-0000-000076040000}"/>
    <cellStyle name="Currency 5 3" xfId="1144" xr:uid="{00000000-0005-0000-0000-000077040000}"/>
    <cellStyle name="Currency 5 4" xfId="1145" xr:uid="{00000000-0005-0000-0000-000078040000}"/>
    <cellStyle name="Currency 5 5" xfId="1146" xr:uid="{00000000-0005-0000-0000-000079040000}"/>
    <cellStyle name="Currency 5 6" xfId="1147" xr:uid="{00000000-0005-0000-0000-00007A040000}"/>
    <cellStyle name="Currency 6" xfId="1148" xr:uid="{00000000-0005-0000-0000-00007B040000}"/>
    <cellStyle name="Currency 6 2" xfId="1149" xr:uid="{00000000-0005-0000-0000-00007C040000}"/>
    <cellStyle name="Currency 7" xfId="1150" xr:uid="{00000000-0005-0000-0000-00007D040000}"/>
    <cellStyle name="Currency 8" xfId="1151" xr:uid="{00000000-0005-0000-0000-00007E040000}"/>
    <cellStyle name="Currency 9" xfId="1152" xr:uid="{00000000-0005-0000-0000-00007F040000}"/>
    <cellStyle name="Currency0" xfId="1153" xr:uid="{00000000-0005-0000-0000-000080040000}"/>
    <cellStyle name="Currency0 2" xfId="1154" xr:uid="{00000000-0005-0000-0000-000081040000}"/>
    <cellStyle name="Currency0 2 2" xfId="1155" xr:uid="{00000000-0005-0000-0000-000082040000}"/>
    <cellStyle name="Currency0 3" xfId="1156" xr:uid="{00000000-0005-0000-0000-000083040000}"/>
    <cellStyle name="Currency0 3 2" xfId="1157" xr:uid="{00000000-0005-0000-0000-000084040000}"/>
    <cellStyle name="Currency0 4" xfId="1158" xr:uid="{00000000-0005-0000-0000-000085040000}"/>
    <cellStyle name="Date" xfId="1159" xr:uid="{00000000-0005-0000-0000-000086040000}"/>
    <cellStyle name="Date 2" xfId="1160" xr:uid="{00000000-0005-0000-0000-000087040000}"/>
    <cellStyle name="Date 2 2" xfId="1161" xr:uid="{00000000-0005-0000-0000-000088040000}"/>
    <cellStyle name="Date 3" xfId="1162" xr:uid="{00000000-0005-0000-0000-000089040000}"/>
    <cellStyle name="Date 3 2" xfId="1163" xr:uid="{00000000-0005-0000-0000-00008A040000}"/>
    <cellStyle name="Date 4" xfId="1164" xr:uid="{00000000-0005-0000-0000-00008B040000}"/>
    <cellStyle name="Excel Built-in Good" xfId="1165" xr:uid="{00000000-0005-0000-0000-00008C040000}"/>
    <cellStyle name="Excel Built-in Good 2" xfId="1166" xr:uid="{00000000-0005-0000-0000-00008D040000}"/>
    <cellStyle name="Excel Built-in Normal" xfId="1167" xr:uid="{00000000-0005-0000-0000-00008E040000}"/>
    <cellStyle name="Explanatory Text 10" xfId="1168" xr:uid="{00000000-0005-0000-0000-00008F040000}"/>
    <cellStyle name="Explanatory Text 11" xfId="1169" xr:uid="{00000000-0005-0000-0000-000090040000}"/>
    <cellStyle name="Explanatory Text 12" xfId="1170" xr:uid="{00000000-0005-0000-0000-000091040000}"/>
    <cellStyle name="Explanatory Text 13" xfId="1171" xr:uid="{00000000-0005-0000-0000-000092040000}"/>
    <cellStyle name="Explanatory Text 14" xfId="1172" xr:uid="{00000000-0005-0000-0000-000093040000}"/>
    <cellStyle name="Explanatory Text 15" xfId="1173" xr:uid="{00000000-0005-0000-0000-000094040000}"/>
    <cellStyle name="Explanatory Text 2" xfId="1174" xr:uid="{00000000-0005-0000-0000-000095040000}"/>
    <cellStyle name="Explanatory Text 2 2" xfId="1175" xr:uid="{00000000-0005-0000-0000-000096040000}"/>
    <cellStyle name="Explanatory Text 2 2 2" xfId="1176" xr:uid="{00000000-0005-0000-0000-000097040000}"/>
    <cellStyle name="Explanatory Text 2 3" xfId="1177" xr:uid="{00000000-0005-0000-0000-000098040000}"/>
    <cellStyle name="Explanatory Text 2 3 2" xfId="1178" xr:uid="{00000000-0005-0000-0000-000099040000}"/>
    <cellStyle name="Explanatory Text 2 4" xfId="1179" xr:uid="{00000000-0005-0000-0000-00009A040000}"/>
    <cellStyle name="Explanatory Text 2 5" xfId="1180" xr:uid="{00000000-0005-0000-0000-00009B040000}"/>
    <cellStyle name="Explanatory Text 2 6" xfId="1181" xr:uid="{00000000-0005-0000-0000-00009C040000}"/>
    <cellStyle name="Explanatory Text 3" xfId="1182" xr:uid="{00000000-0005-0000-0000-00009D040000}"/>
    <cellStyle name="Explanatory Text 3 2" xfId="1183" xr:uid="{00000000-0005-0000-0000-00009E040000}"/>
    <cellStyle name="Explanatory Text 3 3" xfId="1184" xr:uid="{00000000-0005-0000-0000-00009F040000}"/>
    <cellStyle name="Explanatory Text 4" xfId="1185" xr:uid="{00000000-0005-0000-0000-0000A0040000}"/>
    <cellStyle name="Explanatory Text 4 2" xfId="1186" xr:uid="{00000000-0005-0000-0000-0000A1040000}"/>
    <cellStyle name="Explanatory Text 5" xfId="1187" xr:uid="{00000000-0005-0000-0000-0000A2040000}"/>
    <cellStyle name="Explanatory Text 6" xfId="1188" xr:uid="{00000000-0005-0000-0000-0000A3040000}"/>
    <cellStyle name="Explanatory Text 7" xfId="1189" xr:uid="{00000000-0005-0000-0000-0000A4040000}"/>
    <cellStyle name="Explanatory Text 8" xfId="1190" xr:uid="{00000000-0005-0000-0000-0000A5040000}"/>
    <cellStyle name="Explanatory Text 9" xfId="1191" xr:uid="{00000000-0005-0000-0000-0000A6040000}"/>
    <cellStyle name="fitness_general" xfId="1192" xr:uid="{00000000-0005-0000-0000-0000A7040000}"/>
    <cellStyle name="Fitness-header" xfId="1193" xr:uid="{00000000-0005-0000-0000-0000A8040000}"/>
    <cellStyle name="Fixed" xfId="1194" xr:uid="{00000000-0005-0000-0000-0000A9040000}"/>
    <cellStyle name="Fixed 2" xfId="1195" xr:uid="{00000000-0005-0000-0000-0000AA040000}"/>
    <cellStyle name="Fixed 2 2" xfId="1196" xr:uid="{00000000-0005-0000-0000-0000AB040000}"/>
    <cellStyle name="Fixed 3" xfId="1197" xr:uid="{00000000-0005-0000-0000-0000AC040000}"/>
    <cellStyle name="Fixed 3 2" xfId="1198" xr:uid="{00000000-0005-0000-0000-0000AD040000}"/>
    <cellStyle name="Fixed 4" xfId="1199" xr:uid="{00000000-0005-0000-0000-0000AE040000}"/>
    <cellStyle name="Good 10" xfId="1200" xr:uid="{00000000-0005-0000-0000-0000AF040000}"/>
    <cellStyle name="Good 11" xfId="1201" xr:uid="{00000000-0005-0000-0000-0000B0040000}"/>
    <cellStyle name="Good 12" xfId="1202" xr:uid="{00000000-0005-0000-0000-0000B1040000}"/>
    <cellStyle name="Good 13" xfId="1203" xr:uid="{00000000-0005-0000-0000-0000B2040000}"/>
    <cellStyle name="Good 14" xfId="1204" xr:uid="{00000000-0005-0000-0000-0000B3040000}"/>
    <cellStyle name="Good 15" xfId="1205" xr:uid="{00000000-0005-0000-0000-0000B4040000}"/>
    <cellStyle name="Good 2" xfId="1206" xr:uid="{00000000-0005-0000-0000-0000B5040000}"/>
    <cellStyle name="Good 2 2" xfId="1207" xr:uid="{00000000-0005-0000-0000-0000B6040000}"/>
    <cellStyle name="Good 2 2 2" xfId="1208" xr:uid="{00000000-0005-0000-0000-0000B7040000}"/>
    <cellStyle name="Good 2 3" xfId="1209" xr:uid="{00000000-0005-0000-0000-0000B8040000}"/>
    <cellStyle name="Good 2 3 2" xfId="1210" xr:uid="{00000000-0005-0000-0000-0000B9040000}"/>
    <cellStyle name="Good 2 4" xfId="1211" xr:uid="{00000000-0005-0000-0000-0000BA040000}"/>
    <cellStyle name="Good 2 5" xfId="1212" xr:uid="{00000000-0005-0000-0000-0000BB040000}"/>
    <cellStyle name="Good 2 6" xfId="1213" xr:uid="{00000000-0005-0000-0000-0000BC040000}"/>
    <cellStyle name="Good 3" xfId="1214" xr:uid="{00000000-0005-0000-0000-0000BD040000}"/>
    <cellStyle name="Good 3 2" xfId="1215" xr:uid="{00000000-0005-0000-0000-0000BE040000}"/>
    <cellStyle name="Good 3 3" xfId="1216" xr:uid="{00000000-0005-0000-0000-0000BF040000}"/>
    <cellStyle name="Good 4" xfId="1217" xr:uid="{00000000-0005-0000-0000-0000C0040000}"/>
    <cellStyle name="Good 4 2" xfId="1218" xr:uid="{00000000-0005-0000-0000-0000C1040000}"/>
    <cellStyle name="Good 5" xfId="1219" xr:uid="{00000000-0005-0000-0000-0000C2040000}"/>
    <cellStyle name="Good 6" xfId="1220" xr:uid="{00000000-0005-0000-0000-0000C3040000}"/>
    <cellStyle name="Good 7" xfId="1221" xr:uid="{00000000-0005-0000-0000-0000C4040000}"/>
    <cellStyle name="Good 8" xfId="1222" xr:uid="{00000000-0005-0000-0000-0000C5040000}"/>
    <cellStyle name="Good 9" xfId="1223" xr:uid="{00000000-0005-0000-0000-0000C6040000}"/>
    <cellStyle name="Grey" xfId="1224" xr:uid="{00000000-0005-0000-0000-0000C7040000}"/>
    <cellStyle name="Grey 2" xfId="1225" xr:uid="{00000000-0005-0000-0000-0000C8040000}"/>
    <cellStyle name="Grey 2 2" xfId="1226" xr:uid="{00000000-0005-0000-0000-0000C9040000}"/>
    <cellStyle name="Grey 3" xfId="1227" xr:uid="{00000000-0005-0000-0000-0000CA040000}"/>
    <cellStyle name="Grey 4" xfId="1228" xr:uid="{00000000-0005-0000-0000-0000CB040000}"/>
    <cellStyle name="Heading 1 10" xfId="1229" xr:uid="{00000000-0005-0000-0000-0000CC040000}"/>
    <cellStyle name="Heading 1 11" xfId="1230" xr:uid="{00000000-0005-0000-0000-0000CD040000}"/>
    <cellStyle name="Heading 1 12" xfId="1231" xr:uid="{00000000-0005-0000-0000-0000CE040000}"/>
    <cellStyle name="Heading 1 13" xfId="1232" xr:uid="{00000000-0005-0000-0000-0000CF040000}"/>
    <cellStyle name="Heading 1 14" xfId="1233" xr:uid="{00000000-0005-0000-0000-0000D0040000}"/>
    <cellStyle name="Heading 1 15" xfId="1234" xr:uid="{00000000-0005-0000-0000-0000D1040000}"/>
    <cellStyle name="Heading 1 2" xfId="1235" xr:uid="{00000000-0005-0000-0000-0000D2040000}"/>
    <cellStyle name="Heading 1 2 2" xfId="1236" xr:uid="{00000000-0005-0000-0000-0000D3040000}"/>
    <cellStyle name="Heading 1 2 2 2" xfId="1237" xr:uid="{00000000-0005-0000-0000-0000D4040000}"/>
    <cellStyle name="Heading 1 2 3" xfId="1238" xr:uid="{00000000-0005-0000-0000-0000D5040000}"/>
    <cellStyle name="Heading 1 2 3 2" xfId="1239" xr:uid="{00000000-0005-0000-0000-0000D6040000}"/>
    <cellStyle name="Heading 1 2 4" xfId="1240" xr:uid="{00000000-0005-0000-0000-0000D7040000}"/>
    <cellStyle name="Heading 1 2 5" xfId="1241" xr:uid="{00000000-0005-0000-0000-0000D8040000}"/>
    <cellStyle name="Heading 1 3" xfId="1242" xr:uid="{00000000-0005-0000-0000-0000D9040000}"/>
    <cellStyle name="Heading 1 3 2" xfId="1243" xr:uid="{00000000-0005-0000-0000-0000DA040000}"/>
    <cellStyle name="Heading 1 4" xfId="1244" xr:uid="{00000000-0005-0000-0000-0000DB040000}"/>
    <cellStyle name="Heading 1 4 2" xfId="1245" xr:uid="{00000000-0005-0000-0000-0000DC040000}"/>
    <cellStyle name="Heading 1 4 3" xfId="1246" xr:uid="{00000000-0005-0000-0000-0000DD040000}"/>
    <cellStyle name="Heading 1 5" xfId="1247" xr:uid="{00000000-0005-0000-0000-0000DE040000}"/>
    <cellStyle name="Heading 1 6" xfId="1248" xr:uid="{00000000-0005-0000-0000-0000DF040000}"/>
    <cellStyle name="Heading 1 7" xfId="1249" xr:uid="{00000000-0005-0000-0000-0000E0040000}"/>
    <cellStyle name="Heading 1 8" xfId="1250" xr:uid="{00000000-0005-0000-0000-0000E1040000}"/>
    <cellStyle name="Heading 1 9" xfId="1251" xr:uid="{00000000-0005-0000-0000-0000E2040000}"/>
    <cellStyle name="Heading 2 10" xfId="1252" xr:uid="{00000000-0005-0000-0000-0000E3040000}"/>
    <cellStyle name="Heading 2 11" xfId="1253" xr:uid="{00000000-0005-0000-0000-0000E4040000}"/>
    <cellStyle name="Heading 2 12" xfId="1254" xr:uid="{00000000-0005-0000-0000-0000E5040000}"/>
    <cellStyle name="Heading 2 13" xfId="1255" xr:uid="{00000000-0005-0000-0000-0000E6040000}"/>
    <cellStyle name="Heading 2 14" xfId="1256" xr:uid="{00000000-0005-0000-0000-0000E7040000}"/>
    <cellStyle name="Heading 2 15" xfId="1257" xr:uid="{00000000-0005-0000-0000-0000E8040000}"/>
    <cellStyle name="Heading 2 2" xfId="1258" xr:uid="{00000000-0005-0000-0000-0000E9040000}"/>
    <cellStyle name="Heading 2 2 2" xfId="1259" xr:uid="{00000000-0005-0000-0000-0000EA040000}"/>
    <cellStyle name="Heading 2 2 2 2" xfId="1260" xr:uid="{00000000-0005-0000-0000-0000EB040000}"/>
    <cellStyle name="Heading 2 2 3" xfId="1261" xr:uid="{00000000-0005-0000-0000-0000EC040000}"/>
    <cellStyle name="Heading 2 2 3 2" xfId="1262" xr:uid="{00000000-0005-0000-0000-0000ED040000}"/>
    <cellStyle name="Heading 2 2 4" xfId="1263" xr:uid="{00000000-0005-0000-0000-0000EE040000}"/>
    <cellStyle name="Heading 2 2 5" xfId="1264" xr:uid="{00000000-0005-0000-0000-0000EF040000}"/>
    <cellStyle name="Heading 2 3" xfId="1265" xr:uid="{00000000-0005-0000-0000-0000F0040000}"/>
    <cellStyle name="Heading 2 3 2" xfId="1266" xr:uid="{00000000-0005-0000-0000-0000F1040000}"/>
    <cellStyle name="Heading 2 4" xfId="1267" xr:uid="{00000000-0005-0000-0000-0000F2040000}"/>
    <cellStyle name="Heading 2 4 2" xfId="1268" xr:uid="{00000000-0005-0000-0000-0000F3040000}"/>
    <cellStyle name="Heading 2 4 3" xfId="1269" xr:uid="{00000000-0005-0000-0000-0000F4040000}"/>
    <cellStyle name="Heading 2 5" xfId="1270" xr:uid="{00000000-0005-0000-0000-0000F5040000}"/>
    <cellStyle name="Heading 2 6" xfId="1271" xr:uid="{00000000-0005-0000-0000-0000F6040000}"/>
    <cellStyle name="Heading 2 7" xfId="1272" xr:uid="{00000000-0005-0000-0000-0000F7040000}"/>
    <cellStyle name="Heading 2 8" xfId="1273" xr:uid="{00000000-0005-0000-0000-0000F8040000}"/>
    <cellStyle name="Heading 2 9" xfId="1274" xr:uid="{00000000-0005-0000-0000-0000F9040000}"/>
    <cellStyle name="Heading 3 10" xfId="1275" xr:uid="{00000000-0005-0000-0000-0000FA040000}"/>
    <cellStyle name="Heading 3 11" xfId="1276" xr:uid="{00000000-0005-0000-0000-0000FB040000}"/>
    <cellStyle name="Heading 3 12" xfId="1277" xr:uid="{00000000-0005-0000-0000-0000FC040000}"/>
    <cellStyle name="Heading 3 13" xfId="1278" xr:uid="{00000000-0005-0000-0000-0000FD040000}"/>
    <cellStyle name="Heading 3 14" xfId="1279" xr:uid="{00000000-0005-0000-0000-0000FE040000}"/>
    <cellStyle name="Heading 3 15" xfId="1280" xr:uid="{00000000-0005-0000-0000-0000FF040000}"/>
    <cellStyle name="Heading 3 2" xfId="1281" xr:uid="{00000000-0005-0000-0000-000000050000}"/>
    <cellStyle name="Heading 3 2 2" xfId="1282" xr:uid="{00000000-0005-0000-0000-000001050000}"/>
    <cellStyle name="Heading 3 2 2 2" xfId="1283" xr:uid="{00000000-0005-0000-0000-000002050000}"/>
    <cellStyle name="Heading 3 2 3" xfId="1284" xr:uid="{00000000-0005-0000-0000-000003050000}"/>
    <cellStyle name="Heading 3 2 3 2" xfId="1285" xr:uid="{00000000-0005-0000-0000-000004050000}"/>
    <cellStyle name="Heading 3 2 4" xfId="1286" xr:uid="{00000000-0005-0000-0000-000005050000}"/>
    <cellStyle name="Heading 3 2 5" xfId="1287" xr:uid="{00000000-0005-0000-0000-000006050000}"/>
    <cellStyle name="Heading 3 3" xfId="1288" xr:uid="{00000000-0005-0000-0000-000007050000}"/>
    <cellStyle name="Heading 3 3 2" xfId="1289" xr:uid="{00000000-0005-0000-0000-000008050000}"/>
    <cellStyle name="Heading 3 3 3" xfId="1290" xr:uid="{00000000-0005-0000-0000-000009050000}"/>
    <cellStyle name="Heading 3 4" xfId="1291" xr:uid="{00000000-0005-0000-0000-00000A050000}"/>
    <cellStyle name="Heading 3 4 2" xfId="1292" xr:uid="{00000000-0005-0000-0000-00000B050000}"/>
    <cellStyle name="Heading 3 5" xfId="1293" xr:uid="{00000000-0005-0000-0000-00000C050000}"/>
    <cellStyle name="Heading 3 6" xfId="1294" xr:uid="{00000000-0005-0000-0000-00000D050000}"/>
    <cellStyle name="Heading 3 7" xfId="1295" xr:uid="{00000000-0005-0000-0000-00000E050000}"/>
    <cellStyle name="Heading 3 8" xfId="1296" xr:uid="{00000000-0005-0000-0000-00000F050000}"/>
    <cellStyle name="Heading 3 9" xfId="1297" xr:uid="{00000000-0005-0000-0000-000010050000}"/>
    <cellStyle name="Heading 4 10" xfId="1298" xr:uid="{00000000-0005-0000-0000-000011050000}"/>
    <cellStyle name="Heading 4 11" xfId="1299" xr:uid="{00000000-0005-0000-0000-000012050000}"/>
    <cellStyle name="Heading 4 12" xfId="1300" xr:uid="{00000000-0005-0000-0000-000013050000}"/>
    <cellStyle name="Heading 4 13" xfId="1301" xr:uid="{00000000-0005-0000-0000-000014050000}"/>
    <cellStyle name="Heading 4 14" xfId="1302" xr:uid="{00000000-0005-0000-0000-000015050000}"/>
    <cellStyle name="Heading 4 15" xfId="1303" xr:uid="{00000000-0005-0000-0000-000016050000}"/>
    <cellStyle name="Heading 4 2" xfId="1304" xr:uid="{00000000-0005-0000-0000-000017050000}"/>
    <cellStyle name="Heading 4 2 2" xfId="1305" xr:uid="{00000000-0005-0000-0000-000018050000}"/>
    <cellStyle name="Heading 4 2 2 2" xfId="1306" xr:uid="{00000000-0005-0000-0000-000019050000}"/>
    <cellStyle name="Heading 4 2 3" xfId="1307" xr:uid="{00000000-0005-0000-0000-00001A050000}"/>
    <cellStyle name="Heading 4 2 3 2" xfId="1308" xr:uid="{00000000-0005-0000-0000-00001B050000}"/>
    <cellStyle name="Heading 4 2 4" xfId="1309" xr:uid="{00000000-0005-0000-0000-00001C050000}"/>
    <cellStyle name="Heading 4 2 5" xfId="1310" xr:uid="{00000000-0005-0000-0000-00001D050000}"/>
    <cellStyle name="Heading 4 3" xfId="1311" xr:uid="{00000000-0005-0000-0000-00001E050000}"/>
    <cellStyle name="Heading 4 3 2" xfId="1312" xr:uid="{00000000-0005-0000-0000-00001F050000}"/>
    <cellStyle name="Heading 4 3 3" xfId="1313" xr:uid="{00000000-0005-0000-0000-000020050000}"/>
    <cellStyle name="Heading 4 4" xfId="1314" xr:uid="{00000000-0005-0000-0000-000021050000}"/>
    <cellStyle name="Heading 4 4 2" xfId="1315" xr:uid="{00000000-0005-0000-0000-000022050000}"/>
    <cellStyle name="Heading 4 5" xfId="1316" xr:uid="{00000000-0005-0000-0000-000023050000}"/>
    <cellStyle name="Heading 4 6" xfId="1317" xr:uid="{00000000-0005-0000-0000-000024050000}"/>
    <cellStyle name="Heading 4 7" xfId="1318" xr:uid="{00000000-0005-0000-0000-000025050000}"/>
    <cellStyle name="Heading 4 8" xfId="1319" xr:uid="{00000000-0005-0000-0000-000026050000}"/>
    <cellStyle name="Heading 4 9" xfId="1320" xr:uid="{00000000-0005-0000-0000-000027050000}"/>
    <cellStyle name="Hyperlink 2" xfId="1321" xr:uid="{00000000-0005-0000-0000-000028050000}"/>
    <cellStyle name="Hyperlink 2 2" xfId="1322" xr:uid="{00000000-0005-0000-0000-000029050000}"/>
    <cellStyle name="Hyperlink 3" xfId="1323" xr:uid="{00000000-0005-0000-0000-00002A050000}"/>
    <cellStyle name="Hyperlink 3 2" xfId="1324" xr:uid="{00000000-0005-0000-0000-00002B050000}"/>
    <cellStyle name="Hyperlink 4" xfId="1325" xr:uid="{00000000-0005-0000-0000-00002C050000}"/>
    <cellStyle name="Hyperlink 5" xfId="1326" xr:uid="{00000000-0005-0000-0000-00002D050000}"/>
    <cellStyle name="Hyperlink 6" xfId="1327" xr:uid="{00000000-0005-0000-0000-00002E050000}"/>
    <cellStyle name="Input [yellow]" xfId="1328" xr:uid="{00000000-0005-0000-0000-00002F050000}"/>
    <cellStyle name="Input [yellow] 2" xfId="1329" xr:uid="{00000000-0005-0000-0000-000030050000}"/>
    <cellStyle name="Input [yellow] 2 2" xfId="1330" xr:uid="{00000000-0005-0000-0000-000031050000}"/>
    <cellStyle name="Input [yellow] 3" xfId="1331" xr:uid="{00000000-0005-0000-0000-000032050000}"/>
    <cellStyle name="Input 10" xfId="1332" xr:uid="{00000000-0005-0000-0000-000033050000}"/>
    <cellStyle name="Input 10 2" xfId="1333" xr:uid="{00000000-0005-0000-0000-000034050000}"/>
    <cellStyle name="Input 11" xfId="1334" xr:uid="{00000000-0005-0000-0000-000035050000}"/>
    <cellStyle name="Input 11 2" xfId="1335" xr:uid="{00000000-0005-0000-0000-000036050000}"/>
    <cellStyle name="Input 12" xfId="1336" xr:uid="{00000000-0005-0000-0000-000037050000}"/>
    <cellStyle name="Input 12 2" xfId="1337" xr:uid="{00000000-0005-0000-0000-000038050000}"/>
    <cellStyle name="Input 13" xfId="1338" xr:uid="{00000000-0005-0000-0000-000039050000}"/>
    <cellStyle name="Input 13 2" xfId="1339" xr:uid="{00000000-0005-0000-0000-00003A050000}"/>
    <cellStyle name="Input 14" xfId="1340" xr:uid="{00000000-0005-0000-0000-00003B050000}"/>
    <cellStyle name="Input 14 2" xfId="1341" xr:uid="{00000000-0005-0000-0000-00003C050000}"/>
    <cellStyle name="Input 15" xfId="1342" xr:uid="{00000000-0005-0000-0000-00003D050000}"/>
    <cellStyle name="Input 15 2" xfId="1343" xr:uid="{00000000-0005-0000-0000-00003E050000}"/>
    <cellStyle name="Input 16" xfId="1344" xr:uid="{00000000-0005-0000-0000-00003F050000}"/>
    <cellStyle name="Input 16 2" xfId="1345" xr:uid="{00000000-0005-0000-0000-000040050000}"/>
    <cellStyle name="Input 17" xfId="1346" xr:uid="{00000000-0005-0000-0000-000041050000}"/>
    <cellStyle name="Input 17 2" xfId="1347" xr:uid="{00000000-0005-0000-0000-000042050000}"/>
    <cellStyle name="Input 18" xfId="1348" xr:uid="{00000000-0005-0000-0000-000043050000}"/>
    <cellStyle name="Input 18 2" xfId="1349" xr:uid="{00000000-0005-0000-0000-000044050000}"/>
    <cellStyle name="Input 19" xfId="1350" xr:uid="{00000000-0005-0000-0000-000045050000}"/>
    <cellStyle name="Input 19 2" xfId="1351" xr:uid="{00000000-0005-0000-0000-000046050000}"/>
    <cellStyle name="Input 2" xfId="1352" xr:uid="{00000000-0005-0000-0000-000047050000}"/>
    <cellStyle name="Input 2 2" xfId="1353" xr:uid="{00000000-0005-0000-0000-000048050000}"/>
    <cellStyle name="Input 2 2 2" xfId="1354" xr:uid="{00000000-0005-0000-0000-000049050000}"/>
    <cellStyle name="Input 2 3" xfId="1355" xr:uid="{00000000-0005-0000-0000-00004A050000}"/>
    <cellStyle name="Input 2 3 2" xfId="1356" xr:uid="{00000000-0005-0000-0000-00004B050000}"/>
    <cellStyle name="Input 2 4" xfId="1357" xr:uid="{00000000-0005-0000-0000-00004C050000}"/>
    <cellStyle name="Input 2 5" xfId="1358" xr:uid="{00000000-0005-0000-0000-00004D050000}"/>
    <cellStyle name="Input 2 6" xfId="1359" xr:uid="{00000000-0005-0000-0000-00004E050000}"/>
    <cellStyle name="Input 20" xfId="1360" xr:uid="{00000000-0005-0000-0000-00004F050000}"/>
    <cellStyle name="Input 20 2" xfId="1361" xr:uid="{00000000-0005-0000-0000-000050050000}"/>
    <cellStyle name="Input 21" xfId="1362" xr:uid="{00000000-0005-0000-0000-000051050000}"/>
    <cellStyle name="Input 21 2" xfId="1363" xr:uid="{00000000-0005-0000-0000-000052050000}"/>
    <cellStyle name="Input 22" xfId="1364" xr:uid="{00000000-0005-0000-0000-000053050000}"/>
    <cellStyle name="Input 22 2" xfId="1365" xr:uid="{00000000-0005-0000-0000-000054050000}"/>
    <cellStyle name="Input 23" xfId="1366" xr:uid="{00000000-0005-0000-0000-000055050000}"/>
    <cellStyle name="Input 23 2" xfId="1367" xr:uid="{00000000-0005-0000-0000-000056050000}"/>
    <cellStyle name="Input 24" xfId="1368" xr:uid="{00000000-0005-0000-0000-000057050000}"/>
    <cellStyle name="Input 24 2" xfId="1369" xr:uid="{00000000-0005-0000-0000-000058050000}"/>
    <cellStyle name="Input 25" xfId="1370" xr:uid="{00000000-0005-0000-0000-000059050000}"/>
    <cellStyle name="Input 25 2" xfId="1371" xr:uid="{00000000-0005-0000-0000-00005A050000}"/>
    <cellStyle name="Input 26" xfId="1372" xr:uid="{00000000-0005-0000-0000-00005B050000}"/>
    <cellStyle name="Input 26 2" xfId="1373" xr:uid="{00000000-0005-0000-0000-00005C050000}"/>
    <cellStyle name="Input 27" xfId="1374" xr:uid="{00000000-0005-0000-0000-00005D050000}"/>
    <cellStyle name="Input 27 2" xfId="1375" xr:uid="{00000000-0005-0000-0000-00005E050000}"/>
    <cellStyle name="Input 28" xfId="1376" xr:uid="{00000000-0005-0000-0000-00005F050000}"/>
    <cellStyle name="Input 28 2" xfId="1377" xr:uid="{00000000-0005-0000-0000-000060050000}"/>
    <cellStyle name="Input 29" xfId="1378" xr:uid="{00000000-0005-0000-0000-000061050000}"/>
    <cellStyle name="Input 29 2" xfId="1379" xr:uid="{00000000-0005-0000-0000-000062050000}"/>
    <cellStyle name="Input 3" xfId="1380" xr:uid="{00000000-0005-0000-0000-000063050000}"/>
    <cellStyle name="Input 3 2" xfId="1381" xr:uid="{00000000-0005-0000-0000-000064050000}"/>
    <cellStyle name="Input 3 3" xfId="1382" xr:uid="{00000000-0005-0000-0000-000065050000}"/>
    <cellStyle name="Input 30" xfId="1383" xr:uid="{00000000-0005-0000-0000-000066050000}"/>
    <cellStyle name="Input 31" xfId="1384" xr:uid="{00000000-0005-0000-0000-000067050000}"/>
    <cellStyle name="Input 32" xfId="1385" xr:uid="{00000000-0005-0000-0000-000068050000}"/>
    <cellStyle name="Input 33" xfId="1386" xr:uid="{00000000-0005-0000-0000-000069050000}"/>
    <cellStyle name="Input 34" xfId="1387" xr:uid="{00000000-0005-0000-0000-00006A050000}"/>
    <cellStyle name="Input 35" xfId="1388" xr:uid="{00000000-0005-0000-0000-00006B050000}"/>
    <cellStyle name="Input 36" xfId="1389" xr:uid="{00000000-0005-0000-0000-00006C050000}"/>
    <cellStyle name="Input 37" xfId="1390" xr:uid="{00000000-0005-0000-0000-00006D050000}"/>
    <cellStyle name="Input 38" xfId="1391" xr:uid="{00000000-0005-0000-0000-00006E050000}"/>
    <cellStyle name="Input 4" xfId="1392" xr:uid="{00000000-0005-0000-0000-00006F050000}"/>
    <cellStyle name="Input 4 2" xfId="1393" xr:uid="{00000000-0005-0000-0000-000070050000}"/>
    <cellStyle name="Input 4 3" xfId="1394" xr:uid="{00000000-0005-0000-0000-000071050000}"/>
    <cellStyle name="Input 5" xfId="1395" xr:uid="{00000000-0005-0000-0000-000072050000}"/>
    <cellStyle name="Input 5 2" xfId="1396" xr:uid="{00000000-0005-0000-0000-000073050000}"/>
    <cellStyle name="Input 5 3" xfId="1397" xr:uid="{00000000-0005-0000-0000-000074050000}"/>
    <cellStyle name="Input 6" xfId="1398" xr:uid="{00000000-0005-0000-0000-000075050000}"/>
    <cellStyle name="Input 6 2" xfId="1399" xr:uid="{00000000-0005-0000-0000-000076050000}"/>
    <cellStyle name="Input 7" xfId="1400" xr:uid="{00000000-0005-0000-0000-000077050000}"/>
    <cellStyle name="Input 7 2" xfId="1401" xr:uid="{00000000-0005-0000-0000-000078050000}"/>
    <cellStyle name="Input 8" xfId="1402" xr:uid="{00000000-0005-0000-0000-000079050000}"/>
    <cellStyle name="Input 8 2" xfId="1403" xr:uid="{00000000-0005-0000-0000-00007A050000}"/>
    <cellStyle name="Input 9" xfId="1404" xr:uid="{00000000-0005-0000-0000-00007B050000}"/>
    <cellStyle name="Input 9 2" xfId="1405" xr:uid="{00000000-0005-0000-0000-00007C050000}"/>
    <cellStyle name="Linked Cell 10" xfId="1406" xr:uid="{00000000-0005-0000-0000-00007D050000}"/>
    <cellStyle name="Linked Cell 11" xfId="1407" xr:uid="{00000000-0005-0000-0000-00007E050000}"/>
    <cellStyle name="Linked Cell 12" xfId="1408" xr:uid="{00000000-0005-0000-0000-00007F050000}"/>
    <cellStyle name="Linked Cell 13" xfId="1409" xr:uid="{00000000-0005-0000-0000-000080050000}"/>
    <cellStyle name="Linked Cell 14" xfId="1410" xr:uid="{00000000-0005-0000-0000-000081050000}"/>
    <cellStyle name="Linked Cell 15" xfId="1411" xr:uid="{00000000-0005-0000-0000-000082050000}"/>
    <cellStyle name="Linked Cell 2" xfId="1412" xr:uid="{00000000-0005-0000-0000-000083050000}"/>
    <cellStyle name="Linked Cell 2 2" xfId="1413" xr:uid="{00000000-0005-0000-0000-000084050000}"/>
    <cellStyle name="Linked Cell 2 2 2" xfId="1414" xr:uid="{00000000-0005-0000-0000-000085050000}"/>
    <cellStyle name="Linked Cell 2 3" xfId="1415" xr:uid="{00000000-0005-0000-0000-000086050000}"/>
    <cellStyle name="Linked Cell 2 3 2" xfId="1416" xr:uid="{00000000-0005-0000-0000-000087050000}"/>
    <cellStyle name="Linked Cell 2 4" xfId="1417" xr:uid="{00000000-0005-0000-0000-000088050000}"/>
    <cellStyle name="Linked Cell 2 5" xfId="1418" xr:uid="{00000000-0005-0000-0000-000089050000}"/>
    <cellStyle name="Linked Cell 2 6" xfId="1419" xr:uid="{00000000-0005-0000-0000-00008A050000}"/>
    <cellStyle name="Linked Cell 3" xfId="1420" xr:uid="{00000000-0005-0000-0000-00008B050000}"/>
    <cellStyle name="Linked Cell 3 2" xfId="1421" xr:uid="{00000000-0005-0000-0000-00008C050000}"/>
    <cellStyle name="Linked Cell 3 3" xfId="1422" xr:uid="{00000000-0005-0000-0000-00008D050000}"/>
    <cellStyle name="Linked Cell 4" xfId="1423" xr:uid="{00000000-0005-0000-0000-00008E050000}"/>
    <cellStyle name="Linked Cell 4 2" xfId="1424" xr:uid="{00000000-0005-0000-0000-00008F050000}"/>
    <cellStyle name="Linked Cell 5" xfId="1425" xr:uid="{00000000-0005-0000-0000-000090050000}"/>
    <cellStyle name="Linked Cell 6" xfId="1426" xr:uid="{00000000-0005-0000-0000-000091050000}"/>
    <cellStyle name="Linked Cell 7" xfId="1427" xr:uid="{00000000-0005-0000-0000-000092050000}"/>
    <cellStyle name="Linked Cell 8" xfId="1428" xr:uid="{00000000-0005-0000-0000-000093050000}"/>
    <cellStyle name="Linked Cell 9" xfId="1429" xr:uid="{00000000-0005-0000-0000-000094050000}"/>
    <cellStyle name="M" xfId="1430" xr:uid="{00000000-0005-0000-0000-000095050000}"/>
    <cellStyle name="M 2" xfId="1431" xr:uid="{00000000-0005-0000-0000-000096050000}"/>
    <cellStyle name="M 2 2" xfId="1432" xr:uid="{00000000-0005-0000-0000-000097050000}"/>
    <cellStyle name="M 3" xfId="1433" xr:uid="{00000000-0005-0000-0000-000098050000}"/>
    <cellStyle name="M.00" xfId="1434" xr:uid="{00000000-0005-0000-0000-000099050000}"/>
    <cellStyle name="M.00 2" xfId="1435" xr:uid="{00000000-0005-0000-0000-00009A050000}"/>
    <cellStyle name="M.00 2 2" xfId="1436" xr:uid="{00000000-0005-0000-0000-00009B050000}"/>
    <cellStyle name="M.00 3" xfId="1437" xr:uid="{00000000-0005-0000-0000-00009C050000}"/>
    <cellStyle name="M_9. Rev2Cost_GDPIPI" xfId="1438" xr:uid="{00000000-0005-0000-0000-00009D050000}"/>
    <cellStyle name="M_9. Rev2Cost_GDPIPI 2" xfId="1439" xr:uid="{00000000-0005-0000-0000-00009E050000}"/>
    <cellStyle name="M_9. Rev2Cost_GDPIPI 2 2" xfId="1440" xr:uid="{00000000-0005-0000-0000-00009F050000}"/>
    <cellStyle name="M_9. Rev2Cost_GDPIPI 3" xfId="1441" xr:uid="{00000000-0005-0000-0000-0000A0050000}"/>
    <cellStyle name="M_lists" xfId="1442" xr:uid="{00000000-0005-0000-0000-0000A1050000}"/>
    <cellStyle name="M_lists 2" xfId="1443" xr:uid="{00000000-0005-0000-0000-0000A2050000}"/>
    <cellStyle name="M_lists 2 2" xfId="1444" xr:uid="{00000000-0005-0000-0000-0000A3050000}"/>
    <cellStyle name="M_lists 3" xfId="1445" xr:uid="{00000000-0005-0000-0000-0000A4050000}"/>
    <cellStyle name="M_lists_4. Current Monthly Fixed Charge" xfId="1446" xr:uid="{00000000-0005-0000-0000-0000A5050000}"/>
    <cellStyle name="M_lists_4. Current Monthly Fixed Charge 2" xfId="1447" xr:uid="{00000000-0005-0000-0000-0000A6050000}"/>
    <cellStyle name="M_lists_4. Current Monthly Fixed Charge 2 2" xfId="1448" xr:uid="{00000000-0005-0000-0000-0000A7050000}"/>
    <cellStyle name="M_lists_4. Current Monthly Fixed Charge 3" xfId="1449" xr:uid="{00000000-0005-0000-0000-0000A8050000}"/>
    <cellStyle name="M_Sheet4" xfId="1450" xr:uid="{00000000-0005-0000-0000-0000A9050000}"/>
    <cellStyle name="M_Sheet4 2" xfId="1451" xr:uid="{00000000-0005-0000-0000-0000AA050000}"/>
    <cellStyle name="M_Sheet4 2 2" xfId="1452" xr:uid="{00000000-0005-0000-0000-0000AB050000}"/>
    <cellStyle name="M_Sheet4 3" xfId="1453" xr:uid="{00000000-0005-0000-0000-0000AC050000}"/>
    <cellStyle name="Neutral 10" xfId="1454" xr:uid="{00000000-0005-0000-0000-0000AD050000}"/>
    <cellStyle name="Neutral 11" xfId="1455" xr:uid="{00000000-0005-0000-0000-0000AE050000}"/>
    <cellStyle name="Neutral 12" xfId="1456" xr:uid="{00000000-0005-0000-0000-0000AF050000}"/>
    <cellStyle name="Neutral 13" xfId="1457" xr:uid="{00000000-0005-0000-0000-0000B0050000}"/>
    <cellStyle name="Neutral 14" xfId="1458" xr:uid="{00000000-0005-0000-0000-0000B1050000}"/>
    <cellStyle name="Neutral 15" xfId="1459" xr:uid="{00000000-0005-0000-0000-0000B2050000}"/>
    <cellStyle name="Neutral 2" xfId="1460" xr:uid="{00000000-0005-0000-0000-0000B3050000}"/>
    <cellStyle name="Neutral 2 2" xfId="1461" xr:uid="{00000000-0005-0000-0000-0000B4050000}"/>
    <cellStyle name="Neutral 2 2 2" xfId="1462" xr:uid="{00000000-0005-0000-0000-0000B5050000}"/>
    <cellStyle name="Neutral 2 3" xfId="1463" xr:uid="{00000000-0005-0000-0000-0000B6050000}"/>
    <cellStyle name="Neutral 2 3 2" xfId="1464" xr:uid="{00000000-0005-0000-0000-0000B7050000}"/>
    <cellStyle name="Neutral 2 4" xfId="1465" xr:uid="{00000000-0005-0000-0000-0000B8050000}"/>
    <cellStyle name="Neutral 2 5" xfId="1466" xr:uid="{00000000-0005-0000-0000-0000B9050000}"/>
    <cellStyle name="Neutral 2 6" xfId="1467" xr:uid="{00000000-0005-0000-0000-0000BA050000}"/>
    <cellStyle name="Neutral 3" xfId="1468" xr:uid="{00000000-0005-0000-0000-0000BB050000}"/>
    <cellStyle name="Neutral 3 2" xfId="1469" xr:uid="{00000000-0005-0000-0000-0000BC050000}"/>
    <cellStyle name="Neutral 3 3" xfId="1470" xr:uid="{00000000-0005-0000-0000-0000BD050000}"/>
    <cellStyle name="Neutral 4" xfId="1471" xr:uid="{00000000-0005-0000-0000-0000BE050000}"/>
    <cellStyle name="Neutral 4 2" xfId="1472" xr:uid="{00000000-0005-0000-0000-0000BF050000}"/>
    <cellStyle name="Neutral 5" xfId="1473" xr:uid="{00000000-0005-0000-0000-0000C0050000}"/>
    <cellStyle name="Neutral 6" xfId="1474" xr:uid="{00000000-0005-0000-0000-0000C1050000}"/>
    <cellStyle name="Neutral 7" xfId="1475" xr:uid="{00000000-0005-0000-0000-0000C2050000}"/>
    <cellStyle name="Neutral 8" xfId="1476" xr:uid="{00000000-0005-0000-0000-0000C3050000}"/>
    <cellStyle name="Neutral 9" xfId="1477" xr:uid="{00000000-0005-0000-0000-0000C4050000}"/>
    <cellStyle name="Normal" xfId="0" builtinId="0"/>
    <cellStyle name="Normal - Style1" xfId="1478" xr:uid="{00000000-0005-0000-0000-0000C6050000}"/>
    <cellStyle name="Normal - Style1 2" xfId="1479" xr:uid="{00000000-0005-0000-0000-0000C7050000}"/>
    <cellStyle name="Normal - Style1 2 2" xfId="1480" xr:uid="{00000000-0005-0000-0000-0000C8050000}"/>
    <cellStyle name="Normal - Style1 3" xfId="1481" xr:uid="{00000000-0005-0000-0000-0000C9050000}"/>
    <cellStyle name="Normal 10" xfId="1482" xr:uid="{00000000-0005-0000-0000-0000CA050000}"/>
    <cellStyle name="Normal 10 2" xfId="1483" xr:uid="{00000000-0005-0000-0000-0000CB050000}"/>
    <cellStyle name="Normal 10 2 2" xfId="1484" xr:uid="{00000000-0005-0000-0000-0000CC050000}"/>
    <cellStyle name="Normal 10 3" xfId="1485" xr:uid="{00000000-0005-0000-0000-0000CD050000}"/>
    <cellStyle name="Normal 11" xfId="1486" xr:uid="{00000000-0005-0000-0000-0000CE050000}"/>
    <cellStyle name="Normal 11 2" xfId="1487" xr:uid="{00000000-0005-0000-0000-0000CF050000}"/>
    <cellStyle name="Normal 11 3" xfId="1488" xr:uid="{00000000-0005-0000-0000-0000D0050000}"/>
    <cellStyle name="Normal 12" xfId="1489" xr:uid="{00000000-0005-0000-0000-0000D1050000}"/>
    <cellStyle name="Normal 12 2" xfId="1490" xr:uid="{00000000-0005-0000-0000-0000D2050000}"/>
    <cellStyle name="Normal 13" xfId="1491" xr:uid="{00000000-0005-0000-0000-0000D3050000}"/>
    <cellStyle name="Normal 13 2" xfId="1492" xr:uid="{00000000-0005-0000-0000-0000D4050000}"/>
    <cellStyle name="Normal 13 3" xfId="1493" xr:uid="{00000000-0005-0000-0000-0000D5050000}"/>
    <cellStyle name="Normal 14" xfId="1494" xr:uid="{00000000-0005-0000-0000-0000D6050000}"/>
    <cellStyle name="Normal 14 2" xfId="1495" xr:uid="{00000000-0005-0000-0000-0000D7050000}"/>
    <cellStyle name="Normal 15" xfId="1496" xr:uid="{00000000-0005-0000-0000-0000D8050000}"/>
    <cellStyle name="Normal 15 2" xfId="1497" xr:uid="{00000000-0005-0000-0000-0000D9050000}"/>
    <cellStyle name="Normal 16" xfId="1498" xr:uid="{00000000-0005-0000-0000-0000DA050000}"/>
    <cellStyle name="Normal 16 2" xfId="1499" xr:uid="{00000000-0005-0000-0000-0000DB050000}"/>
    <cellStyle name="Normal 17" xfId="1500" xr:uid="{00000000-0005-0000-0000-0000DC050000}"/>
    <cellStyle name="Normal 17 2" xfId="1501" xr:uid="{00000000-0005-0000-0000-0000DD050000}"/>
    <cellStyle name="Normal 18" xfId="1502" xr:uid="{00000000-0005-0000-0000-0000DE050000}"/>
    <cellStyle name="Normal 18 2" xfId="1503" xr:uid="{00000000-0005-0000-0000-0000DF050000}"/>
    <cellStyle name="Normal 19" xfId="1504" xr:uid="{00000000-0005-0000-0000-0000E0050000}"/>
    <cellStyle name="Normal 19 2" xfId="1505" xr:uid="{00000000-0005-0000-0000-0000E1050000}"/>
    <cellStyle name="Normal 19 3" xfId="1506" xr:uid="{00000000-0005-0000-0000-0000E2050000}"/>
    <cellStyle name="Normal 19 4" xfId="1507" xr:uid="{00000000-0005-0000-0000-0000E3050000}"/>
    <cellStyle name="Normal 2" xfId="1508" xr:uid="{00000000-0005-0000-0000-0000E4050000}"/>
    <cellStyle name="Normal 2 2" xfId="1509" xr:uid="{00000000-0005-0000-0000-0000E5050000}"/>
    <cellStyle name="Normal 2 2 2" xfId="1510" xr:uid="{00000000-0005-0000-0000-0000E6050000}"/>
    <cellStyle name="Normal 2 2 2 2" xfId="1511" xr:uid="{00000000-0005-0000-0000-0000E7050000}"/>
    <cellStyle name="Normal 2 2 3" xfId="1512" xr:uid="{00000000-0005-0000-0000-0000E8050000}"/>
    <cellStyle name="Normal 2 3" xfId="1513" xr:uid="{00000000-0005-0000-0000-0000E9050000}"/>
    <cellStyle name="Normal 2 3 2" xfId="1514" xr:uid="{00000000-0005-0000-0000-0000EA050000}"/>
    <cellStyle name="Normal 2 3 3" xfId="1515" xr:uid="{00000000-0005-0000-0000-0000EB050000}"/>
    <cellStyle name="Normal 2 4" xfId="1516" xr:uid="{00000000-0005-0000-0000-0000EC050000}"/>
    <cellStyle name="Normal 2 4 2" xfId="1517" xr:uid="{00000000-0005-0000-0000-0000ED050000}"/>
    <cellStyle name="Normal 2 4 3" xfId="1518" xr:uid="{00000000-0005-0000-0000-0000EE050000}"/>
    <cellStyle name="Normal 2 5" xfId="1519" xr:uid="{00000000-0005-0000-0000-0000EF050000}"/>
    <cellStyle name="Normal 2 6" xfId="1520" xr:uid="{00000000-0005-0000-0000-0000F0050000}"/>
    <cellStyle name="Normal 2 7" xfId="1521" xr:uid="{00000000-0005-0000-0000-0000F1050000}"/>
    <cellStyle name="Normal 20" xfId="1522" xr:uid="{00000000-0005-0000-0000-0000F2050000}"/>
    <cellStyle name="Normal 20 2" xfId="1523" xr:uid="{00000000-0005-0000-0000-0000F3050000}"/>
    <cellStyle name="Normal 20 3" xfId="1524" xr:uid="{00000000-0005-0000-0000-0000F4050000}"/>
    <cellStyle name="Normal 21" xfId="1525" xr:uid="{00000000-0005-0000-0000-0000F5050000}"/>
    <cellStyle name="Normal 21 2" xfId="1526" xr:uid="{00000000-0005-0000-0000-0000F6050000}"/>
    <cellStyle name="Normal 21 3" xfId="1527" xr:uid="{00000000-0005-0000-0000-0000F7050000}"/>
    <cellStyle name="Normal 22" xfId="1528" xr:uid="{00000000-0005-0000-0000-0000F8050000}"/>
    <cellStyle name="Normal 22 2" xfId="1529" xr:uid="{00000000-0005-0000-0000-0000F9050000}"/>
    <cellStyle name="Normal 23" xfId="1530" xr:uid="{00000000-0005-0000-0000-0000FA050000}"/>
    <cellStyle name="Normal 23 2" xfId="1531" xr:uid="{00000000-0005-0000-0000-0000FB050000}"/>
    <cellStyle name="Normal 24" xfId="1532" xr:uid="{00000000-0005-0000-0000-0000FC050000}"/>
    <cellStyle name="Normal 24 2" xfId="1533" xr:uid="{00000000-0005-0000-0000-0000FD050000}"/>
    <cellStyle name="Normal 25" xfId="1534" xr:uid="{00000000-0005-0000-0000-0000FE050000}"/>
    <cellStyle name="Normal 25 2" xfId="1535" xr:uid="{00000000-0005-0000-0000-0000FF050000}"/>
    <cellStyle name="Normal 26" xfId="1536" xr:uid="{00000000-0005-0000-0000-000000060000}"/>
    <cellStyle name="Normal 26 2" xfId="1537" xr:uid="{00000000-0005-0000-0000-000001060000}"/>
    <cellStyle name="Normal 27" xfId="1538" xr:uid="{00000000-0005-0000-0000-000002060000}"/>
    <cellStyle name="Normal 28" xfId="1539" xr:uid="{00000000-0005-0000-0000-000003060000}"/>
    <cellStyle name="Normal 29" xfId="1540" xr:uid="{00000000-0005-0000-0000-000004060000}"/>
    <cellStyle name="Normal 3" xfId="1541" xr:uid="{00000000-0005-0000-0000-000005060000}"/>
    <cellStyle name="Normal 3 10" xfId="1542" xr:uid="{00000000-0005-0000-0000-000006060000}"/>
    <cellStyle name="Normal 3 11" xfId="1543" xr:uid="{00000000-0005-0000-0000-000007060000}"/>
    <cellStyle name="Normal 3 12" xfId="1544" xr:uid="{00000000-0005-0000-0000-000008060000}"/>
    <cellStyle name="Normal 3 2" xfId="1545" xr:uid="{00000000-0005-0000-0000-000009060000}"/>
    <cellStyle name="Normal 3 2 2" xfId="1546" xr:uid="{00000000-0005-0000-0000-00000A060000}"/>
    <cellStyle name="Normal 3 3" xfId="1547" xr:uid="{00000000-0005-0000-0000-00000B060000}"/>
    <cellStyle name="Normal 3 3 2" xfId="1548" xr:uid="{00000000-0005-0000-0000-00000C060000}"/>
    <cellStyle name="Normal 3 4" xfId="1549" xr:uid="{00000000-0005-0000-0000-00000D060000}"/>
    <cellStyle name="Normal 3 4 2" xfId="1550" xr:uid="{00000000-0005-0000-0000-00000E060000}"/>
    <cellStyle name="Normal 3 4 2 2" xfId="1551" xr:uid="{00000000-0005-0000-0000-00000F060000}"/>
    <cellStyle name="Normal 3 4 2 2 2" xfId="1552" xr:uid="{00000000-0005-0000-0000-000010060000}"/>
    <cellStyle name="Normal 3 4 2 2 3" xfId="1553" xr:uid="{00000000-0005-0000-0000-000011060000}"/>
    <cellStyle name="Normal 3 4 2 3" xfId="1554" xr:uid="{00000000-0005-0000-0000-000012060000}"/>
    <cellStyle name="Normal 3 4 2 4" xfId="1555" xr:uid="{00000000-0005-0000-0000-000013060000}"/>
    <cellStyle name="Normal 3 4 3" xfId="1556" xr:uid="{00000000-0005-0000-0000-000014060000}"/>
    <cellStyle name="Normal 3 4 3 2" xfId="1557" xr:uid="{00000000-0005-0000-0000-000015060000}"/>
    <cellStyle name="Normal 3 4 3 3" xfId="1558" xr:uid="{00000000-0005-0000-0000-000016060000}"/>
    <cellStyle name="Normal 3 4 4" xfId="1559" xr:uid="{00000000-0005-0000-0000-000017060000}"/>
    <cellStyle name="Normal 3 4 5" xfId="1560" xr:uid="{00000000-0005-0000-0000-000018060000}"/>
    <cellStyle name="Normal 3 5" xfId="1561" xr:uid="{00000000-0005-0000-0000-000019060000}"/>
    <cellStyle name="Normal 3 5 2" xfId="1562" xr:uid="{00000000-0005-0000-0000-00001A060000}"/>
    <cellStyle name="Normal 3 5 2 2" xfId="1563" xr:uid="{00000000-0005-0000-0000-00001B060000}"/>
    <cellStyle name="Normal 3 5 2 3" xfId="1564" xr:uid="{00000000-0005-0000-0000-00001C060000}"/>
    <cellStyle name="Normal 3 5 3" xfId="1565" xr:uid="{00000000-0005-0000-0000-00001D060000}"/>
    <cellStyle name="Normal 3 5 3 2" xfId="1566" xr:uid="{00000000-0005-0000-0000-00001E060000}"/>
    <cellStyle name="Normal 3 5 3 3" xfId="1567" xr:uid="{00000000-0005-0000-0000-00001F060000}"/>
    <cellStyle name="Normal 3 5 4" xfId="1568" xr:uid="{00000000-0005-0000-0000-000020060000}"/>
    <cellStyle name="Normal 3 5 5" xfId="1569" xr:uid="{00000000-0005-0000-0000-000021060000}"/>
    <cellStyle name="Normal 3 6" xfId="1570" xr:uid="{00000000-0005-0000-0000-000022060000}"/>
    <cellStyle name="Normal 3 6 2" xfId="1571" xr:uid="{00000000-0005-0000-0000-000023060000}"/>
    <cellStyle name="Normal 3 6 2 2" xfId="1572" xr:uid="{00000000-0005-0000-0000-000024060000}"/>
    <cellStyle name="Normal 3 6 2 3" xfId="1573" xr:uid="{00000000-0005-0000-0000-000025060000}"/>
    <cellStyle name="Normal 3 6 3" xfId="1574" xr:uid="{00000000-0005-0000-0000-000026060000}"/>
    <cellStyle name="Normal 3 6 4" xfId="1575" xr:uid="{00000000-0005-0000-0000-000027060000}"/>
    <cellStyle name="Normal 3 7" xfId="1576" xr:uid="{00000000-0005-0000-0000-000028060000}"/>
    <cellStyle name="Normal 3 7 2" xfId="1577" xr:uid="{00000000-0005-0000-0000-000029060000}"/>
    <cellStyle name="Normal 3 7 3" xfId="1578" xr:uid="{00000000-0005-0000-0000-00002A060000}"/>
    <cellStyle name="Normal 3 8" xfId="1579" xr:uid="{00000000-0005-0000-0000-00002B060000}"/>
    <cellStyle name="Normal 3 9" xfId="1580" xr:uid="{00000000-0005-0000-0000-00002C060000}"/>
    <cellStyle name="Normal 30" xfId="1581" xr:uid="{00000000-0005-0000-0000-00002D060000}"/>
    <cellStyle name="Normal 30 2" xfId="1582" xr:uid="{00000000-0005-0000-0000-00002E060000}"/>
    <cellStyle name="Normal 31" xfId="1583" xr:uid="{00000000-0005-0000-0000-00002F060000}"/>
    <cellStyle name="Normal 32" xfId="1584" xr:uid="{00000000-0005-0000-0000-000030060000}"/>
    <cellStyle name="Normal 33" xfId="1585" xr:uid="{00000000-0005-0000-0000-000031060000}"/>
    <cellStyle name="Normal 34" xfId="1586" xr:uid="{00000000-0005-0000-0000-000032060000}"/>
    <cellStyle name="Normal 35" xfId="1587" xr:uid="{00000000-0005-0000-0000-000033060000}"/>
    <cellStyle name="Normal 36" xfId="1588" xr:uid="{00000000-0005-0000-0000-000034060000}"/>
    <cellStyle name="Normal 37" xfId="1589" xr:uid="{00000000-0005-0000-0000-000035060000}"/>
    <cellStyle name="Normal 38" xfId="1590" xr:uid="{00000000-0005-0000-0000-000036060000}"/>
    <cellStyle name="Normal 39" xfId="1591" xr:uid="{00000000-0005-0000-0000-000037060000}"/>
    <cellStyle name="Normal 4" xfId="1592" xr:uid="{00000000-0005-0000-0000-000038060000}"/>
    <cellStyle name="Normal 4 10" xfId="1593" xr:uid="{00000000-0005-0000-0000-000039060000}"/>
    <cellStyle name="Normal 4 11" xfId="1594" xr:uid="{00000000-0005-0000-0000-00003A060000}"/>
    <cellStyle name="Normal 4 12" xfId="1595" xr:uid="{00000000-0005-0000-0000-00003B060000}"/>
    <cellStyle name="Normal 4 2" xfId="1596" xr:uid="{00000000-0005-0000-0000-00003C060000}"/>
    <cellStyle name="Normal 4 2 2" xfId="1597" xr:uid="{00000000-0005-0000-0000-00003D060000}"/>
    <cellStyle name="Normal 4 3" xfId="1598" xr:uid="{00000000-0005-0000-0000-00003E060000}"/>
    <cellStyle name="Normal 4 3 2" xfId="1599" xr:uid="{00000000-0005-0000-0000-00003F060000}"/>
    <cellStyle name="Normal 4 3 2 2" xfId="1600" xr:uid="{00000000-0005-0000-0000-000040060000}"/>
    <cellStyle name="Normal 4 3 2 2 2" xfId="1601" xr:uid="{00000000-0005-0000-0000-000041060000}"/>
    <cellStyle name="Normal 4 3 2 2 2 2" xfId="1602" xr:uid="{00000000-0005-0000-0000-000042060000}"/>
    <cellStyle name="Normal 4 3 2 2 2 3" xfId="1603" xr:uid="{00000000-0005-0000-0000-000043060000}"/>
    <cellStyle name="Normal 4 3 2 2 3" xfId="1604" xr:uid="{00000000-0005-0000-0000-000044060000}"/>
    <cellStyle name="Normal 4 3 2 2 4" xfId="1605" xr:uid="{00000000-0005-0000-0000-000045060000}"/>
    <cellStyle name="Normal 4 3 2 3" xfId="1606" xr:uid="{00000000-0005-0000-0000-000046060000}"/>
    <cellStyle name="Normal 4 3 2 3 2" xfId="1607" xr:uid="{00000000-0005-0000-0000-000047060000}"/>
    <cellStyle name="Normal 4 3 2 3 3" xfId="1608" xr:uid="{00000000-0005-0000-0000-000048060000}"/>
    <cellStyle name="Normal 4 3 2 4" xfId="1609" xr:uid="{00000000-0005-0000-0000-000049060000}"/>
    <cellStyle name="Normal 4 3 2 5" xfId="1610" xr:uid="{00000000-0005-0000-0000-00004A060000}"/>
    <cellStyle name="Normal 4 3 3" xfId="1611" xr:uid="{00000000-0005-0000-0000-00004B060000}"/>
    <cellStyle name="Normal 4 3 3 2" xfId="1612" xr:uid="{00000000-0005-0000-0000-00004C060000}"/>
    <cellStyle name="Normal 4 3 3 2 2" xfId="1613" xr:uid="{00000000-0005-0000-0000-00004D060000}"/>
    <cellStyle name="Normal 4 3 3 2 3" xfId="1614" xr:uid="{00000000-0005-0000-0000-00004E060000}"/>
    <cellStyle name="Normal 4 3 3 3" xfId="1615" xr:uid="{00000000-0005-0000-0000-00004F060000}"/>
    <cellStyle name="Normal 4 3 3 3 2" xfId="1616" xr:uid="{00000000-0005-0000-0000-000050060000}"/>
    <cellStyle name="Normal 4 3 3 3 3" xfId="1617" xr:uid="{00000000-0005-0000-0000-000051060000}"/>
    <cellStyle name="Normal 4 3 3 4" xfId="1618" xr:uid="{00000000-0005-0000-0000-000052060000}"/>
    <cellStyle name="Normal 4 3 3 5" xfId="1619" xr:uid="{00000000-0005-0000-0000-000053060000}"/>
    <cellStyle name="Normal 4 3 4" xfId="1620" xr:uid="{00000000-0005-0000-0000-000054060000}"/>
    <cellStyle name="Normal 4 3 4 2" xfId="1621" xr:uid="{00000000-0005-0000-0000-000055060000}"/>
    <cellStyle name="Normal 4 3 4 2 2" xfId="1622" xr:uid="{00000000-0005-0000-0000-000056060000}"/>
    <cellStyle name="Normal 4 3 4 2 3" xfId="1623" xr:uid="{00000000-0005-0000-0000-000057060000}"/>
    <cellStyle name="Normal 4 3 4 3" xfId="1624" xr:uid="{00000000-0005-0000-0000-000058060000}"/>
    <cellStyle name="Normal 4 3 4 4" xfId="1625" xr:uid="{00000000-0005-0000-0000-000059060000}"/>
    <cellStyle name="Normal 4 3 5" xfId="1626" xr:uid="{00000000-0005-0000-0000-00005A060000}"/>
    <cellStyle name="Normal 4 3 5 2" xfId="1627" xr:uid="{00000000-0005-0000-0000-00005B060000}"/>
    <cellStyle name="Normal 4 3 5 3" xfId="1628" xr:uid="{00000000-0005-0000-0000-00005C060000}"/>
    <cellStyle name="Normal 4 3 6" xfId="1629" xr:uid="{00000000-0005-0000-0000-00005D060000}"/>
    <cellStyle name="Normal 4 3 7" xfId="1630" xr:uid="{00000000-0005-0000-0000-00005E060000}"/>
    <cellStyle name="Normal 4 3 8" xfId="1631" xr:uid="{00000000-0005-0000-0000-00005F060000}"/>
    <cellStyle name="Normal 4 4" xfId="1632" xr:uid="{00000000-0005-0000-0000-000060060000}"/>
    <cellStyle name="Normal 4 4 2" xfId="1633" xr:uid="{00000000-0005-0000-0000-000061060000}"/>
    <cellStyle name="Normal 4 4 2 2" xfId="1634" xr:uid="{00000000-0005-0000-0000-000062060000}"/>
    <cellStyle name="Normal 4 4 2 2 2" xfId="1635" xr:uid="{00000000-0005-0000-0000-000063060000}"/>
    <cellStyle name="Normal 4 4 2 2 3" xfId="1636" xr:uid="{00000000-0005-0000-0000-000064060000}"/>
    <cellStyle name="Normal 4 4 2 3" xfId="1637" xr:uid="{00000000-0005-0000-0000-000065060000}"/>
    <cellStyle name="Normal 4 4 2 4" xfId="1638" xr:uid="{00000000-0005-0000-0000-000066060000}"/>
    <cellStyle name="Normal 4 4 3" xfId="1639" xr:uid="{00000000-0005-0000-0000-000067060000}"/>
    <cellStyle name="Normal 4 4 3 2" xfId="1640" xr:uid="{00000000-0005-0000-0000-000068060000}"/>
    <cellStyle name="Normal 4 4 3 3" xfId="1641" xr:uid="{00000000-0005-0000-0000-000069060000}"/>
    <cellStyle name="Normal 4 4 4" xfId="1642" xr:uid="{00000000-0005-0000-0000-00006A060000}"/>
    <cellStyle name="Normal 4 4 5" xfId="1643" xr:uid="{00000000-0005-0000-0000-00006B060000}"/>
    <cellStyle name="Normal 4 5" xfId="1644" xr:uid="{00000000-0005-0000-0000-00006C060000}"/>
    <cellStyle name="Normal 4 5 2" xfId="1645" xr:uid="{00000000-0005-0000-0000-00006D060000}"/>
    <cellStyle name="Normal 4 5 2 2" xfId="1646" xr:uid="{00000000-0005-0000-0000-00006E060000}"/>
    <cellStyle name="Normal 4 5 2 3" xfId="1647" xr:uid="{00000000-0005-0000-0000-00006F060000}"/>
    <cellStyle name="Normal 4 5 3" xfId="1648" xr:uid="{00000000-0005-0000-0000-000070060000}"/>
    <cellStyle name="Normal 4 5 3 2" xfId="1649" xr:uid="{00000000-0005-0000-0000-000071060000}"/>
    <cellStyle name="Normal 4 5 3 3" xfId="1650" xr:uid="{00000000-0005-0000-0000-000072060000}"/>
    <cellStyle name="Normal 4 5 4" xfId="1651" xr:uid="{00000000-0005-0000-0000-000073060000}"/>
    <cellStyle name="Normal 4 5 5" xfId="1652" xr:uid="{00000000-0005-0000-0000-000074060000}"/>
    <cellStyle name="Normal 4 6" xfId="1653" xr:uid="{00000000-0005-0000-0000-000075060000}"/>
    <cellStyle name="Normal 4 6 2" xfId="1654" xr:uid="{00000000-0005-0000-0000-000076060000}"/>
    <cellStyle name="Normal 4 6 2 2" xfId="1655" xr:uid="{00000000-0005-0000-0000-000077060000}"/>
    <cellStyle name="Normal 4 6 2 3" xfId="1656" xr:uid="{00000000-0005-0000-0000-000078060000}"/>
    <cellStyle name="Normal 4 6 3" xfId="1657" xr:uid="{00000000-0005-0000-0000-000079060000}"/>
    <cellStyle name="Normal 4 6 4" xfId="1658" xr:uid="{00000000-0005-0000-0000-00007A060000}"/>
    <cellStyle name="Normal 4 7" xfId="1659" xr:uid="{00000000-0005-0000-0000-00007B060000}"/>
    <cellStyle name="Normal 4 7 2" xfId="1660" xr:uid="{00000000-0005-0000-0000-00007C060000}"/>
    <cellStyle name="Normal 4 7 3" xfId="1661" xr:uid="{00000000-0005-0000-0000-00007D060000}"/>
    <cellStyle name="Normal 4 8" xfId="1662" xr:uid="{00000000-0005-0000-0000-00007E060000}"/>
    <cellStyle name="Normal 4 9" xfId="1663" xr:uid="{00000000-0005-0000-0000-00007F060000}"/>
    <cellStyle name="Normal 40" xfId="1664" xr:uid="{00000000-0005-0000-0000-000080060000}"/>
    <cellStyle name="Normal 41" xfId="1665" xr:uid="{00000000-0005-0000-0000-000081060000}"/>
    <cellStyle name="Normal 42" xfId="1666" xr:uid="{00000000-0005-0000-0000-000082060000}"/>
    <cellStyle name="Normal 43" xfId="1667" xr:uid="{00000000-0005-0000-0000-000083060000}"/>
    <cellStyle name="Normal 44" xfId="1668" xr:uid="{00000000-0005-0000-0000-000084060000}"/>
    <cellStyle name="Normal 45" xfId="1669" xr:uid="{00000000-0005-0000-0000-000085060000}"/>
    <cellStyle name="Normal 46" xfId="1670" xr:uid="{00000000-0005-0000-0000-000086060000}"/>
    <cellStyle name="Normal 47" xfId="1671" xr:uid="{00000000-0005-0000-0000-000087060000}"/>
    <cellStyle name="Normal 48" xfId="1672" xr:uid="{00000000-0005-0000-0000-000088060000}"/>
    <cellStyle name="Normal 49" xfId="1673" xr:uid="{00000000-0005-0000-0000-000089060000}"/>
    <cellStyle name="Normal 5" xfId="1674" xr:uid="{00000000-0005-0000-0000-00008A060000}"/>
    <cellStyle name="Normal 5 10" xfId="1675" xr:uid="{00000000-0005-0000-0000-00008B060000}"/>
    <cellStyle name="Normal 5 2" xfId="1676" xr:uid="{00000000-0005-0000-0000-00008C060000}"/>
    <cellStyle name="Normal 5 2 2" xfId="1677" xr:uid="{00000000-0005-0000-0000-00008D060000}"/>
    <cellStyle name="Normal 5 2 3" xfId="1678" xr:uid="{00000000-0005-0000-0000-00008E060000}"/>
    <cellStyle name="Normal 5 3" xfId="1679" xr:uid="{00000000-0005-0000-0000-00008F060000}"/>
    <cellStyle name="Normal 5 3 2" xfId="1680" xr:uid="{00000000-0005-0000-0000-000090060000}"/>
    <cellStyle name="Normal 5 4" xfId="1681" xr:uid="{00000000-0005-0000-0000-000091060000}"/>
    <cellStyle name="Normal 5 4 2" xfId="1682" xr:uid="{00000000-0005-0000-0000-000092060000}"/>
    <cellStyle name="Normal 5 5" xfId="1683" xr:uid="{00000000-0005-0000-0000-000093060000}"/>
    <cellStyle name="Normal 5 5 2" xfId="1684" xr:uid="{00000000-0005-0000-0000-000094060000}"/>
    <cellStyle name="Normal 5 6" xfId="1685" xr:uid="{00000000-0005-0000-0000-000095060000}"/>
    <cellStyle name="Normal 5 6 2" xfId="1686" xr:uid="{00000000-0005-0000-0000-000096060000}"/>
    <cellStyle name="Normal 5 7" xfId="1687" xr:uid="{00000000-0005-0000-0000-000097060000}"/>
    <cellStyle name="Normal 5 8" xfId="1688" xr:uid="{00000000-0005-0000-0000-000098060000}"/>
    <cellStyle name="Normal 5 9" xfId="1689" xr:uid="{00000000-0005-0000-0000-000099060000}"/>
    <cellStyle name="Normal 50" xfId="1690" xr:uid="{00000000-0005-0000-0000-00009A060000}"/>
    <cellStyle name="Normal 51" xfId="1691" xr:uid="{00000000-0005-0000-0000-00009B060000}"/>
    <cellStyle name="Normal 52" xfId="1692" xr:uid="{00000000-0005-0000-0000-00009C060000}"/>
    <cellStyle name="Normal 53" xfId="1693" xr:uid="{00000000-0005-0000-0000-00009D060000}"/>
    <cellStyle name="Normal 54" xfId="1694" xr:uid="{00000000-0005-0000-0000-00009E060000}"/>
    <cellStyle name="Normal 55" xfId="1695" xr:uid="{00000000-0005-0000-0000-00009F060000}"/>
    <cellStyle name="Normal 56" xfId="1696" xr:uid="{00000000-0005-0000-0000-0000A0060000}"/>
    <cellStyle name="Normal 57" xfId="1697" xr:uid="{00000000-0005-0000-0000-0000A1060000}"/>
    <cellStyle name="Normal 58" xfId="1698" xr:uid="{00000000-0005-0000-0000-0000A2060000}"/>
    <cellStyle name="Normal 59" xfId="1699" xr:uid="{00000000-0005-0000-0000-0000A3060000}"/>
    <cellStyle name="Normal 6" xfId="1700" xr:uid="{00000000-0005-0000-0000-0000A4060000}"/>
    <cellStyle name="Normal 6 2" xfId="1701" xr:uid="{00000000-0005-0000-0000-0000A5060000}"/>
    <cellStyle name="Normal 6 2 2" xfId="1702" xr:uid="{00000000-0005-0000-0000-0000A6060000}"/>
    <cellStyle name="Normal 6 3" xfId="1703" xr:uid="{00000000-0005-0000-0000-0000A7060000}"/>
    <cellStyle name="Normal 6 3 2" xfId="1704" xr:uid="{00000000-0005-0000-0000-0000A8060000}"/>
    <cellStyle name="Normal 6 4" xfId="1705" xr:uid="{00000000-0005-0000-0000-0000A9060000}"/>
    <cellStyle name="Normal 6 5" xfId="1706" xr:uid="{00000000-0005-0000-0000-0000AA060000}"/>
    <cellStyle name="Normal 60" xfId="1707" xr:uid="{00000000-0005-0000-0000-0000AB060000}"/>
    <cellStyle name="Normal 61" xfId="1708" xr:uid="{00000000-0005-0000-0000-0000AC060000}"/>
    <cellStyle name="Normal 62" xfId="1709" xr:uid="{00000000-0005-0000-0000-0000AD060000}"/>
    <cellStyle name="Normal 63" xfId="1710" xr:uid="{00000000-0005-0000-0000-0000AE060000}"/>
    <cellStyle name="Normal 64" xfId="1711" xr:uid="{00000000-0005-0000-0000-0000AF060000}"/>
    <cellStyle name="Normal 65" xfId="1712" xr:uid="{00000000-0005-0000-0000-0000B0060000}"/>
    <cellStyle name="Normal 66" xfId="1713" xr:uid="{00000000-0005-0000-0000-0000B1060000}"/>
    <cellStyle name="Normal 67" xfId="1714" xr:uid="{00000000-0005-0000-0000-0000B2060000}"/>
    <cellStyle name="Normal 68" xfId="1715" xr:uid="{00000000-0005-0000-0000-0000B3060000}"/>
    <cellStyle name="Normal 69" xfId="1716" xr:uid="{00000000-0005-0000-0000-0000B4060000}"/>
    <cellStyle name="Normal 7" xfId="1717" xr:uid="{00000000-0005-0000-0000-0000B5060000}"/>
    <cellStyle name="Normal 7 2" xfId="1718" xr:uid="{00000000-0005-0000-0000-0000B6060000}"/>
    <cellStyle name="Normal 7 2 2" xfId="1719" xr:uid="{00000000-0005-0000-0000-0000B7060000}"/>
    <cellStyle name="Normal 7 3" xfId="1720" xr:uid="{00000000-0005-0000-0000-0000B8060000}"/>
    <cellStyle name="Normal 7 4" xfId="1721" xr:uid="{00000000-0005-0000-0000-0000B9060000}"/>
    <cellStyle name="Normal 70" xfId="1722" xr:uid="{00000000-0005-0000-0000-0000BA060000}"/>
    <cellStyle name="Normal 71" xfId="1723" xr:uid="{00000000-0005-0000-0000-0000BB060000}"/>
    <cellStyle name="Normal 72" xfId="1724" xr:uid="{00000000-0005-0000-0000-0000BC060000}"/>
    <cellStyle name="Normal 73" xfId="1725" xr:uid="{00000000-0005-0000-0000-0000BD060000}"/>
    <cellStyle name="Normal 74" xfId="1726" xr:uid="{00000000-0005-0000-0000-0000BE060000}"/>
    <cellStyle name="Normal 75" xfId="1727" xr:uid="{00000000-0005-0000-0000-0000BF060000}"/>
    <cellStyle name="Normal 76" xfId="1728" xr:uid="{00000000-0005-0000-0000-0000C0060000}"/>
    <cellStyle name="Normal 8" xfId="1729" xr:uid="{00000000-0005-0000-0000-0000C1060000}"/>
    <cellStyle name="Normal 8 2" xfId="1730" xr:uid="{00000000-0005-0000-0000-0000C2060000}"/>
    <cellStyle name="Normal 8 2 2" xfId="1731" xr:uid="{00000000-0005-0000-0000-0000C3060000}"/>
    <cellStyle name="Normal 8 2 3" xfId="1732" xr:uid="{00000000-0005-0000-0000-0000C4060000}"/>
    <cellStyle name="Normal 8 3" xfId="1733" xr:uid="{00000000-0005-0000-0000-0000C5060000}"/>
    <cellStyle name="Normal 8 4" xfId="1734" xr:uid="{00000000-0005-0000-0000-0000C6060000}"/>
    <cellStyle name="Normal 8 5" xfId="1735" xr:uid="{00000000-0005-0000-0000-0000C7060000}"/>
    <cellStyle name="Normal 9" xfId="1736" xr:uid="{00000000-0005-0000-0000-0000C8060000}"/>
    <cellStyle name="Normal 9 2" xfId="1737" xr:uid="{00000000-0005-0000-0000-0000C9060000}"/>
    <cellStyle name="Normal 9 2 2" xfId="1738" xr:uid="{00000000-0005-0000-0000-0000CA060000}"/>
    <cellStyle name="Normal 9 3" xfId="1739" xr:uid="{00000000-0005-0000-0000-0000CB060000}"/>
    <cellStyle name="Normal_DBASE.XLS" xfId="1740" xr:uid="{00000000-0005-0000-0000-0000CC060000}"/>
    <cellStyle name="Note 10" xfId="1741" xr:uid="{00000000-0005-0000-0000-0000CD060000}"/>
    <cellStyle name="Note 10 2" xfId="1742" xr:uid="{00000000-0005-0000-0000-0000CE060000}"/>
    <cellStyle name="Note 11" xfId="1743" xr:uid="{00000000-0005-0000-0000-0000CF060000}"/>
    <cellStyle name="Note 11 2" xfId="1744" xr:uid="{00000000-0005-0000-0000-0000D0060000}"/>
    <cellStyle name="Note 12" xfId="1745" xr:uid="{00000000-0005-0000-0000-0000D1060000}"/>
    <cellStyle name="Note 12 2" xfId="1746" xr:uid="{00000000-0005-0000-0000-0000D2060000}"/>
    <cellStyle name="Note 13" xfId="1747" xr:uid="{00000000-0005-0000-0000-0000D3060000}"/>
    <cellStyle name="Note 13 2" xfId="1748" xr:uid="{00000000-0005-0000-0000-0000D4060000}"/>
    <cellStyle name="Note 14" xfId="1749" xr:uid="{00000000-0005-0000-0000-0000D5060000}"/>
    <cellStyle name="Note 14 2" xfId="1750" xr:uid="{00000000-0005-0000-0000-0000D6060000}"/>
    <cellStyle name="Note 15" xfId="1751" xr:uid="{00000000-0005-0000-0000-0000D7060000}"/>
    <cellStyle name="Note 15 2" xfId="1752" xr:uid="{00000000-0005-0000-0000-0000D8060000}"/>
    <cellStyle name="Note 2" xfId="1753" xr:uid="{00000000-0005-0000-0000-0000D9060000}"/>
    <cellStyle name="Note 2 10" xfId="1754" xr:uid="{00000000-0005-0000-0000-0000DA060000}"/>
    <cellStyle name="Note 2 11" xfId="1755" xr:uid="{00000000-0005-0000-0000-0000DB060000}"/>
    <cellStyle name="Note 2 2" xfId="1756" xr:uid="{00000000-0005-0000-0000-0000DC060000}"/>
    <cellStyle name="Note 2 2 2" xfId="1757" xr:uid="{00000000-0005-0000-0000-0000DD060000}"/>
    <cellStyle name="Note 2 3" xfId="1758" xr:uid="{00000000-0005-0000-0000-0000DE060000}"/>
    <cellStyle name="Note 2 3 2" xfId="1759" xr:uid="{00000000-0005-0000-0000-0000DF060000}"/>
    <cellStyle name="Note 2 3 2 2" xfId="1760" xr:uid="{00000000-0005-0000-0000-0000E0060000}"/>
    <cellStyle name="Note 2 3 2 2 2" xfId="1761" xr:uid="{00000000-0005-0000-0000-0000E1060000}"/>
    <cellStyle name="Note 2 3 2 2 3" xfId="1762" xr:uid="{00000000-0005-0000-0000-0000E2060000}"/>
    <cellStyle name="Note 2 3 2 3" xfId="1763" xr:uid="{00000000-0005-0000-0000-0000E3060000}"/>
    <cellStyle name="Note 2 3 2 4" xfId="1764" xr:uid="{00000000-0005-0000-0000-0000E4060000}"/>
    <cellStyle name="Note 2 3 3" xfId="1765" xr:uid="{00000000-0005-0000-0000-0000E5060000}"/>
    <cellStyle name="Note 2 3 3 2" xfId="1766" xr:uid="{00000000-0005-0000-0000-0000E6060000}"/>
    <cellStyle name="Note 2 3 3 3" xfId="1767" xr:uid="{00000000-0005-0000-0000-0000E7060000}"/>
    <cellStyle name="Note 2 3 4" xfId="1768" xr:uid="{00000000-0005-0000-0000-0000E8060000}"/>
    <cellStyle name="Note 2 3 5" xfId="1769" xr:uid="{00000000-0005-0000-0000-0000E9060000}"/>
    <cellStyle name="Note 2 4" xfId="1770" xr:uid="{00000000-0005-0000-0000-0000EA060000}"/>
    <cellStyle name="Note 2 4 2" xfId="1771" xr:uid="{00000000-0005-0000-0000-0000EB060000}"/>
    <cellStyle name="Note 2 4 2 2" xfId="1772" xr:uid="{00000000-0005-0000-0000-0000EC060000}"/>
    <cellStyle name="Note 2 4 2 3" xfId="1773" xr:uid="{00000000-0005-0000-0000-0000ED060000}"/>
    <cellStyle name="Note 2 4 3" xfId="1774" xr:uid="{00000000-0005-0000-0000-0000EE060000}"/>
    <cellStyle name="Note 2 4 3 2" xfId="1775" xr:uid="{00000000-0005-0000-0000-0000EF060000}"/>
    <cellStyle name="Note 2 4 3 3" xfId="1776" xr:uid="{00000000-0005-0000-0000-0000F0060000}"/>
    <cellStyle name="Note 2 4 4" xfId="1777" xr:uid="{00000000-0005-0000-0000-0000F1060000}"/>
    <cellStyle name="Note 2 4 5" xfId="1778" xr:uid="{00000000-0005-0000-0000-0000F2060000}"/>
    <cellStyle name="Note 2 5" xfId="1779" xr:uid="{00000000-0005-0000-0000-0000F3060000}"/>
    <cellStyle name="Note 2 5 2" xfId="1780" xr:uid="{00000000-0005-0000-0000-0000F4060000}"/>
    <cellStyle name="Note 2 5 2 2" xfId="1781" xr:uid="{00000000-0005-0000-0000-0000F5060000}"/>
    <cellStyle name="Note 2 5 2 3" xfId="1782" xr:uid="{00000000-0005-0000-0000-0000F6060000}"/>
    <cellStyle name="Note 2 5 3" xfId="1783" xr:uid="{00000000-0005-0000-0000-0000F7060000}"/>
    <cellStyle name="Note 2 5 4" xfId="1784" xr:uid="{00000000-0005-0000-0000-0000F8060000}"/>
    <cellStyle name="Note 2 6" xfId="1785" xr:uid="{00000000-0005-0000-0000-0000F9060000}"/>
    <cellStyle name="Note 2 6 2" xfId="1786" xr:uid="{00000000-0005-0000-0000-0000FA060000}"/>
    <cellStyle name="Note 2 6 3" xfId="1787" xr:uid="{00000000-0005-0000-0000-0000FB060000}"/>
    <cellStyle name="Note 2 7" xfId="1788" xr:uid="{00000000-0005-0000-0000-0000FC060000}"/>
    <cellStyle name="Note 2 8" xfId="1789" xr:uid="{00000000-0005-0000-0000-0000FD060000}"/>
    <cellStyle name="Note 2 9" xfId="1790" xr:uid="{00000000-0005-0000-0000-0000FE060000}"/>
    <cellStyle name="Note 3" xfId="1791" xr:uid="{00000000-0005-0000-0000-0000FF060000}"/>
    <cellStyle name="Note 3 2" xfId="1792" xr:uid="{00000000-0005-0000-0000-000000070000}"/>
    <cellStyle name="Note 3 3" xfId="1793" xr:uid="{00000000-0005-0000-0000-000001070000}"/>
    <cellStyle name="Note 3 4" xfId="1794" xr:uid="{00000000-0005-0000-0000-000002070000}"/>
    <cellStyle name="Note 4" xfId="1795" xr:uid="{00000000-0005-0000-0000-000003070000}"/>
    <cellStyle name="Note 4 2" xfId="1796" xr:uid="{00000000-0005-0000-0000-000004070000}"/>
    <cellStyle name="Note 5" xfId="1797" xr:uid="{00000000-0005-0000-0000-000005070000}"/>
    <cellStyle name="Note 5 2" xfId="1798" xr:uid="{00000000-0005-0000-0000-000006070000}"/>
    <cellStyle name="Note 6" xfId="1799" xr:uid="{00000000-0005-0000-0000-000007070000}"/>
    <cellStyle name="Note 6 2" xfId="1800" xr:uid="{00000000-0005-0000-0000-000008070000}"/>
    <cellStyle name="Note 7" xfId="1801" xr:uid="{00000000-0005-0000-0000-000009070000}"/>
    <cellStyle name="Note 7 2" xfId="1802" xr:uid="{00000000-0005-0000-0000-00000A070000}"/>
    <cellStyle name="Note 8" xfId="1803" xr:uid="{00000000-0005-0000-0000-00000B070000}"/>
    <cellStyle name="Note 8 2" xfId="1804" xr:uid="{00000000-0005-0000-0000-00000C070000}"/>
    <cellStyle name="Note 9" xfId="1805" xr:uid="{00000000-0005-0000-0000-00000D070000}"/>
    <cellStyle name="Note 9 2" xfId="1806" xr:uid="{00000000-0005-0000-0000-00000E070000}"/>
    <cellStyle name="Output 10" xfId="1807" xr:uid="{00000000-0005-0000-0000-00000F070000}"/>
    <cellStyle name="Output 11" xfId="1808" xr:uid="{00000000-0005-0000-0000-000010070000}"/>
    <cellStyle name="Output 12" xfId="1809" xr:uid="{00000000-0005-0000-0000-000011070000}"/>
    <cellStyle name="Output 13" xfId="1810" xr:uid="{00000000-0005-0000-0000-000012070000}"/>
    <cellStyle name="Output 14" xfId="1811" xr:uid="{00000000-0005-0000-0000-000013070000}"/>
    <cellStyle name="Output 15" xfId="1812" xr:uid="{00000000-0005-0000-0000-000014070000}"/>
    <cellStyle name="Output 2" xfId="1813" xr:uid="{00000000-0005-0000-0000-000015070000}"/>
    <cellStyle name="Output 2 2" xfId="1814" xr:uid="{00000000-0005-0000-0000-000016070000}"/>
    <cellStyle name="Output 2 2 2" xfId="1815" xr:uid="{00000000-0005-0000-0000-000017070000}"/>
    <cellStyle name="Output 2 3" xfId="1816" xr:uid="{00000000-0005-0000-0000-000018070000}"/>
    <cellStyle name="Output 2 3 2" xfId="1817" xr:uid="{00000000-0005-0000-0000-000019070000}"/>
    <cellStyle name="Output 2 4" xfId="1818" xr:uid="{00000000-0005-0000-0000-00001A070000}"/>
    <cellStyle name="Output 2 5" xfId="1819" xr:uid="{00000000-0005-0000-0000-00001B070000}"/>
    <cellStyle name="Output 2 6" xfId="1820" xr:uid="{00000000-0005-0000-0000-00001C070000}"/>
    <cellStyle name="Output 3" xfId="1821" xr:uid="{00000000-0005-0000-0000-00001D070000}"/>
    <cellStyle name="Output 3 2" xfId="1822" xr:uid="{00000000-0005-0000-0000-00001E070000}"/>
    <cellStyle name="Output 3 3" xfId="1823" xr:uid="{00000000-0005-0000-0000-00001F070000}"/>
    <cellStyle name="Output 4" xfId="1824" xr:uid="{00000000-0005-0000-0000-000020070000}"/>
    <cellStyle name="Output 4 2" xfId="1825" xr:uid="{00000000-0005-0000-0000-000021070000}"/>
    <cellStyle name="Output 5" xfId="1826" xr:uid="{00000000-0005-0000-0000-000022070000}"/>
    <cellStyle name="Output 6" xfId="1827" xr:uid="{00000000-0005-0000-0000-000023070000}"/>
    <cellStyle name="Output 7" xfId="1828" xr:uid="{00000000-0005-0000-0000-000024070000}"/>
    <cellStyle name="Output 8" xfId="1829" xr:uid="{00000000-0005-0000-0000-000025070000}"/>
    <cellStyle name="Output 9" xfId="1830" xr:uid="{00000000-0005-0000-0000-000026070000}"/>
    <cellStyle name="Percent" xfId="1831" builtinId="5"/>
    <cellStyle name="Percent [2]" xfId="1832" xr:uid="{00000000-0005-0000-0000-000028070000}"/>
    <cellStyle name="Percent [2] 2" xfId="1833" xr:uid="{00000000-0005-0000-0000-000029070000}"/>
    <cellStyle name="Percent [2] 2 2" xfId="1834" xr:uid="{00000000-0005-0000-0000-00002A070000}"/>
    <cellStyle name="Percent [2] 3" xfId="1835" xr:uid="{00000000-0005-0000-0000-00002B070000}"/>
    <cellStyle name="Percent 10" xfId="1836" xr:uid="{00000000-0005-0000-0000-00002C070000}"/>
    <cellStyle name="Percent 10 2" xfId="1837" xr:uid="{00000000-0005-0000-0000-00002D070000}"/>
    <cellStyle name="Percent 10 3" xfId="1838" xr:uid="{00000000-0005-0000-0000-00002E070000}"/>
    <cellStyle name="Percent 100" xfId="1839" xr:uid="{00000000-0005-0000-0000-00002F070000}"/>
    <cellStyle name="Percent 101" xfId="1840" xr:uid="{00000000-0005-0000-0000-000030070000}"/>
    <cellStyle name="Percent 102" xfId="1841" xr:uid="{00000000-0005-0000-0000-000031070000}"/>
    <cellStyle name="Percent 103" xfId="1842" xr:uid="{00000000-0005-0000-0000-000032070000}"/>
    <cellStyle name="Percent 104" xfId="1843" xr:uid="{00000000-0005-0000-0000-000033070000}"/>
    <cellStyle name="Percent 105" xfId="1844" xr:uid="{00000000-0005-0000-0000-000034070000}"/>
    <cellStyle name="Percent 106" xfId="1845" xr:uid="{00000000-0005-0000-0000-000035070000}"/>
    <cellStyle name="Percent 107" xfId="1846" xr:uid="{00000000-0005-0000-0000-000036070000}"/>
    <cellStyle name="Percent 108" xfId="1847" xr:uid="{00000000-0005-0000-0000-000037070000}"/>
    <cellStyle name="Percent 109" xfId="1848" xr:uid="{00000000-0005-0000-0000-000038070000}"/>
    <cellStyle name="Percent 11" xfId="1849" xr:uid="{00000000-0005-0000-0000-000039070000}"/>
    <cellStyle name="Percent 11 2" xfId="1850" xr:uid="{00000000-0005-0000-0000-00003A070000}"/>
    <cellStyle name="Percent 11 3" xfId="1851" xr:uid="{00000000-0005-0000-0000-00003B070000}"/>
    <cellStyle name="Percent 110" xfId="1852" xr:uid="{00000000-0005-0000-0000-00003C070000}"/>
    <cellStyle name="Percent 111" xfId="1853" xr:uid="{00000000-0005-0000-0000-00003D070000}"/>
    <cellStyle name="Percent 112" xfId="1854" xr:uid="{00000000-0005-0000-0000-00003E070000}"/>
    <cellStyle name="Percent 113" xfId="1855" xr:uid="{00000000-0005-0000-0000-00003F070000}"/>
    <cellStyle name="Percent 114" xfId="1856" xr:uid="{00000000-0005-0000-0000-000040070000}"/>
    <cellStyle name="Percent 115" xfId="1857" xr:uid="{00000000-0005-0000-0000-000041070000}"/>
    <cellStyle name="Percent 116" xfId="1858" xr:uid="{00000000-0005-0000-0000-000042070000}"/>
    <cellStyle name="Percent 117" xfId="1859" xr:uid="{00000000-0005-0000-0000-000043070000}"/>
    <cellStyle name="Percent 118" xfId="1860" xr:uid="{00000000-0005-0000-0000-000044070000}"/>
    <cellStyle name="Percent 119" xfId="1861" xr:uid="{00000000-0005-0000-0000-000045070000}"/>
    <cellStyle name="Percent 12" xfId="1862" xr:uid="{00000000-0005-0000-0000-000046070000}"/>
    <cellStyle name="Percent 12 2" xfId="1863" xr:uid="{00000000-0005-0000-0000-000047070000}"/>
    <cellStyle name="Percent 12 3" xfId="1864" xr:uid="{00000000-0005-0000-0000-000048070000}"/>
    <cellStyle name="Percent 120" xfId="1865" xr:uid="{00000000-0005-0000-0000-000049070000}"/>
    <cellStyle name="Percent 121" xfId="1866" xr:uid="{00000000-0005-0000-0000-00004A070000}"/>
    <cellStyle name="Percent 122" xfId="1867" xr:uid="{00000000-0005-0000-0000-00004B070000}"/>
    <cellStyle name="Percent 123" xfId="1868" xr:uid="{00000000-0005-0000-0000-00004C070000}"/>
    <cellStyle name="Percent 124" xfId="1869" xr:uid="{00000000-0005-0000-0000-00004D070000}"/>
    <cellStyle name="Percent 125" xfId="1870" xr:uid="{00000000-0005-0000-0000-00004E070000}"/>
    <cellStyle name="Percent 126" xfId="1871" xr:uid="{00000000-0005-0000-0000-00004F070000}"/>
    <cellStyle name="Percent 13" xfId="1872" xr:uid="{00000000-0005-0000-0000-000050070000}"/>
    <cellStyle name="Percent 13 2" xfId="1873" xr:uid="{00000000-0005-0000-0000-000051070000}"/>
    <cellStyle name="Percent 13 3" xfId="1874" xr:uid="{00000000-0005-0000-0000-000052070000}"/>
    <cellStyle name="Percent 14" xfId="1875" xr:uid="{00000000-0005-0000-0000-000053070000}"/>
    <cellStyle name="Percent 14 2" xfId="1876" xr:uid="{00000000-0005-0000-0000-000054070000}"/>
    <cellStyle name="Percent 14 3" xfId="1877" xr:uid="{00000000-0005-0000-0000-000055070000}"/>
    <cellStyle name="Percent 15" xfId="1878" xr:uid="{00000000-0005-0000-0000-000056070000}"/>
    <cellStyle name="Percent 15 2" xfId="1879" xr:uid="{00000000-0005-0000-0000-000057070000}"/>
    <cellStyle name="Percent 15 3" xfId="1880" xr:uid="{00000000-0005-0000-0000-000058070000}"/>
    <cellStyle name="Percent 16" xfId="1881" xr:uid="{00000000-0005-0000-0000-000059070000}"/>
    <cellStyle name="Percent 16 2" xfId="1882" xr:uid="{00000000-0005-0000-0000-00005A070000}"/>
    <cellStyle name="Percent 16 3" xfId="1883" xr:uid="{00000000-0005-0000-0000-00005B070000}"/>
    <cellStyle name="Percent 17" xfId="1884" xr:uid="{00000000-0005-0000-0000-00005C070000}"/>
    <cellStyle name="Percent 17 2" xfId="1885" xr:uid="{00000000-0005-0000-0000-00005D070000}"/>
    <cellStyle name="Percent 17 3" xfId="1886" xr:uid="{00000000-0005-0000-0000-00005E070000}"/>
    <cellStyle name="Percent 18" xfId="1887" xr:uid="{00000000-0005-0000-0000-00005F070000}"/>
    <cellStyle name="Percent 18 2" xfId="1888" xr:uid="{00000000-0005-0000-0000-000060070000}"/>
    <cellStyle name="Percent 18 3" xfId="1889" xr:uid="{00000000-0005-0000-0000-000061070000}"/>
    <cellStyle name="Percent 19" xfId="1890" xr:uid="{00000000-0005-0000-0000-000062070000}"/>
    <cellStyle name="Percent 19 2" xfId="1891" xr:uid="{00000000-0005-0000-0000-000063070000}"/>
    <cellStyle name="Percent 19 3" xfId="1892" xr:uid="{00000000-0005-0000-0000-000064070000}"/>
    <cellStyle name="Percent 2" xfId="1893" xr:uid="{00000000-0005-0000-0000-000065070000}"/>
    <cellStyle name="Percent 2 2" xfId="1894" xr:uid="{00000000-0005-0000-0000-000066070000}"/>
    <cellStyle name="Percent 2 2 2" xfId="1895" xr:uid="{00000000-0005-0000-0000-000067070000}"/>
    <cellStyle name="Percent 2 2 3" xfId="1896" xr:uid="{00000000-0005-0000-0000-000068070000}"/>
    <cellStyle name="Percent 2 3" xfId="1897" xr:uid="{00000000-0005-0000-0000-000069070000}"/>
    <cellStyle name="Percent 2 3 2" xfId="1898" xr:uid="{00000000-0005-0000-0000-00006A070000}"/>
    <cellStyle name="Percent 2 4" xfId="1899" xr:uid="{00000000-0005-0000-0000-00006B070000}"/>
    <cellStyle name="Percent 2 5" xfId="1900" xr:uid="{00000000-0005-0000-0000-00006C070000}"/>
    <cellStyle name="Percent 2 6" xfId="1901" xr:uid="{00000000-0005-0000-0000-00006D070000}"/>
    <cellStyle name="Percent 20" xfId="1902" xr:uid="{00000000-0005-0000-0000-00006E070000}"/>
    <cellStyle name="Percent 20 2" xfId="1903" xr:uid="{00000000-0005-0000-0000-00006F070000}"/>
    <cellStyle name="Percent 20 3" xfId="1904" xr:uid="{00000000-0005-0000-0000-000070070000}"/>
    <cellStyle name="Percent 21" xfId="1905" xr:uid="{00000000-0005-0000-0000-000071070000}"/>
    <cellStyle name="Percent 21 2" xfId="1906" xr:uid="{00000000-0005-0000-0000-000072070000}"/>
    <cellStyle name="Percent 22" xfId="1907" xr:uid="{00000000-0005-0000-0000-000073070000}"/>
    <cellStyle name="Percent 22 2" xfId="1908" xr:uid="{00000000-0005-0000-0000-000074070000}"/>
    <cellStyle name="Percent 23" xfId="1909" xr:uid="{00000000-0005-0000-0000-000075070000}"/>
    <cellStyle name="Percent 23 2" xfId="1910" xr:uid="{00000000-0005-0000-0000-000076070000}"/>
    <cellStyle name="Percent 24" xfId="1911" xr:uid="{00000000-0005-0000-0000-000077070000}"/>
    <cellStyle name="Percent 24 2" xfId="1912" xr:uid="{00000000-0005-0000-0000-000078070000}"/>
    <cellStyle name="Percent 25" xfId="1913" xr:uid="{00000000-0005-0000-0000-000079070000}"/>
    <cellStyle name="Percent 25 2" xfId="1914" xr:uid="{00000000-0005-0000-0000-00007A070000}"/>
    <cellStyle name="Percent 26" xfId="1915" xr:uid="{00000000-0005-0000-0000-00007B070000}"/>
    <cellStyle name="Percent 26 2" xfId="1916" xr:uid="{00000000-0005-0000-0000-00007C070000}"/>
    <cellStyle name="Percent 27" xfId="1917" xr:uid="{00000000-0005-0000-0000-00007D070000}"/>
    <cellStyle name="Percent 27 2" xfId="1918" xr:uid="{00000000-0005-0000-0000-00007E070000}"/>
    <cellStyle name="Percent 28" xfId="1919" xr:uid="{00000000-0005-0000-0000-00007F070000}"/>
    <cellStyle name="Percent 28 2" xfId="1920" xr:uid="{00000000-0005-0000-0000-000080070000}"/>
    <cellStyle name="Percent 29" xfId="1921" xr:uid="{00000000-0005-0000-0000-000081070000}"/>
    <cellStyle name="Percent 29 2" xfId="1922" xr:uid="{00000000-0005-0000-0000-000082070000}"/>
    <cellStyle name="Percent 3" xfId="1923" xr:uid="{00000000-0005-0000-0000-000083070000}"/>
    <cellStyle name="Percent 3 2" xfId="1924" xr:uid="{00000000-0005-0000-0000-000084070000}"/>
    <cellStyle name="Percent 3 2 2" xfId="1925" xr:uid="{00000000-0005-0000-0000-000085070000}"/>
    <cellStyle name="Percent 3 2 3" xfId="1926" xr:uid="{00000000-0005-0000-0000-000086070000}"/>
    <cellStyle name="Percent 3 3" xfId="1927" xr:uid="{00000000-0005-0000-0000-000087070000}"/>
    <cellStyle name="Percent 3 3 2" xfId="1928" xr:uid="{00000000-0005-0000-0000-000088070000}"/>
    <cellStyle name="Percent 3 4" xfId="1929" xr:uid="{00000000-0005-0000-0000-000089070000}"/>
    <cellStyle name="Percent 3 4 2" xfId="1930" xr:uid="{00000000-0005-0000-0000-00008A070000}"/>
    <cellStyle name="Percent 3 5" xfId="1931" xr:uid="{00000000-0005-0000-0000-00008B070000}"/>
    <cellStyle name="Percent 3 6" xfId="1932" xr:uid="{00000000-0005-0000-0000-00008C070000}"/>
    <cellStyle name="Percent 3 7" xfId="1933" xr:uid="{00000000-0005-0000-0000-00008D070000}"/>
    <cellStyle name="Percent 30" xfId="1934" xr:uid="{00000000-0005-0000-0000-00008E070000}"/>
    <cellStyle name="Percent 30 2" xfId="1935" xr:uid="{00000000-0005-0000-0000-00008F070000}"/>
    <cellStyle name="Percent 31" xfId="1936" xr:uid="{00000000-0005-0000-0000-000090070000}"/>
    <cellStyle name="Percent 31 2" xfId="1937" xr:uid="{00000000-0005-0000-0000-000091070000}"/>
    <cellStyle name="Percent 32" xfId="1938" xr:uid="{00000000-0005-0000-0000-000092070000}"/>
    <cellStyle name="Percent 32 2" xfId="1939" xr:uid="{00000000-0005-0000-0000-000093070000}"/>
    <cellStyle name="Percent 33" xfId="1940" xr:uid="{00000000-0005-0000-0000-000094070000}"/>
    <cellStyle name="Percent 33 2" xfId="1941" xr:uid="{00000000-0005-0000-0000-000095070000}"/>
    <cellStyle name="Percent 34" xfId="1942" xr:uid="{00000000-0005-0000-0000-000096070000}"/>
    <cellStyle name="Percent 35" xfId="1943" xr:uid="{00000000-0005-0000-0000-000097070000}"/>
    <cellStyle name="Percent 35 2" xfId="1944" xr:uid="{00000000-0005-0000-0000-000098070000}"/>
    <cellStyle name="Percent 36" xfId="1945" xr:uid="{00000000-0005-0000-0000-000099070000}"/>
    <cellStyle name="Percent 37" xfId="1946" xr:uid="{00000000-0005-0000-0000-00009A070000}"/>
    <cellStyle name="Percent 38" xfId="1947" xr:uid="{00000000-0005-0000-0000-00009B070000}"/>
    <cellStyle name="Percent 39" xfId="1948" xr:uid="{00000000-0005-0000-0000-00009C070000}"/>
    <cellStyle name="Percent 4" xfId="1949" xr:uid="{00000000-0005-0000-0000-00009D070000}"/>
    <cellStyle name="Percent 4 2" xfId="1950" xr:uid="{00000000-0005-0000-0000-00009E070000}"/>
    <cellStyle name="Percent 4 2 2" xfId="1951" xr:uid="{00000000-0005-0000-0000-00009F070000}"/>
    <cellStyle name="Percent 4 3" xfId="1952" xr:uid="{00000000-0005-0000-0000-0000A0070000}"/>
    <cellStyle name="Percent 4 3 2" xfId="1953" xr:uid="{00000000-0005-0000-0000-0000A1070000}"/>
    <cellStyle name="Percent 4 3 3" xfId="1954" xr:uid="{00000000-0005-0000-0000-0000A2070000}"/>
    <cellStyle name="Percent 4 4" xfId="1955" xr:uid="{00000000-0005-0000-0000-0000A3070000}"/>
    <cellStyle name="Percent 4 4 2" xfId="1956" xr:uid="{00000000-0005-0000-0000-0000A4070000}"/>
    <cellStyle name="Percent 4 5" xfId="1957" xr:uid="{00000000-0005-0000-0000-0000A5070000}"/>
    <cellStyle name="Percent 4 6" xfId="1958" xr:uid="{00000000-0005-0000-0000-0000A6070000}"/>
    <cellStyle name="Percent 40" xfId="1959" xr:uid="{00000000-0005-0000-0000-0000A7070000}"/>
    <cellStyle name="Percent 41" xfId="1960" xr:uid="{00000000-0005-0000-0000-0000A8070000}"/>
    <cellStyle name="Percent 42" xfId="1961" xr:uid="{00000000-0005-0000-0000-0000A9070000}"/>
    <cellStyle name="Percent 43" xfId="1962" xr:uid="{00000000-0005-0000-0000-0000AA070000}"/>
    <cellStyle name="Percent 44" xfId="1963" xr:uid="{00000000-0005-0000-0000-0000AB070000}"/>
    <cellStyle name="Percent 45" xfId="1964" xr:uid="{00000000-0005-0000-0000-0000AC070000}"/>
    <cellStyle name="Percent 46" xfId="1965" xr:uid="{00000000-0005-0000-0000-0000AD070000}"/>
    <cellStyle name="Percent 47" xfId="1966" xr:uid="{00000000-0005-0000-0000-0000AE070000}"/>
    <cellStyle name="Percent 48" xfId="1967" xr:uid="{00000000-0005-0000-0000-0000AF070000}"/>
    <cellStyle name="Percent 49" xfId="1968" xr:uid="{00000000-0005-0000-0000-0000B0070000}"/>
    <cellStyle name="Percent 5" xfId="1969" xr:uid="{00000000-0005-0000-0000-0000B1070000}"/>
    <cellStyle name="Percent 5 2" xfId="1970" xr:uid="{00000000-0005-0000-0000-0000B2070000}"/>
    <cellStyle name="Percent 5 2 2" xfId="1971" xr:uid="{00000000-0005-0000-0000-0000B3070000}"/>
    <cellStyle name="Percent 50" xfId="1972" xr:uid="{00000000-0005-0000-0000-0000B4070000}"/>
    <cellStyle name="Percent 51" xfId="1973" xr:uid="{00000000-0005-0000-0000-0000B5070000}"/>
    <cellStyle name="Percent 52" xfId="1974" xr:uid="{00000000-0005-0000-0000-0000B6070000}"/>
    <cellStyle name="Percent 53" xfId="1975" xr:uid="{00000000-0005-0000-0000-0000B7070000}"/>
    <cellStyle name="Percent 54" xfId="1976" xr:uid="{00000000-0005-0000-0000-0000B8070000}"/>
    <cellStyle name="Percent 55" xfId="1977" xr:uid="{00000000-0005-0000-0000-0000B9070000}"/>
    <cellStyle name="Percent 56" xfId="1978" xr:uid="{00000000-0005-0000-0000-0000BA070000}"/>
    <cellStyle name="Percent 57" xfId="1979" xr:uid="{00000000-0005-0000-0000-0000BB070000}"/>
    <cellStyle name="Percent 58" xfId="1980" xr:uid="{00000000-0005-0000-0000-0000BC070000}"/>
    <cellStyle name="Percent 59" xfId="1981" xr:uid="{00000000-0005-0000-0000-0000BD070000}"/>
    <cellStyle name="Percent 6" xfId="1982" xr:uid="{00000000-0005-0000-0000-0000BE070000}"/>
    <cellStyle name="Percent 6 2" xfId="1983" xr:uid="{00000000-0005-0000-0000-0000BF070000}"/>
    <cellStyle name="Percent 6 2 2" xfId="1984" xr:uid="{00000000-0005-0000-0000-0000C0070000}"/>
    <cellStyle name="Percent 6 3" xfId="1985" xr:uid="{00000000-0005-0000-0000-0000C1070000}"/>
    <cellStyle name="Percent 6 3 2" xfId="1986" xr:uid="{00000000-0005-0000-0000-0000C2070000}"/>
    <cellStyle name="Percent 6 4" xfId="1987" xr:uid="{00000000-0005-0000-0000-0000C3070000}"/>
    <cellStyle name="Percent 6 4 2" xfId="1988" xr:uid="{00000000-0005-0000-0000-0000C4070000}"/>
    <cellStyle name="Percent 6 5" xfId="1989" xr:uid="{00000000-0005-0000-0000-0000C5070000}"/>
    <cellStyle name="Percent 60" xfId="1990" xr:uid="{00000000-0005-0000-0000-0000C6070000}"/>
    <cellStyle name="Percent 61" xfId="1991" xr:uid="{00000000-0005-0000-0000-0000C7070000}"/>
    <cellStyle name="Percent 62" xfId="1992" xr:uid="{00000000-0005-0000-0000-0000C8070000}"/>
    <cellStyle name="Percent 63" xfId="1993" xr:uid="{00000000-0005-0000-0000-0000C9070000}"/>
    <cellStyle name="Percent 64" xfId="1994" xr:uid="{00000000-0005-0000-0000-0000CA070000}"/>
    <cellStyle name="Percent 65" xfId="1995" xr:uid="{00000000-0005-0000-0000-0000CB070000}"/>
    <cellStyle name="Percent 66" xfId="1996" xr:uid="{00000000-0005-0000-0000-0000CC070000}"/>
    <cellStyle name="Percent 67" xfId="1997" xr:uid="{00000000-0005-0000-0000-0000CD070000}"/>
    <cellStyle name="Percent 68" xfId="1998" xr:uid="{00000000-0005-0000-0000-0000CE070000}"/>
    <cellStyle name="Percent 69" xfId="1999" xr:uid="{00000000-0005-0000-0000-0000CF070000}"/>
    <cellStyle name="Percent 7" xfId="2000" xr:uid="{00000000-0005-0000-0000-0000D0070000}"/>
    <cellStyle name="Percent 7 2" xfId="2001" xr:uid="{00000000-0005-0000-0000-0000D1070000}"/>
    <cellStyle name="Percent 7 3" xfId="2002" xr:uid="{00000000-0005-0000-0000-0000D2070000}"/>
    <cellStyle name="Percent 70" xfId="2003" xr:uid="{00000000-0005-0000-0000-0000D3070000}"/>
    <cellStyle name="Percent 71" xfId="2004" xr:uid="{00000000-0005-0000-0000-0000D4070000}"/>
    <cellStyle name="Percent 72" xfId="2005" xr:uid="{00000000-0005-0000-0000-0000D5070000}"/>
    <cellStyle name="Percent 73" xfId="2006" xr:uid="{00000000-0005-0000-0000-0000D6070000}"/>
    <cellStyle name="Percent 74" xfId="2007" xr:uid="{00000000-0005-0000-0000-0000D7070000}"/>
    <cellStyle name="Percent 75" xfId="2008" xr:uid="{00000000-0005-0000-0000-0000D8070000}"/>
    <cellStyle name="Percent 76" xfId="2009" xr:uid="{00000000-0005-0000-0000-0000D9070000}"/>
    <cellStyle name="Percent 77" xfId="2010" xr:uid="{00000000-0005-0000-0000-0000DA070000}"/>
    <cellStyle name="Percent 78" xfId="2011" xr:uid="{00000000-0005-0000-0000-0000DB070000}"/>
    <cellStyle name="Percent 79" xfId="2012" xr:uid="{00000000-0005-0000-0000-0000DC070000}"/>
    <cellStyle name="Percent 8" xfId="2013" xr:uid="{00000000-0005-0000-0000-0000DD070000}"/>
    <cellStyle name="Percent 8 2" xfId="2014" xr:uid="{00000000-0005-0000-0000-0000DE070000}"/>
    <cellStyle name="Percent 8 3" xfId="2015" xr:uid="{00000000-0005-0000-0000-0000DF070000}"/>
    <cellStyle name="Percent 80" xfId="2016" xr:uid="{00000000-0005-0000-0000-0000E0070000}"/>
    <cellStyle name="Percent 81" xfId="2017" xr:uid="{00000000-0005-0000-0000-0000E1070000}"/>
    <cellStyle name="Percent 82" xfId="2018" xr:uid="{00000000-0005-0000-0000-0000E2070000}"/>
    <cellStyle name="Percent 83" xfId="2019" xr:uid="{00000000-0005-0000-0000-0000E3070000}"/>
    <cellStyle name="Percent 84" xfId="2020" xr:uid="{00000000-0005-0000-0000-0000E4070000}"/>
    <cellStyle name="Percent 85" xfId="2021" xr:uid="{00000000-0005-0000-0000-0000E5070000}"/>
    <cellStyle name="Percent 86" xfId="2022" xr:uid="{00000000-0005-0000-0000-0000E6070000}"/>
    <cellStyle name="Percent 87" xfId="2023" xr:uid="{00000000-0005-0000-0000-0000E7070000}"/>
    <cellStyle name="Percent 88" xfId="2024" xr:uid="{00000000-0005-0000-0000-0000E8070000}"/>
    <cellStyle name="Percent 89" xfId="2025" xr:uid="{00000000-0005-0000-0000-0000E9070000}"/>
    <cellStyle name="Percent 9" xfId="2026" xr:uid="{00000000-0005-0000-0000-0000EA070000}"/>
    <cellStyle name="Percent 9 2" xfId="2027" xr:uid="{00000000-0005-0000-0000-0000EB070000}"/>
    <cellStyle name="Percent 9 3" xfId="2028" xr:uid="{00000000-0005-0000-0000-0000EC070000}"/>
    <cellStyle name="Percent 90" xfId="2029" xr:uid="{00000000-0005-0000-0000-0000ED070000}"/>
    <cellStyle name="Percent 91" xfId="2030" xr:uid="{00000000-0005-0000-0000-0000EE070000}"/>
    <cellStyle name="Percent 92" xfId="2031" xr:uid="{00000000-0005-0000-0000-0000EF070000}"/>
    <cellStyle name="Percent 93" xfId="2032" xr:uid="{00000000-0005-0000-0000-0000F0070000}"/>
    <cellStyle name="Percent 94" xfId="2033" xr:uid="{00000000-0005-0000-0000-0000F1070000}"/>
    <cellStyle name="Percent 95" xfId="2034" xr:uid="{00000000-0005-0000-0000-0000F2070000}"/>
    <cellStyle name="Percent 96" xfId="2035" xr:uid="{00000000-0005-0000-0000-0000F3070000}"/>
    <cellStyle name="Percent 97" xfId="2036" xr:uid="{00000000-0005-0000-0000-0000F4070000}"/>
    <cellStyle name="Percent 98" xfId="2037" xr:uid="{00000000-0005-0000-0000-0000F5070000}"/>
    <cellStyle name="Percent 99" xfId="2038" xr:uid="{00000000-0005-0000-0000-0000F6070000}"/>
    <cellStyle name="PSChar" xfId="2039" xr:uid="{00000000-0005-0000-0000-0000F7070000}"/>
    <cellStyle name="PSChar 2" xfId="2040" xr:uid="{00000000-0005-0000-0000-0000F8070000}"/>
    <cellStyle name="STYLE1" xfId="2041" xr:uid="{00000000-0005-0000-0000-0000F9070000}"/>
    <cellStyle name="STYLE2" xfId="2042" xr:uid="{00000000-0005-0000-0000-0000FA070000}"/>
    <cellStyle name="STYLE3" xfId="2043" xr:uid="{00000000-0005-0000-0000-0000FB070000}"/>
    <cellStyle name="Title 2" xfId="2044" xr:uid="{00000000-0005-0000-0000-0000FC070000}"/>
    <cellStyle name="Title 2 2" xfId="2045" xr:uid="{00000000-0005-0000-0000-0000FD070000}"/>
    <cellStyle name="Title 2 2 2" xfId="2046" xr:uid="{00000000-0005-0000-0000-0000FE070000}"/>
    <cellStyle name="Title 2 3" xfId="2047" xr:uid="{00000000-0005-0000-0000-0000FF070000}"/>
    <cellStyle name="Title 2 3 2" xfId="2048" xr:uid="{00000000-0005-0000-0000-000000080000}"/>
    <cellStyle name="Title 2 4" xfId="2049" xr:uid="{00000000-0005-0000-0000-000001080000}"/>
    <cellStyle name="Title 2 5" xfId="2050" xr:uid="{00000000-0005-0000-0000-000002080000}"/>
    <cellStyle name="Title 3" xfId="2051" xr:uid="{00000000-0005-0000-0000-000003080000}"/>
    <cellStyle name="Title 3 2" xfId="2052" xr:uid="{00000000-0005-0000-0000-000004080000}"/>
    <cellStyle name="Title 4" xfId="2053" xr:uid="{00000000-0005-0000-0000-000005080000}"/>
    <cellStyle name="Title 5" xfId="2054" xr:uid="{00000000-0005-0000-0000-000006080000}"/>
    <cellStyle name="Total 10" xfId="2055" xr:uid="{00000000-0005-0000-0000-000007080000}"/>
    <cellStyle name="Total 11" xfId="2056" xr:uid="{00000000-0005-0000-0000-000008080000}"/>
    <cellStyle name="Total 12" xfId="2057" xr:uid="{00000000-0005-0000-0000-000009080000}"/>
    <cellStyle name="Total 13" xfId="2058" xr:uid="{00000000-0005-0000-0000-00000A080000}"/>
    <cellStyle name="Total 14" xfId="2059" xr:uid="{00000000-0005-0000-0000-00000B080000}"/>
    <cellStyle name="Total 15" xfId="2060" xr:uid="{00000000-0005-0000-0000-00000C080000}"/>
    <cellStyle name="Total 2" xfId="2061" xr:uid="{00000000-0005-0000-0000-00000D080000}"/>
    <cellStyle name="Total 2 2" xfId="2062" xr:uid="{00000000-0005-0000-0000-00000E080000}"/>
    <cellStyle name="Total 2 2 2" xfId="2063" xr:uid="{00000000-0005-0000-0000-00000F080000}"/>
    <cellStyle name="Total 2 3" xfId="2064" xr:uid="{00000000-0005-0000-0000-000010080000}"/>
    <cellStyle name="Total 2 3 2" xfId="2065" xr:uid="{00000000-0005-0000-0000-000011080000}"/>
    <cellStyle name="Total 2 4" xfId="2066" xr:uid="{00000000-0005-0000-0000-000012080000}"/>
    <cellStyle name="Total 2 4 2" xfId="2067" xr:uid="{00000000-0005-0000-0000-000013080000}"/>
    <cellStyle name="Total 2 5" xfId="2068" xr:uid="{00000000-0005-0000-0000-000014080000}"/>
    <cellStyle name="Total 2 6" xfId="2069" xr:uid="{00000000-0005-0000-0000-000015080000}"/>
    <cellStyle name="Total 3" xfId="2070" xr:uid="{00000000-0005-0000-0000-000016080000}"/>
    <cellStyle name="Total 3 2" xfId="2071" xr:uid="{00000000-0005-0000-0000-000017080000}"/>
    <cellStyle name="Total 4" xfId="2072" xr:uid="{00000000-0005-0000-0000-000018080000}"/>
    <cellStyle name="Total 4 2" xfId="2073" xr:uid="{00000000-0005-0000-0000-000019080000}"/>
    <cellStyle name="Total 4 3" xfId="2074" xr:uid="{00000000-0005-0000-0000-00001A080000}"/>
    <cellStyle name="Total 5" xfId="2075" xr:uid="{00000000-0005-0000-0000-00001B080000}"/>
    <cellStyle name="Total 6" xfId="2076" xr:uid="{00000000-0005-0000-0000-00001C080000}"/>
    <cellStyle name="Total 7" xfId="2077" xr:uid="{00000000-0005-0000-0000-00001D080000}"/>
    <cellStyle name="Total 8" xfId="2078" xr:uid="{00000000-0005-0000-0000-00001E080000}"/>
    <cellStyle name="Total 9" xfId="2079" xr:uid="{00000000-0005-0000-0000-00001F080000}"/>
    <cellStyle name="Warning Text 10" xfId="2080" xr:uid="{00000000-0005-0000-0000-000020080000}"/>
    <cellStyle name="Warning Text 11" xfId="2081" xr:uid="{00000000-0005-0000-0000-000021080000}"/>
    <cellStyle name="Warning Text 12" xfId="2082" xr:uid="{00000000-0005-0000-0000-000022080000}"/>
    <cellStyle name="Warning Text 13" xfId="2083" xr:uid="{00000000-0005-0000-0000-000023080000}"/>
    <cellStyle name="Warning Text 14" xfId="2084" xr:uid="{00000000-0005-0000-0000-000024080000}"/>
    <cellStyle name="Warning Text 15" xfId="2085" xr:uid="{00000000-0005-0000-0000-000025080000}"/>
    <cellStyle name="Warning Text 2" xfId="2086" xr:uid="{00000000-0005-0000-0000-000026080000}"/>
    <cellStyle name="Warning Text 2 2" xfId="2087" xr:uid="{00000000-0005-0000-0000-000027080000}"/>
    <cellStyle name="Warning Text 2 2 2" xfId="2088" xr:uid="{00000000-0005-0000-0000-000028080000}"/>
    <cellStyle name="Warning Text 2 3" xfId="2089" xr:uid="{00000000-0005-0000-0000-000029080000}"/>
    <cellStyle name="Warning Text 2 3 2" xfId="2090" xr:uid="{00000000-0005-0000-0000-00002A080000}"/>
    <cellStyle name="Warning Text 2 4" xfId="2091" xr:uid="{00000000-0005-0000-0000-00002B080000}"/>
    <cellStyle name="Warning Text 2 5" xfId="2092" xr:uid="{00000000-0005-0000-0000-00002C080000}"/>
    <cellStyle name="Warning Text 3" xfId="2093" xr:uid="{00000000-0005-0000-0000-00002D080000}"/>
    <cellStyle name="Warning Text 3 2" xfId="2094" xr:uid="{00000000-0005-0000-0000-00002E080000}"/>
    <cellStyle name="Warning Text 3 3" xfId="2095" xr:uid="{00000000-0005-0000-0000-00002F080000}"/>
    <cellStyle name="Warning Text 4" xfId="2096" xr:uid="{00000000-0005-0000-0000-000030080000}"/>
    <cellStyle name="Warning Text 4 2" xfId="2097" xr:uid="{00000000-0005-0000-0000-000031080000}"/>
    <cellStyle name="Warning Text 5" xfId="2098" xr:uid="{00000000-0005-0000-0000-000032080000}"/>
    <cellStyle name="Warning Text 6" xfId="2099" xr:uid="{00000000-0005-0000-0000-000033080000}"/>
    <cellStyle name="Warning Text 7" xfId="2100" xr:uid="{00000000-0005-0000-0000-000034080000}"/>
    <cellStyle name="Warning Text 8" xfId="2101" xr:uid="{00000000-0005-0000-0000-000035080000}"/>
    <cellStyle name="Warning Text 9" xfId="2102" xr:uid="{00000000-0005-0000-0000-000036080000}"/>
  </cellStyles>
  <dxfs count="348">
    <dxf>
      <font>
        <color theme="0"/>
      </font>
      <fill>
        <patternFill>
          <bgColor theme="0"/>
        </patternFill>
      </fill>
      <border>
        <left/>
        <right/>
        <top/>
        <bottom/>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border>
        <left/>
        <right/>
        <top/>
        <bottom/>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theme="0"/>
        </patternFill>
      </fill>
      <border>
        <left/>
        <right/>
        <top/>
        <bottom/>
      </border>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ndense val="0"/>
        <extend val="0"/>
        <color indexed="16"/>
      </font>
    </dxf>
    <dxf>
      <font>
        <b/>
        <i val="0"/>
        <condense val="0"/>
        <extend val="0"/>
        <color indexed="16"/>
      </font>
    </dxf>
    <dxf>
      <font>
        <b/>
        <i val="0"/>
        <condense val="0"/>
        <extend val="0"/>
        <color indexed="17"/>
      </font>
    </dxf>
    <dxf>
      <font>
        <b/>
        <i val="0"/>
        <condense val="0"/>
        <extend val="0"/>
        <color indexed="16"/>
      </font>
    </dxf>
    <dxf>
      <font>
        <b/>
        <i val="0"/>
        <condense val="0"/>
        <extend val="0"/>
        <color indexed="16"/>
      </font>
    </dxf>
    <dxf>
      <fill>
        <patternFill>
          <bgColor indexed="1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07759840393486E-3"/>
          <c:y val="4.4247787610619468E-2"/>
          <c:w val="0.9835474958826339"/>
          <c:h val="0.92035398230088494"/>
        </c:manualLayout>
      </c:layout>
      <c:scatterChart>
        <c:scatterStyle val="lineMarker"/>
        <c:varyColors val="0"/>
        <c:ser>
          <c:idx val="0"/>
          <c:order val="0"/>
          <c:spPr>
            <a:ln w="28575">
              <a:noFill/>
            </a:ln>
          </c:spPr>
          <c:marker>
            <c:symbol val="circle"/>
            <c:size val="9"/>
            <c:spPr>
              <a:solidFill>
                <a:srgbClr val="000080"/>
              </a:solidFill>
              <a:ln>
                <a:solidFill>
                  <a:srgbClr val="FFFFC0"/>
                </a:solidFill>
                <a:prstDash val="solid"/>
              </a:ln>
            </c:spPr>
          </c:marker>
          <c:dPt>
            <c:idx val="4"/>
            <c:bubble3D val="0"/>
            <c:extLst>
              <c:ext xmlns:c16="http://schemas.microsoft.com/office/drawing/2014/chart" uri="{C3380CC4-5D6E-409C-BE32-E72D297353CC}">
                <c16:uniqueId val="{00000001-FA8B-4433-AB1A-A3C16F283305}"/>
              </c:ext>
            </c:extLst>
          </c:dPt>
          <c:trendline>
            <c:spPr>
              <a:ln w="38100">
                <a:solidFill>
                  <a:srgbClr val="99CC00"/>
                </a:solidFill>
                <a:prstDash val="solid"/>
              </a:ln>
            </c:spPr>
            <c:trendlineType val="linear"/>
            <c:dispRSqr val="1"/>
            <c:dispEq val="1"/>
            <c:trendlineLbl>
              <c:layout>
                <c:manualLayout>
                  <c:x val="9.1407759840393503E-3"/>
                  <c:y val="-7.0796460176991136E-2"/>
                </c:manualLayout>
              </c:layout>
              <c:numFmt formatCode="General" sourceLinked="0"/>
              <c:spPr>
                <a:noFill/>
                <a:ln w="12700">
                  <a:solidFill>
                    <a:srgbClr val="808080"/>
                  </a:solidFill>
                  <a:prstDash val="solid"/>
                </a:ln>
              </c:spPr>
              <c:txPr>
                <a:bodyPr/>
                <a:lstStyle/>
                <a:p>
                  <a:pPr>
                    <a:defRPr sz="900" b="1" i="0" u="none" strike="noStrike" baseline="0">
                      <a:solidFill>
                        <a:srgbClr val="000000"/>
                      </a:solidFill>
                      <a:latin typeface="Arial"/>
                      <a:ea typeface="Arial"/>
                      <a:cs typeface="Arial"/>
                    </a:defRPr>
                  </a:pPr>
                  <a:endParaRPr lang="en-US"/>
                </a:p>
              </c:txPr>
            </c:trendlineLbl>
          </c:trendline>
          <c:xVal>
            <c:numRef>
              <c:f>Forecast!$B$4:$B$111</c:f>
              <c:numCache>
                <c:formatCode>0.00</c:formatCode>
                <c:ptCount val="108"/>
                <c:pt idx="0">
                  <c:v>13858702</c:v>
                </c:pt>
                <c:pt idx="1">
                  <c:v>12869483</c:v>
                </c:pt>
                <c:pt idx="2">
                  <c:v>13152556</c:v>
                </c:pt>
                <c:pt idx="3">
                  <c:v>11561734</c:v>
                </c:pt>
                <c:pt idx="4">
                  <c:v>11069726</c:v>
                </c:pt>
                <c:pt idx="5">
                  <c:v>11839202</c:v>
                </c:pt>
                <c:pt idx="6">
                  <c:v>12438276</c:v>
                </c:pt>
                <c:pt idx="7">
                  <c:v>11492121</c:v>
                </c:pt>
                <c:pt idx="8">
                  <c:v>11764633</c:v>
                </c:pt>
                <c:pt idx="9">
                  <c:v>11947093</c:v>
                </c:pt>
                <c:pt idx="10">
                  <c:v>12427893</c:v>
                </c:pt>
                <c:pt idx="11">
                  <c:v>13223170</c:v>
                </c:pt>
                <c:pt idx="12">
                  <c:v>13805270</c:v>
                </c:pt>
                <c:pt idx="13">
                  <c:v>12102540</c:v>
                </c:pt>
                <c:pt idx="14">
                  <c:v>12624249</c:v>
                </c:pt>
                <c:pt idx="15">
                  <c:v>11247397</c:v>
                </c:pt>
                <c:pt idx="16">
                  <c:v>10393439</c:v>
                </c:pt>
                <c:pt idx="17">
                  <c:v>10939061</c:v>
                </c:pt>
                <c:pt idx="18">
                  <c:v>10702529</c:v>
                </c:pt>
                <c:pt idx="19">
                  <c:v>11096330</c:v>
                </c:pt>
                <c:pt idx="20">
                  <c:v>10929407</c:v>
                </c:pt>
                <c:pt idx="21">
                  <c:v>11305136</c:v>
                </c:pt>
                <c:pt idx="22">
                  <c:v>11503015</c:v>
                </c:pt>
                <c:pt idx="23">
                  <c:v>13245874</c:v>
                </c:pt>
                <c:pt idx="24">
                  <c:v>13204084</c:v>
                </c:pt>
                <c:pt idx="25">
                  <c:v>11741623</c:v>
                </c:pt>
                <c:pt idx="26">
                  <c:v>12214133</c:v>
                </c:pt>
                <c:pt idx="27">
                  <c:v>10528793</c:v>
                </c:pt>
                <c:pt idx="28">
                  <c:v>10748956</c:v>
                </c:pt>
                <c:pt idx="29">
                  <c:v>11289127</c:v>
                </c:pt>
                <c:pt idx="30">
                  <c:v>12370469</c:v>
                </c:pt>
                <c:pt idx="31">
                  <c:v>11833527</c:v>
                </c:pt>
                <c:pt idx="32">
                  <c:v>11142350</c:v>
                </c:pt>
                <c:pt idx="33">
                  <c:v>11366088</c:v>
                </c:pt>
                <c:pt idx="34">
                  <c:v>12065540</c:v>
                </c:pt>
                <c:pt idx="35">
                  <c:v>12635837</c:v>
                </c:pt>
                <c:pt idx="36">
                  <c:v>13378455</c:v>
                </c:pt>
                <c:pt idx="37">
                  <c:v>11922830</c:v>
                </c:pt>
                <c:pt idx="38">
                  <c:v>12516214</c:v>
                </c:pt>
                <c:pt idx="39">
                  <c:v>10812323</c:v>
                </c:pt>
                <c:pt idx="40">
                  <c:v>10414660</c:v>
                </c:pt>
                <c:pt idx="41">
                  <c:v>10990459</c:v>
                </c:pt>
                <c:pt idx="42">
                  <c:v>12356931</c:v>
                </c:pt>
                <c:pt idx="43">
                  <c:v>11520818</c:v>
                </c:pt>
                <c:pt idx="44">
                  <c:v>10995940</c:v>
                </c:pt>
                <c:pt idx="45">
                  <c:v>11346656</c:v>
                </c:pt>
                <c:pt idx="46">
                  <c:v>11585051</c:v>
                </c:pt>
                <c:pt idx="47">
                  <c:v>12438572</c:v>
                </c:pt>
                <c:pt idx="48">
                  <c:v>13377585</c:v>
                </c:pt>
                <c:pt idx="49">
                  <c:v>12297942</c:v>
                </c:pt>
                <c:pt idx="50">
                  <c:v>12189029</c:v>
                </c:pt>
                <c:pt idx="51">
                  <c:v>11164412</c:v>
                </c:pt>
                <c:pt idx="52">
                  <c:v>11015358</c:v>
                </c:pt>
                <c:pt idx="53">
                  <c:v>11741791</c:v>
                </c:pt>
                <c:pt idx="54">
                  <c:v>12890028</c:v>
                </c:pt>
                <c:pt idx="55">
                  <c:v>11776865</c:v>
                </c:pt>
                <c:pt idx="56">
                  <c:v>10556493</c:v>
                </c:pt>
                <c:pt idx="57">
                  <c:v>11616925</c:v>
                </c:pt>
                <c:pt idx="58">
                  <c:v>12440484</c:v>
                </c:pt>
                <c:pt idx="59">
                  <c:v>12649911</c:v>
                </c:pt>
                <c:pt idx="60">
                  <c:v>13801260</c:v>
                </c:pt>
                <c:pt idx="61">
                  <c:v>12529882</c:v>
                </c:pt>
                <c:pt idx="62">
                  <c:v>12709104</c:v>
                </c:pt>
                <c:pt idx="63">
                  <c:v>11611418</c:v>
                </c:pt>
                <c:pt idx="64">
                  <c:v>11147570</c:v>
                </c:pt>
                <c:pt idx="65">
                  <c:v>11517408</c:v>
                </c:pt>
                <c:pt idx="66">
                  <c:v>12829750</c:v>
                </c:pt>
                <c:pt idx="67">
                  <c:v>11739886</c:v>
                </c:pt>
                <c:pt idx="68">
                  <c:v>11468546</c:v>
                </c:pt>
                <c:pt idx="69">
                  <c:v>11897269</c:v>
                </c:pt>
                <c:pt idx="70">
                  <c:v>12327734</c:v>
                </c:pt>
                <c:pt idx="71">
                  <c:v>13086730</c:v>
                </c:pt>
                <c:pt idx="72">
                  <c:v>14326837</c:v>
                </c:pt>
                <c:pt idx="73">
                  <c:v>12655041</c:v>
                </c:pt>
                <c:pt idx="74">
                  <c:v>13288297</c:v>
                </c:pt>
                <c:pt idx="75">
                  <c:v>11360191</c:v>
                </c:pt>
                <c:pt idx="76">
                  <c:v>10963756</c:v>
                </c:pt>
                <c:pt idx="77">
                  <c:v>11648160</c:v>
                </c:pt>
                <c:pt idx="78">
                  <c:v>11766636</c:v>
                </c:pt>
                <c:pt idx="79">
                  <c:v>11308925</c:v>
                </c:pt>
                <c:pt idx="80">
                  <c:v>11411972</c:v>
                </c:pt>
                <c:pt idx="81">
                  <c:v>11724784</c:v>
                </c:pt>
                <c:pt idx="82">
                  <c:v>12451107</c:v>
                </c:pt>
                <c:pt idx="83">
                  <c:v>12712680</c:v>
                </c:pt>
                <c:pt idx="84">
                  <c:v>13848062</c:v>
                </c:pt>
                <c:pt idx="85">
                  <c:v>12995679</c:v>
                </c:pt>
                <c:pt idx="86">
                  <c:v>13073688</c:v>
                </c:pt>
                <c:pt idx="87">
                  <c:v>11297907</c:v>
                </c:pt>
                <c:pt idx="88">
                  <c:v>10857342</c:v>
                </c:pt>
                <c:pt idx="89">
                  <c:v>11039303</c:v>
                </c:pt>
                <c:pt idx="90">
                  <c:v>11914109</c:v>
                </c:pt>
                <c:pt idx="91">
                  <c:v>11281584</c:v>
                </c:pt>
                <c:pt idx="92">
                  <c:v>11694075</c:v>
                </c:pt>
                <c:pt idx="93">
                  <c:v>11285079</c:v>
                </c:pt>
                <c:pt idx="94">
                  <c:v>11539716</c:v>
                </c:pt>
                <c:pt idx="95">
                  <c:v>12074225</c:v>
                </c:pt>
                <c:pt idx="96">
                  <c:v>13060489</c:v>
                </c:pt>
                <c:pt idx="97">
                  <c:v>12179908</c:v>
                </c:pt>
                <c:pt idx="98">
                  <c:v>12201102</c:v>
                </c:pt>
                <c:pt idx="99">
                  <c:v>11377256</c:v>
                </c:pt>
                <c:pt idx="100">
                  <c:v>11016861</c:v>
                </c:pt>
                <c:pt idx="101">
                  <c:v>11598866</c:v>
                </c:pt>
                <c:pt idx="102">
                  <c:v>12389229</c:v>
                </c:pt>
                <c:pt idx="103">
                  <c:v>12966123</c:v>
                </c:pt>
                <c:pt idx="104">
                  <c:v>11625065</c:v>
                </c:pt>
                <c:pt idx="105">
                  <c:v>11422724</c:v>
                </c:pt>
                <c:pt idx="106">
                  <c:v>11734355</c:v>
                </c:pt>
                <c:pt idx="107">
                  <c:v>12387423</c:v>
                </c:pt>
              </c:numCache>
            </c:numRef>
          </c:xVal>
          <c:yVal>
            <c:numRef>
              <c:f>Forecast!$C$4:$C$111</c:f>
              <c:numCache>
                <c:formatCode>0.00</c:formatCode>
                <c:ptCount val="108"/>
                <c:pt idx="0">
                  <c:v>12980807.583647169</c:v>
                </c:pt>
                <c:pt idx="1">
                  <c:v>12388866.11769538</c:v>
                </c:pt>
                <c:pt idx="2">
                  <c:v>12817975.966594709</c:v>
                </c:pt>
                <c:pt idx="3">
                  <c:v>11195381.202308621</c:v>
                </c:pt>
                <c:pt idx="4">
                  <c:v>11158126.875971461</c:v>
                </c:pt>
                <c:pt idx="5">
                  <c:v>11303404.075752355</c:v>
                </c:pt>
                <c:pt idx="6">
                  <c:v>11898133.105476359</c:v>
                </c:pt>
                <c:pt idx="7">
                  <c:v>11125086.643713031</c:v>
                </c:pt>
                <c:pt idx="8">
                  <c:v>10865498.526641537</c:v>
                </c:pt>
                <c:pt idx="9">
                  <c:v>11729819.206874687</c:v>
                </c:pt>
                <c:pt idx="10">
                  <c:v>12188610.446865557</c:v>
                </c:pt>
                <c:pt idx="11">
                  <c:v>13094054.318668233</c:v>
                </c:pt>
                <c:pt idx="12">
                  <c:v>13686251.930750862</c:v>
                </c:pt>
                <c:pt idx="13">
                  <c:v>12140403.985228498</c:v>
                </c:pt>
                <c:pt idx="14">
                  <c:v>12364837.039368663</c:v>
                </c:pt>
                <c:pt idx="15">
                  <c:v>11356342.75853719</c:v>
                </c:pt>
                <c:pt idx="16">
                  <c:v>10968541.329944696</c:v>
                </c:pt>
                <c:pt idx="17">
                  <c:v>10827930.915116819</c:v>
                </c:pt>
                <c:pt idx="18">
                  <c:v>10700522.628394898</c:v>
                </c:pt>
                <c:pt idx="19">
                  <c:v>11598047.945543407</c:v>
                </c:pt>
                <c:pt idx="20">
                  <c:v>10675280.566259166</c:v>
                </c:pt>
                <c:pt idx="21">
                  <c:v>11695770.931180103</c:v>
                </c:pt>
                <c:pt idx="22">
                  <c:v>11782004.212178797</c:v>
                </c:pt>
                <c:pt idx="23">
                  <c:v>12949212.786300682</c:v>
                </c:pt>
                <c:pt idx="24">
                  <c:v>13066818.824982261</c:v>
                </c:pt>
                <c:pt idx="25">
                  <c:v>12099671.300633432</c:v>
                </c:pt>
                <c:pt idx="26">
                  <c:v>12057965.594262749</c:v>
                </c:pt>
                <c:pt idx="27">
                  <c:v>11041394.764936034</c:v>
                </c:pt>
                <c:pt idx="28">
                  <c:v>11242072.944041714</c:v>
                </c:pt>
                <c:pt idx="29">
                  <c:v>10900602.100602832</c:v>
                </c:pt>
                <c:pt idx="30">
                  <c:v>12570408.230730632</c:v>
                </c:pt>
                <c:pt idx="31">
                  <c:v>12237369.212299639</c:v>
                </c:pt>
                <c:pt idx="32">
                  <c:v>11206613.759962089</c:v>
                </c:pt>
                <c:pt idx="33">
                  <c:v>11580637.370116156</c:v>
                </c:pt>
                <c:pt idx="34">
                  <c:v>11909851.433917077</c:v>
                </c:pt>
                <c:pt idx="35">
                  <c:v>13154903.014963251</c:v>
                </c:pt>
                <c:pt idx="36">
                  <c:v>13447130.887324728</c:v>
                </c:pt>
                <c:pt idx="37">
                  <c:v>12305424.318403209</c:v>
                </c:pt>
                <c:pt idx="38">
                  <c:v>12645152.887229772</c:v>
                </c:pt>
                <c:pt idx="39">
                  <c:v>11434175.294760725</c:v>
                </c:pt>
                <c:pt idx="40">
                  <c:v>11204552.321448231</c:v>
                </c:pt>
                <c:pt idx="41">
                  <c:v>10778769.196270794</c:v>
                </c:pt>
                <c:pt idx="42">
                  <c:v>13083067.733780896</c:v>
                </c:pt>
                <c:pt idx="43">
                  <c:v>11759595.905441787</c:v>
                </c:pt>
                <c:pt idx="44">
                  <c:v>11122087.176561875</c:v>
                </c:pt>
                <c:pt idx="45">
                  <c:v>11633320.799684545</c:v>
                </c:pt>
                <c:pt idx="46">
                  <c:v>11830070.793355769</c:v>
                </c:pt>
                <c:pt idx="47">
                  <c:v>12735181.101653071</c:v>
                </c:pt>
                <c:pt idx="48">
                  <c:v>12955553.996279312</c:v>
                </c:pt>
                <c:pt idx="49">
                  <c:v>12175283.71220612</c:v>
                </c:pt>
                <c:pt idx="50">
                  <c:v>11826274.620489908</c:v>
                </c:pt>
                <c:pt idx="51">
                  <c:v>11489403.932576034</c:v>
                </c:pt>
                <c:pt idx="52">
                  <c:v>11138394.805910373</c:v>
                </c:pt>
                <c:pt idx="53">
                  <c:v>11558954.689658033</c:v>
                </c:pt>
                <c:pt idx="54">
                  <c:v>13023686.378829768</c:v>
                </c:pt>
                <c:pt idx="55">
                  <c:v>11736043.53685654</c:v>
                </c:pt>
                <c:pt idx="56">
                  <c:v>11099097.904490227</c:v>
                </c:pt>
                <c:pt idx="57">
                  <c:v>11605262.752100939</c:v>
                </c:pt>
                <c:pt idx="58">
                  <c:v>12167884.749124331</c:v>
                </c:pt>
                <c:pt idx="59">
                  <c:v>12720775.871331276</c:v>
                </c:pt>
                <c:pt idx="60">
                  <c:v>13065071.89792832</c:v>
                </c:pt>
                <c:pt idx="61">
                  <c:v>12420086.075498397</c:v>
                </c:pt>
                <c:pt idx="62">
                  <c:v>12683216.729807882</c:v>
                </c:pt>
                <c:pt idx="63">
                  <c:v>11603514.176278254</c:v>
                </c:pt>
                <c:pt idx="64">
                  <c:v>11371659.733649399</c:v>
                </c:pt>
                <c:pt idx="65">
                  <c:v>11031868.747534579</c:v>
                </c:pt>
                <c:pt idx="66">
                  <c:v>12277192.773417955</c:v>
                </c:pt>
                <c:pt idx="67">
                  <c:v>11495056.911926026</c:v>
                </c:pt>
                <c:pt idx="68">
                  <c:v>11264582.443519451</c:v>
                </c:pt>
                <c:pt idx="69">
                  <c:v>11618128.582111804</c:v>
                </c:pt>
                <c:pt idx="70">
                  <c:v>12345371.016885359</c:v>
                </c:pt>
                <c:pt idx="71">
                  <c:v>13296498.573631413</c:v>
                </c:pt>
                <c:pt idx="72">
                  <c:v>13703620.440239692</c:v>
                </c:pt>
                <c:pt idx="73">
                  <c:v>12864952.435971385</c:v>
                </c:pt>
                <c:pt idx="74">
                  <c:v>13158720.688363576</c:v>
                </c:pt>
                <c:pt idx="75">
                  <c:v>11604484.771164615</c:v>
                </c:pt>
                <c:pt idx="76">
                  <c:v>11209954.267743973</c:v>
                </c:pt>
                <c:pt idx="77">
                  <c:v>11267979.834021088</c:v>
                </c:pt>
                <c:pt idx="78">
                  <c:v>11406649.349142091</c:v>
                </c:pt>
                <c:pt idx="79">
                  <c:v>11258552.608186202</c:v>
                </c:pt>
                <c:pt idx="80">
                  <c:v>11100650.708333025</c:v>
                </c:pt>
                <c:pt idx="81">
                  <c:v>11670082.530350508</c:v>
                </c:pt>
                <c:pt idx="82">
                  <c:v>12443615.84029622</c:v>
                </c:pt>
                <c:pt idx="83">
                  <c:v>12914556.642557111</c:v>
                </c:pt>
                <c:pt idx="84">
                  <c:v>13530554.533591567</c:v>
                </c:pt>
                <c:pt idx="85">
                  <c:v>13202194.784397276</c:v>
                </c:pt>
                <c:pt idx="86">
                  <c:v>12476016.492653681</c:v>
                </c:pt>
                <c:pt idx="87">
                  <c:v>11550964.484195152</c:v>
                </c:pt>
                <c:pt idx="88">
                  <c:v>11500437.398248233</c:v>
                </c:pt>
                <c:pt idx="89">
                  <c:v>10755457.117092192</c:v>
                </c:pt>
                <c:pt idx="90">
                  <c:v>11739255.880610943</c:v>
                </c:pt>
                <c:pt idx="91">
                  <c:v>11635133.98248028</c:v>
                </c:pt>
                <c:pt idx="92">
                  <c:v>11570983.751364157</c:v>
                </c:pt>
                <c:pt idx="93">
                  <c:v>11762360.710784003</c:v>
                </c:pt>
                <c:pt idx="94">
                  <c:v>11979539.444816981</c:v>
                </c:pt>
                <c:pt idx="95">
                  <c:v>12443126.243222527</c:v>
                </c:pt>
                <c:pt idx="96">
                  <c:v>13280677.583068069</c:v>
                </c:pt>
                <c:pt idx="97">
                  <c:v>12472625.258588238</c:v>
                </c:pt>
                <c:pt idx="98">
                  <c:v>12310456.745873693</c:v>
                </c:pt>
                <c:pt idx="99">
                  <c:v>11821182.573529383</c:v>
                </c:pt>
                <c:pt idx="100">
                  <c:v>11482779.750380216</c:v>
                </c:pt>
                <c:pt idx="101">
                  <c:v>10904319.410432864</c:v>
                </c:pt>
                <c:pt idx="102">
                  <c:v>12618237.20388226</c:v>
                </c:pt>
                <c:pt idx="103">
                  <c:v>12608287.899889402</c:v>
                </c:pt>
                <c:pt idx="104">
                  <c:v>10987158.750736423</c:v>
                </c:pt>
                <c:pt idx="105">
                  <c:v>11491502.753439102</c:v>
                </c:pt>
                <c:pt idx="106">
                  <c:v>11628854.552609317</c:v>
                </c:pt>
                <c:pt idx="107">
                  <c:v>12957667.899556</c:v>
                </c:pt>
              </c:numCache>
            </c:numRef>
          </c:yVal>
          <c:smooth val="0"/>
          <c:extLst>
            <c:ext xmlns:c16="http://schemas.microsoft.com/office/drawing/2014/chart" uri="{C3380CC4-5D6E-409C-BE32-E72D297353CC}">
              <c16:uniqueId val="{00000003-FA8B-4433-AB1A-A3C16F283305}"/>
            </c:ext>
          </c:extLst>
        </c:ser>
        <c:dLbls>
          <c:showLegendKey val="0"/>
          <c:showVal val="0"/>
          <c:showCatName val="0"/>
          <c:showSerName val="0"/>
          <c:showPercent val="0"/>
          <c:showBubbleSize val="0"/>
        </c:dLbls>
        <c:axId val="264834048"/>
        <c:axId val="264881280"/>
      </c:scatterChart>
      <c:valAx>
        <c:axId val="264834048"/>
        <c:scaling>
          <c:orientation val="minMax"/>
        </c:scaling>
        <c:delete val="0"/>
        <c:axPos val="b"/>
        <c:title>
          <c:tx>
            <c:rich>
              <a:bodyPr/>
              <a:lstStyle/>
              <a:p>
                <a:pPr>
                  <a:defRPr sz="900" b="1" i="0" u="none" strike="noStrike" baseline="0">
                    <a:solidFill>
                      <a:srgbClr val="333333"/>
                    </a:solidFill>
                    <a:latin typeface="Arial"/>
                    <a:ea typeface="Arial"/>
                    <a:cs typeface="Arial"/>
                  </a:defRPr>
                </a:pPr>
                <a:r>
                  <a:rPr lang="en-CA"/>
                  <a:t>Actual</a:t>
                </a:r>
              </a:p>
            </c:rich>
          </c:tx>
          <c:layout>
            <c:manualLayout>
              <c:xMode val="edge"/>
              <c:yMode val="edge"/>
              <c:x val="0.90493678235375963"/>
              <c:y val="0.72566371681415931"/>
            </c:manualLayout>
          </c:layout>
          <c:overlay val="0"/>
          <c:spPr>
            <a:noFill/>
            <a:ln w="25400">
              <a:noFill/>
            </a:ln>
          </c:spPr>
        </c:title>
        <c:numFmt formatCode="0.00" sourceLinked="1"/>
        <c:majorTickMark val="none"/>
        <c:minorTickMark val="none"/>
        <c:tickLblPos val="none"/>
        <c:spPr>
          <a:ln w="3175">
            <a:solidFill>
              <a:srgbClr val="FFFFFF"/>
            </a:solidFill>
            <a:prstDash val="solid"/>
          </a:ln>
        </c:spPr>
        <c:crossAx val="264881280"/>
        <c:crosses val="autoZero"/>
        <c:crossBetween val="midCat"/>
      </c:valAx>
      <c:valAx>
        <c:axId val="264881280"/>
        <c:scaling>
          <c:orientation val="minMax"/>
        </c:scaling>
        <c:delete val="0"/>
        <c:axPos val="l"/>
        <c:majorGridlines>
          <c:spPr>
            <a:ln w="12700">
              <a:solidFill>
                <a:srgbClr val="969696"/>
              </a:solidFill>
              <a:prstDash val="sysDash"/>
            </a:ln>
          </c:spPr>
        </c:majorGridlines>
        <c:title>
          <c:tx>
            <c:rich>
              <a:bodyPr/>
              <a:lstStyle/>
              <a:p>
                <a:pPr>
                  <a:defRPr sz="900" b="1" i="0" u="none" strike="noStrike" baseline="0">
                    <a:solidFill>
                      <a:srgbClr val="333333"/>
                    </a:solidFill>
                    <a:latin typeface="Arial"/>
                    <a:ea typeface="Arial"/>
                    <a:cs typeface="Arial"/>
                  </a:defRPr>
                </a:pPr>
                <a:r>
                  <a:rPr lang="en-CA"/>
                  <a:t>Predicted</a:t>
                </a:r>
              </a:p>
            </c:rich>
          </c:tx>
          <c:layout>
            <c:manualLayout>
              <c:xMode val="edge"/>
              <c:yMode val="edge"/>
              <c:x val="1.6453382084095063E-2"/>
              <c:y val="9.7345132743362831E-2"/>
            </c:manualLayout>
          </c:layout>
          <c:overlay val="0"/>
          <c:spPr>
            <a:noFill/>
            <a:ln w="25400">
              <a:noFill/>
            </a:ln>
          </c:spPr>
        </c:title>
        <c:numFmt formatCode="0.00" sourceLinked="1"/>
        <c:majorTickMark val="none"/>
        <c:minorTickMark val="none"/>
        <c:tickLblPos val="none"/>
        <c:spPr>
          <a:ln w="3175">
            <a:solidFill>
              <a:srgbClr val="FFFFFF"/>
            </a:solidFill>
            <a:prstDash val="solid"/>
          </a:ln>
        </c:spPr>
        <c:crossAx val="264834048"/>
        <c:crosses val="autoZero"/>
        <c:crossBetween val="midCat"/>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333333"/>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4"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'Wholesale Chart'!$B$1</c:f>
              <c:strCache>
                <c:ptCount val="1"/>
                <c:pt idx="0">
                  <c:v>2008</c:v>
                </c:pt>
              </c:strCache>
            </c:strRef>
          </c:tx>
          <c:spPr>
            <a:solidFill>
              <a:srgbClr val="4F81BD"/>
            </a:solidFill>
            <a:ln w="25400">
              <a:noFill/>
            </a:ln>
          </c:spPr>
          <c:invertIfNegative val="0"/>
          <c:cat>
            <c:strRef>
              <c:f>'Wholesale Chart'!$A$2:$A$13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'Wholesale Chart'!$B$2:$B$13</c:f>
              <c:numCache>
                <c:formatCode>General</c:formatCode>
                <c:ptCount val="12"/>
                <c:pt idx="0">
                  <c:v>15082878.82</c:v>
                </c:pt>
                <c:pt idx="1">
                  <c:v>14030875.92</c:v>
                </c:pt>
                <c:pt idx="2">
                  <c:v>14321155.43</c:v>
                </c:pt>
                <c:pt idx="3">
                  <c:v>12696080.17</c:v>
                </c:pt>
                <c:pt idx="4">
                  <c:v>12213415.609999999</c:v>
                </c:pt>
                <c:pt idx="5">
                  <c:v>13029843.68</c:v>
                </c:pt>
                <c:pt idx="6">
                  <c:v>13562922.75</c:v>
                </c:pt>
                <c:pt idx="7">
                  <c:v>12738355.33</c:v>
                </c:pt>
                <c:pt idx="8">
                  <c:v>13005195.66</c:v>
                </c:pt>
                <c:pt idx="9">
                  <c:v>13176115.98</c:v>
                </c:pt>
                <c:pt idx="10">
                  <c:v>13573281.85</c:v>
                </c:pt>
                <c:pt idx="11">
                  <c:v>14286723.92</c:v>
                </c:pt>
              </c:numCache>
            </c:numRef>
          </c:val>
          <c:extLst>
            <c:ext xmlns:c16="http://schemas.microsoft.com/office/drawing/2014/chart" uri="{C3380CC4-5D6E-409C-BE32-E72D297353CC}">
              <c16:uniqueId val="{00000000-FE1A-4216-8923-CF526B6F94FD}"/>
            </c:ext>
          </c:extLst>
        </c:ser>
        <c:ser>
          <c:idx val="1"/>
          <c:order val="1"/>
          <c:tx>
            <c:strRef>
              <c:f>'Wholesale Chart'!$C$1</c:f>
              <c:strCache>
                <c:ptCount val="1"/>
                <c:pt idx="0">
                  <c:v>2009</c:v>
                </c:pt>
              </c:strCache>
            </c:strRef>
          </c:tx>
          <c:spPr>
            <a:solidFill>
              <a:srgbClr val="C0504D"/>
            </a:solidFill>
            <a:ln w="25400">
              <a:noFill/>
            </a:ln>
          </c:spPr>
          <c:invertIfNegative val="0"/>
          <c:cat>
            <c:strRef>
              <c:f>'Wholesale Chart'!$A$2:$A$13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'Wholesale Chart'!$C$2:$C$13</c:f>
              <c:numCache>
                <c:formatCode>General</c:formatCode>
                <c:ptCount val="12"/>
                <c:pt idx="0">
                  <c:v>15005142.689999999</c:v>
                </c:pt>
                <c:pt idx="1">
                  <c:v>13197883.27</c:v>
                </c:pt>
                <c:pt idx="2">
                  <c:v>13841636.359999999</c:v>
                </c:pt>
                <c:pt idx="3">
                  <c:v>12430879.66</c:v>
                </c:pt>
                <c:pt idx="4">
                  <c:v>11568813.369999999</c:v>
                </c:pt>
                <c:pt idx="5">
                  <c:v>12161991.470000001</c:v>
                </c:pt>
                <c:pt idx="6">
                  <c:v>11877269.390000001</c:v>
                </c:pt>
                <c:pt idx="7">
                  <c:v>12331632.6</c:v>
                </c:pt>
                <c:pt idx="8">
                  <c:v>12154249.630000001</c:v>
                </c:pt>
                <c:pt idx="9">
                  <c:v>12554878.109999999</c:v>
                </c:pt>
                <c:pt idx="10">
                  <c:v>12741915.07</c:v>
                </c:pt>
                <c:pt idx="11">
                  <c:v>14424067.26</c:v>
                </c:pt>
              </c:numCache>
            </c:numRef>
          </c:val>
          <c:extLst>
            <c:ext xmlns:c16="http://schemas.microsoft.com/office/drawing/2014/chart" uri="{C3380CC4-5D6E-409C-BE32-E72D297353CC}">
              <c16:uniqueId val="{00000001-FE1A-4216-8923-CF526B6F94FD}"/>
            </c:ext>
          </c:extLst>
        </c:ser>
        <c:ser>
          <c:idx val="2"/>
          <c:order val="2"/>
          <c:tx>
            <c:strRef>
              <c:f>'Wholesale Chart'!$D$1</c:f>
              <c:strCache>
                <c:ptCount val="1"/>
                <c:pt idx="0">
                  <c:v>2010</c:v>
                </c:pt>
              </c:strCache>
            </c:strRef>
          </c:tx>
          <c:spPr>
            <a:solidFill>
              <a:srgbClr val="9BBB59"/>
            </a:solidFill>
            <a:ln w="25400">
              <a:noFill/>
            </a:ln>
          </c:spPr>
          <c:invertIfNegative val="0"/>
          <c:cat>
            <c:strRef>
              <c:f>'Wholesale Chart'!$A$2:$A$13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'Wholesale Chart'!$D$2:$D$13</c:f>
              <c:numCache>
                <c:formatCode>General</c:formatCode>
                <c:ptCount val="12"/>
                <c:pt idx="0">
                  <c:v>14435761.82</c:v>
                </c:pt>
                <c:pt idx="1">
                  <c:v>12846380.85</c:v>
                </c:pt>
                <c:pt idx="2">
                  <c:v>13466440.77</c:v>
                </c:pt>
                <c:pt idx="3">
                  <c:v>11695829.130000001</c:v>
                </c:pt>
                <c:pt idx="4">
                  <c:v>12039396.98</c:v>
                </c:pt>
                <c:pt idx="5">
                  <c:v>12588185.24</c:v>
                </c:pt>
                <c:pt idx="6">
                  <c:v>13590961.939999999</c:v>
                </c:pt>
                <c:pt idx="7">
                  <c:v>13165945.18</c:v>
                </c:pt>
                <c:pt idx="8">
                  <c:v>12387488.950000001</c:v>
                </c:pt>
                <c:pt idx="9">
                  <c:v>12591988.770000001</c:v>
                </c:pt>
                <c:pt idx="10">
                  <c:v>13323219.41</c:v>
                </c:pt>
                <c:pt idx="11">
                  <c:v>13800475.360000001</c:v>
                </c:pt>
              </c:numCache>
            </c:numRef>
          </c:val>
          <c:extLst>
            <c:ext xmlns:c16="http://schemas.microsoft.com/office/drawing/2014/chart" uri="{C3380CC4-5D6E-409C-BE32-E72D297353CC}">
              <c16:uniqueId val="{00000002-FE1A-4216-8923-CF526B6F94FD}"/>
            </c:ext>
          </c:extLst>
        </c:ser>
        <c:ser>
          <c:idx val="3"/>
          <c:order val="3"/>
          <c:tx>
            <c:strRef>
              <c:f>'Wholesale Chart'!$E$1</c:f>
              <c:strCache>
                <c:ptCount val="1"/>
                <c:pt idx="0">
                  <c:v>2011</c:v>
                </c:pt>
              </c:strCache>
            </c:strRef>
          </c:tx>
          <c:spPr>
            <a:solidFill>
              <a:srgbClr val="8064A2"/>
            </a:solidFill>
            <a:ln w="25400">
              <a:noFill/>
            </a:ln>
          </c:spPr>
          <c:invertIfNegative val="0"/>
          <c:cat>
            <c:strRef>
              <c:f>'Wholesale Chart'!$A$2:$A$13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'Wholesale Chart'!$E$2:$E$13</c:f>
              <c:numCache>
                <c:formatCode>General</c:formatCode>
                <c:ptCount val="12"/>
                <c:pt idx="0">
                  <c:v>14553973.74</c:v>
                </c:pt>
                <c:pt idx="1">
                  <c:v>12993844.84</c:v>
                </c:pt>
                <c:pt idx="2">
                  <c:v>13683974.060000001</c:v>
                </c:pt>
                <c:pt idx="3">
                  <c:v>11913552.879999999</c:v>
                </c:pt>
                <c:pt idx="4">
                  <c:v>11611512.92</c:v>
                </c:pt>
                <c:pt idx="5">
                  <c:v>12209704.779999999</c:v>
                </c:pt>
                <c:pt idx="6">
                  <c:v>13541155.949999999</c:v>
                </c:pt>
                <c:pt idx="7">
                  <c:v>12787062.35</c:v>
                </c:pt>
                <c:pt idx="8">
                  <c:v>12157224.200000001</c:v>
                </c:pt>
                <c:pt idx="9">
                  <c:v>12479238.459999999</c:v>
                </c:pt>
                <c:pt idx="10">
                  <c:v>12750868.540000001</c:v>
                </c:pt>
                <c:pt idx="11">
                  <c:v>13525392.880000001</c:v>
                </c:pt>
              </c:numCache>
            </c:numRef>
          </c:val>
          <c:extLst>
            <c:ext xmlns:c16="http://schemas.microsoft.com/office/drawing/2014/chart" uri="{C3380CC4-5D6E-409C-BE32-E72D297353CC}">
              <c16:uniqueId val="{00000003-FE1A-4216-8923-CF526B6F94FD}"/>
            </c:ext>
          </c:extLst>
        </c:ser>
        <c:ser>
          <c:idx val="4"/>
          <c:order val="4"/>
          <c:tx>
            <c:strRef>
              <c:f>'Wholesale Chart'!$F$1</c:f>
              <c:strCache>
                <c:ptCount val="1"/>
                <c:pt idx="0">
                  <c:v>2012</c:v>
                </c:pt>
              </c:strCache>
            </c:strRef>
          </c:tx>
          <c:spPr>
            <a:solidFill>
              <a:srgbClr val="4BACC6"/>
            </a:solidFill>
            <a:ln w="25400">
              <a:noFill/>
            </a:ln>
          </c:spPr>
          <c:invertIfNegative val="0"/>
          <c:cat>
            <c:strRef>
              <c:f>'Wholesale Chart'!$A$2:$A$13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'Wholesale Chart'!$F$2:$F$13</c:f>
              <c:numCache>
                <c:formatCode>General</c:formatCode>
                <c:ptCount val="12"/>
                <c:pt idx="0">
                  <c:v>14585568.310000001</c:v>
                </c:pt>
                <c:pt idx="1">
                  <c:v>13424711.959999999</c:v>
                </c:pt>
                <c:pt idx="2">
                  <c:v>13395036.780000001</c:v>
                </c:pt>
                <c:pt idx="3">
                  <c:v>12290763.689999999</c:v>
                </c:pt>
                <c:pt idx="4">
                  <c:v>12220935.48</c:v>
                </c:pt>
                <c:pt idx="5">
                  <c:v>12944227.84</c:v>
                </c:pt>
                <c:pt idx="6">
                  <c:v>14085492.18</c:v>
                </c:pt>
                <c:pt idx="7">
                  <c:v>12866836.789999999</c:v>
                </c:pt>
                <c:pt idx="8">
                  <c:v>11419289.079999998</c:v>
                </c:pt>
                <c:pt idx="9">
                  <c:v>12504352.99</c:v>
                </c:pt>
                <c:pt idx="10">
                  <c:v>13335727.779999999</c:v>
                </c:pt>
                <c:pt idx="11">
                  <c:v>13423622.510000002</c:v>
                </c:pt>
              </c:numCache>
            </c:numRef>
          </c:val>
          <c:extLst>
            <c:ext xmlns:c16="http://schemas.microsoft.com/office/drawing/2014/chart" uri="{C3380CC4-5D6E-409C-BE32-E72D297353CC}">
              <c16:uniqueId val="{00000004-FE1A-4216-8923-CF526B6F94FD}"/>
            </c:ext>
          </c:extLst>
        </c:ser>
        <c:ser>
          <c:idx val="5"/>
          <c:order val="5"/>
          <c:tx>
            <c:strRef>
              <c:f>'Wholesale Chart'!$G$1</c:f>
              <c:strCache>
                <c:ptCount val="1"/>
                <c:pt idx="0">
                  <c:v>2013</c:v>
                </c:pt>
              </c:strCache>
            </c:strRef>
          </c:tx>
          <c:spPr>
            <a:solidFill>
              <a:srgbClr val="F79646"/>
            </a:solidFill>
            <a:ln w="25400">
              <a:noFill/>
            </a:ln>
          </c:spPr>
          <c:invertIfNegative val="0"/>
          <c:cat>
            <c:strRef>
              <c:f>'Wholesale Chart'!$A$2:$A$13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'Wholesale Chart'!$G$2:$G$13</c:f>
              <c:numCache>
                <c:formatCode>General</c:formatCode>
                <c:ptCount val="12"/>
                <c:pt idx="0">
                  <c:v>14721308.310000001</c:v>
                </c:pt>
                <c:pt idx="1">
                  <c:v>13334088.129999999</c:v>
                </c:pt>
                <c:pt idx="2">
                  <c:v>13602922.4</c:v>
                </c:pt>
                <c:pt idx="3">
                  <c:v>12506882.4</c:v>
                </c:pt>
                <c:pt idx="4">
                  <c:v>12028746.640000001</c:v>
                </c:pt>
                <c:pt idx="5">
                  <c:v>12310607.66</c:v>
                </c:pt>
                <c:pt idx="6">
                  <c:v>13491261.029999999</c:v>
                </c:pt>
                <c:pt idx="7">
                  <c:v>12274415.560000001</c:v>
                </c:pt>
                <c:pt idx="8">
                  <c:v>11911110.810000001</c:v>
                </c:pt>
                <c:pt idx="9">
                  <c:v>12332005.879999999</c:v>
                </c:pt>
                <c:pt idx="10">
                  <c:v>12760586.09</c:v>
                </c:pt>
                <c:pt idx="11">
                  <c:v>13566672.9</c:v>
                </c:pt>
              </c:numCache>
            </c:numRef>
          </c:val>
          <c:extLst>
            <c:ext xmlns:c16="http://schemas.microsoft.com/office/drawing/2014/chart" uri="{C3380CC4-5D6E-409C-BE32-E72D297353CC}">
              <c16:uniqueId val="{00000005-FE1A-4216-8923-CF526B6F94FD}"/>
            </c:ext>
          </c:extLst>
        </c:ser>
        <c:ser>
          <c:idx val="6"/>
          <c:order val="6"/>
          <c:tx>
            <c:strRef>
              <c:f>'Wholesale Chart'!$H$1</c:f>
              <c:strCache>
                <c:ptCount val="1"/>
                <c:pt idx="0">
                  <c:v>2014</c:v>
                </c:pt>
              </c:strCache>
            </c:strRef>
          </c:tx>
          <c:spPr>
            <a:solidFill>
              <a:schemeClr val="accent1">
                <a:lumMod val="60000"/>
              </a:schemeClr>
            </a:solidFill>
            <a:ln>
              <a:noFill/>
            </a:ln>
            <a:effectLst/>
          </c:spPr>
          <c:invertIfNegative val="0"/>
          <c:cat>
            <c:strRef>
              <c:f>'Wholesale Chart'!$A$2:$A$13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'Wholesale Chart'!$H$2:$H$13</c:f>
              <c:numCache>
                <c:formatCode>General</c:formatCode>
                <c:ptCount val="12"/>
                <c:pt idx="0">
                  <c:v>14721918.530000001</c:v>
                </c:pt>
                <c:pt idx="1">
                  <c:v>12985802.09</c:v>
                </c:pt>
                <c:pt idx="2">
                  <c:v>13614018.57</c:v>
                </c:pt>
                <c:pt idx="3">
                  <c:v>11649899.119999999</c:v>
                </c:pt>
                <c:pt idx="4">
                  <c:v>11257042.020000001</c:v>
                </c:pt>
                <c:pt idx="5">
                  <c:v>11926426.470000001</c:v>
                </c:pt>
                <c:pt idx="6">
                  <c:v>12057150.84</c:v>
                </c:pt>
                <c:pt idx="7">
                  <c:v>11607472.4</c:v>
                </c:pt>
                <c:pt idx="8">
                  <c:v>11603450.52</c:v>
                </c:pt>
                <c:pt idx="9">
                  <c:v>11860236.59</c:v>
                </c:pt>
                <c:pt idx="10">
                  <c:v>12586538.52</c:v>
                </c:pt>
                <c:pt idx="11">
                  <c:v>12891166.51</c:v>
                </c:pt>
              </c:numCache>
            </c:numRef>
          </c:val>
          <c:extLst>
            <c:ext xmlns:c16="http://schemas.microsoft.com/office/drawing/2014/chart" uri="{C3380CC4-5D6E-409C-BE32-E72D297353CC}">
              <c16:uniqueId val="{00000006-FE1A-4216-8923-CF526B6F94FD}"/>
            </c:ext>
          </c:extLst>
        </c:ser>
        <c:ser>
          <c:idx val="7"/>
          <c:order val="7"/>
          <c:tx>
            <c:strRef>
              <c:f>'Wholesale Chart'!$I$1</c:f>
              <c:strCache>
                <c:ptCount val="1"/>
                <c:pt idx="0">
                  <c:v>2015</c:v>
                </c:pt>
              </c:strCache>
            </c:strRef>
          </c:tx>
          <c:spPr>
            <a:solidFill>
              <a:schemeClr val="accent2">
                <a:lumMod val="60000"/>
              </a:schemeClr>
            </a:solidFill>
            <a:ln>
              <a:noFill/>
            </a:ln>
            <a:effectLst/>
          </c:spPr>
          <c:invertIfNegative val="0"/>
          <c:cat>
            <c:strRef>
              <c:f>'Wholesale Chart'!$A$2:$A$13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'Wholesale Chart'!$I$2:$I$13</c:f>
              <c:numCache>
                <c:formatCode>General</c:formatCode>
                <c:ptCount val="12"/>
                <c:pt idx="0">
                  <c:v>13987815.10923077</c:v>
                </c:pt>
                <c:pt idx="1">
                  <c:v>13128236.121538462</c:v>
                </c:pt>
                <c:pt idx="2">
                  <c:v>13204373.219230771</c:v>
                </c:pt>
                <c:pt idx="3">
                  <c:v>11410552.486153847</c:v>
                </c:pt>
                <c:pt idx="4">
                  <c:v>10958434.445384616</c:v>
                </c:pt>
                <c:pt idx="5">
                  <c:v>11142226.466923079</c:v>
                </c:pt>
                <c:pt idx="6">
                  <c:v>12019416.241538461</c:v>
                </c:pt>
                <c:pt idx="7">
                  <c:v>11373887.692307692</c:v>
                </c:pt>
                <c:pt idx="8">
                  <c:v>11797719.496923078</c:v>
                </c:pt>
                <c:pt idx="9">
                  <c:v>11426239.485384615</c:v>
                </c:pt>
                <c:pt idx="10">
                  <c:v>11667095.193846155</c:v>
                </c:pt>
                <c:pt idx="11">
                  <c:v>12145135.487692308</c:v>
                </c:pt>
              </c:numCache>
            </c:numRef>
          </c:val>
          <c:extLst>
            <c:ext xmlns:c16="http://schemas.microsoft.com/office/drawing/2014/chart" uri="{C3380CC4-5D6E-409C-BE32-E72D297353CC}">
              <c16:uniqueId val="{00000007-FE1A-4216-8923-CF526B6F94FD}"/>
            </c:ext>
          </c:extLst>
        </c:ser>
        <c:ser>
          <c:idx val="8"/>
          <c:order val="8"/>
          <c:tx>
            <c:strRef>
              <c:f>'Wholesale Chart'!$J$1</c:f>
              <c:strCache>
                <c:ptCount val="1"/>
                <c:pt idx="0">
                  <c:v>2016</c:v>
                </c:pt>
              </c:strCache>
            </c:strRef>
          </c:tx>
          <c:spPr>
            <a:solidFill>
              <a:schemeClr val="accent3">
                <a:lumMod val="60000"/>
              </a:schemeClr>
            </a:solidFill>
            <a:ln>
              <a:noFill/>
            </a:ln>
            <a:effectLst/>
          </c:spPr>
          <c:invertIfNegative val="0"/>
          <c:cat>
            <c:strRef>
              <c:f>'Wholesale Chart'!$A$2:$A$13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'Wholesale Chart'!$J$2:$J$13</c:f>
              <c:numCache>
                <c:formatCode>General</c:formatCode>
                <c:ptCount val="12"/>
                <c:pt idx="0">
                  <c:v>13174537.98</c:v>
                </c:pt>
                <c:pt idx="1">
                  <c:v>12284962.16</c:v>
                </c:pt>
                <c:pt idx="2">
                  <c:v>12300226.49</c:v>
                </c:pt>
                <c:pt idx="3">
                  <c:v>11457704.949999999</c:v>
                </c:pt>
                <c:pt idx="4">
                  <c:v>11116983.68</c:v>
                </c:pt>
                <c:pt idx="5">
                  <c:v>11688877.680000002</c:v>
                </c:pt>
                <c:pt idx="6">
                  <c:v>12484094.970000001</c:v>
                </c:pt>
                <c:pt idx="7">
                  <c:v>13068297.119999999</c:v>
                </c:pt>
                <c:pt idx="8">
                  <c:v>11716455.57</c:v>
                </c:pt>
                <c:pt idx="9">
                  <c:v>11516592.26</c:v>
                </c:pt>
                <c:pt idx="10">
                  <c:v>11833726.34</c:v>
                </c:pt>
                <c:pt idx="11">
                  <c:v>12494116.59</c:v>
                </c:pt>
              </c:numCache>
            </c:numRef>
          </c:val>
          <c:extLst>
            <c:ext xmlns:c16="http://schemas.microsoft.com/office/drawing/2014/chart" uri="{C3380CC4-5D6E-409C-BE32-E72D297353CC}">
              <c16:uniqueId val="{00000008-FE1A-4216-8923-CF526B6F94FD}"/>
            </c:ext>
          </c:extLst>
        </c:ser>
        <c:dLbls>
          <c:showLegendKey val="0"/>
          <c:showVal val="0"/>
          <c:showCatName val="0"/>
          <c:showSerName val="0"/>
          <c:showPercent val="0"/>
          <c:showBubbleSize val="0"/>
        </c:dLbls>
        <c:gapWidth val="219"/>
        <c:overlap val="-27"/>
        <c:axId val="260870912"/>
        <c:axId val="260872448"/>
      </c:barChart>
      <c:catAx>
        <c:axId val="26087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872448"/>
        <c:crosses val="autoZero"/>
        <c:auto val="1"/>
        <c:lblAlgn val="ctr"/>
        <c:lblOffset val="100"/>
        <c:noMultiLvlLbl val="0"/>
      </c:catAx>
      <c:valAx>
        <c:axId val="260872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870912"/>
        <c:crosses val="autoZero"/>
        <c:crossBetween val="between"/>
      </c:valAx>
      <c:spPr>
        <a:noFill/>
        <a:ln w="25400">
          <a:noFill/>
        </a:ln>
      </c:spPr>
    </c:plotArea>
    <c:legend>
      <c:legendPos val="r"/>
      <c:layout>
        <c:manualLayout>
          <c:xMode val="edge"/>
          <c:yMode val="edge"/>
          <c:x val="0.31664927404699028"/>
          <c:y val="0.94199925825531539"/>
          <c:w val="0.35960281906905961"/>
          <c:h val="3.9647669482296984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40005</xdr:colOff>
      <xdr:row>0</xdr:row>
      <xdr:rowOff>38100</xdr:rowOff>
    </xdr:from>
    <xdr:to>
      <xdr:col>0</xdr:col>
      <xdr:colOff>1007173</xdr:colOff>
      <xdr:row>1</xdr:row>
      <xdr:rowOff>120041</xdr:rowOff>
    </xdr:to>
    <xdr:sp macro="[0]!overview" textlink="">
      <xdr:nvSpPr>
        <xdr:cNvPr id="1038" name="AutoShape 14">
          <a:extLst>
            <a:ext uri="{FF2B5EF4-FFF2-40B4-BE49-F238E27FC236}">
              <a16:creationId xmlns:a16="http://schemas.microsoft.com/office/drawing/2014/main" id="{09CD947E-BCC5-4007-AF76-440985B0ACC3}"/>
            </a:ext>
          </a:extLst>
        </xdr:cNvPr>
        <xdr:cNvSpPr>
          <a:spLocks noChangeArrowheads="1"/>
        </xdr:cNvSpPr>
      </xdr:nvSpPr>
      <xdr:spPr bwMode="auto">
        <a:xfrm>
          <a:off x="38100" y="38100"/>
          <a:ext cx="857250"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Overview</a:t>
          </a:r>
        </a:p>
      </xdr:txBody>
    </xdr:sp>
    <xdr:clientData fPrintsWithSheet="0"/>
  </xdr:twoCellAnchor>
  <xdr:twoCellAnchor>
    <xdr:from>
      <xdr:col>0</xdr:col>
      <xdr:colOff>842010</xdr:colOff>
      <xdr:row>3</xdr:row>
      <xdr:rowOff>0</xdr:rowOff>
    </xdr:from>
    <xdr:to>
      <xdr:col>0</xdr:col>
      <xdr:colOff>1047750</xdr:colOff>
      <xdr:row>3</xdr:row>
      <xdr:rowOff>190500</xdr:rowOff>
    </xdr:to>
    <xdr:grpSp>
      <xdr:nvGrpSpPr>
        <xdr:cNvPr id="1233448" name="Group 15">
          <a:extLst>
            <a:ext uri="{FF2B5EF4-FFF2-40B4-BE49-F238E27FC236}">
              <a16:creationId xmlns:a16="http://schemas.microsoft.com/office/drawing/2014/main" id="{2C36EBA4-6F7A-4540-95D4-933AEB5F917F}"/>
            </a:ext>
          </a:extLst>
        </xdr:cNvPr>
        <xdr:cNvGrpSpPr>
          <a:grpSpLocks/>
        </xdr:cNvGrpSpPr>
      </xdr:nvGrpSpPr>
      <xdr:grpSpPr bwMode="auto">
        <a:xfrm>
          <a:off x="842010" y="571500"/>
          <a:ext cx="91440" cy="190500"/>
          <a:chOff x="554" y="194"/>
          <a:chExt cx="19" cy="20"/>
        </a:xfrm>
      </xdr:grpSpPr>
      <xdr:sp macro="[0]!H_Input" textlink="">
        <xdr:nvSpPr>
          <xdr:cNvPr id="1040" name="Oval 16">
            <a:extLst>
              <a:ext uri="{FF2B5EF4-FFF2-40B4-BE49-F238E27FC236}">
                <a16:creationId xmlns:a16="http://schemas.microsoft.com/office/drawing/2014/main" id="{E3205CCC-5E1D-41BB-87A7-F7CABADB3E5F}"/>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Input" textlink="">
        <xdr:nvSpPr>
          <xdr:cNvPr id="1041" name="Rectangle 17">
            <a:extLst>
              <a:ext uri="{FF2B5EF4-FFF2-40B4-BE49-F238E27FC236}">
                <a16:creationId xmlns:a16="http://schemas.microsoft.com/office/drawing/2014/main" id="{81B6B194-1368-4D54-92DA-93DC90DF5C82}"/>
              </a:ext>
            </a:extLst>
          </xdr:cNvPr>
          <xdr:cNvSpPr>
            <a:spLocks noChangeArrowheads="1"/>
          </xdr:cNvSpPr>
        </xdr:nvSpPr>
        <xdr:spPr bwMode="auto">
          <a:xfrm>
            <a:off x="558" y="194"/>
            <a:ext cx="11"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editAs="oneCell">
    <xdr:from>
      <xdr:col>9</xdr:col>
      <xdr:colOff>453390</xdr:colOff>
      <xdr:row>0</xdr:row>
      <xdr:rowOff>38100</xdr:rowOff>
    </xdr:from>
    <xdr:to>
      <xdr:col>10</xdr:col>
      <xdr:colOff>800417</xdr:colOff>
      <xdr:row>1</xdr:row>
      <xdr:rowOff>120041</xdr:rowOff>
    </xdr:to>
    <xdr:sp macro="[0]!Delete_Input" textlink="">
      <xdr:nvSpPr>
        <xdr:cNvPr id="1042" name="AutoShape 18">
          <a:extLst>
            <a:ext uri="{FF2B5EF4-FFF2-40B4-BE49-F238E27FC236}">
              <a16:creationId xmlns:a16="http://schemas.microsoft.com/office/drawing/2014/main" id="{916F7468-0943-446B-BDB1-23156539CED2}"/>
            </a:ext>
          </a:extLst>
        </xdr:cNvPr>
        <xdr:cNvSpPr>
          <a:spLocks noChangeArrowheads="1"/>
        </xdr:cNvSpPr>
      </xdr:nvSpPr>
      <xdr:spPr bwMode="auto">
        <a:xfrm>
          <a:off x="7200900" y="38100"/>
          <a:ext cx="1038225"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Delete Input</a:t>
          </a:r>
        </a:p>
      </xdr:txBody>
    </xdr:sp>
    <xdr:clientData fPrintsWithSheet="0"/>
  </xdr:twoCellAnchor>
  <xdr:twoCellAnchor editAs="oneCell">
    <xdr:from>
      <xdr:col>7</xdr:col>
      <xdr:colOff>257175</xdr:colOff>
      <xdr:row>0</xdr:row>
      <xdr:rowOff>38100</xdr:rowOff>
    </xdr:from>
    <xdr:to>
      <xdr:col>9</xdr:col>
      <xdr:colOff>156141</xdr:colOff>
      <xdr:row>1</xdr:row>
      <xdr:rowOff>120041</xdr:rowOff>
    </xdr:to>
    <xdr:sp macro="[0]!Run_Regression" textlink="">
      <xdr:nvSpPr>
        <xdr:cNvPr id="1043" name="AutoShape 19">
          <a:extLst>
            <a:ext uri="{FF2B5EF4-FFF2-40B4-BE49-F238E27FC236}">
              <a16:creationId xmlns:a16="http://schemas.microsoft.com/office/drawing/2014/main" id="{77137FCC-A1E4-449A-9176-4A6B064585A9}"/>
            </a:ext>
          </a:extLst>
        </xdr:cNvPr>
        <xdr:cNvSpPr>
          <a:spLocks noChangeArrowheads="1"/>
        </xdr:cNvSpPr>
      </xdr:nvSpPr>
      <xdr:spPr bwMode="auto">
        <a:xfrm>
          <a:off x="5562600" y="38100"/>
          <a:ext cx="1381125"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Run Regression</a:t>
          </a:r>
        </a:p>
      </xdr:txBody>
    </xdr:sp>
    <xdr:clientData fPrintsWithSheet="0"/>
  </xdr:twoCellAnchor>
  <xdr:twoCellAnchor editAs="oneCell">
    <xdr:from>
      <xdr:col>13</xdr:col>
      <xdr:colOff>22860</xdr:colOff>
      <xdr:row>0</xdr:row>
      <xdr:rowOff>47625</xdr:rowOff>
    </xdr:from>
    <xdr:to>
      <xdr:col>14</xdr:col>
      <xdr:colOff>750539</xdr:colOff>
      <xdr:row>1</xdr:row>
      <xdr:rowOff>122045</xdr:rowOff>
    </xdr:to>
    <xdr:sp macro="[0]!Save_XLSM" textlink="">
      <xdr:nvSpPr>
        <xdr:cNvPr id="1045" name="AutoShape 21">
          <a:extLst>
            <a:ext uri="{FF2B5EF4-FFF2-40B4-BE49-F238E27FC236}">
              <a16:creationId xmlns:a16="http://schemas.microsoft.com/office/drawing/2014/main" id="{4BB2F41F-DF02-4FC1-8544-68A925CB31A2}"/>
            </a:ext>
          </a:extLst>
        </xdr:cNvPr>
        <xdr:cNvSpPr>
          <a:spLocks noChangeArrowheads="1"/>
        </xdr:cNvSpPr>
      </xdr:nvSpPr>
      <xdr:spPr bwMode="auto">
        <a:xfrm>
          <a:off x="9753600" y="47625"/>
          <a:ext cx="1381125"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Save As XLSM</a:t>
          </a:r>
        </a:p>
      </xdr:txBody>
    </xdr:sp>
    <xdr:clientData fPrintsWithSheet="0"/>
  </xdr:twoCellAnchor>
  <xdr:twoCellAnchor>
    <xdr:from>
      <xdr:col>1</xdr:col>
      <xdr:colOff>571500</xdr:colOff>
      <xdr:row>0</xdr:row>
      <xdr:rowOff>76200</xdr:rowOff>
    </xdr:from>
    <xdr:to>
      <xdr:col>1</xdr:col>
      <xdr:colOff>777240</xdr:colOff>
      <xdr:row>1</xdr:row>
      <xdr:rowOff>76200</xdr:rowOff>
    </xdr:to>
    <xdr:grpSp>
      <xdr:nvGrpSpPr>
        <xdr:cNvPr id="1233452" name="Group 28">
          <a:extLst>
            <a:ext uri="{FF2B5EF4-FFF2-40B4-BE49-F238E27FC236}">
              <a16:creationId xmlns:a16="http://schemas.microsoft.com/office/drawing/2014/main" id="{C5F64804-7781-48E4-9431-3148F5C5CF72}"/>
            </a:ext>
          </a:extLst>
        </xdr:cNvPr>
        <xdr:cNvGrpSpPr>
          <a:grpSpLocks/>
        </xdr:cNvGrpSpPr>
      </xdr:nvGrpSpPr>
      <xdr:grpSpPr bwMode="auto">
        <a:xfrm>
          <a:off x="1504950" y="76200"/>
          <a:ext cx="158115" cy="190500"/>
          <a:chOff x="554" y="194"/>
          <a:chExt cx="19" cy="20"/>
        </a:xfrm>
      </xdr:grpSpPr>
      <xdr:sp macro="[0]!H_Feature_selection" textlink="">
        <xdr:nvSpPr>
          <xdr:cNvPr id="1053" name="Oval 29">
            <a:extLst>
              <a:ext uri="{FF2B5EF4-FFF2-40B4-BE49-F238E27FC236}">
                <a16:creationId xmlns:a16="http://schemas.microsoft.com/office/drawing/2014/main" id="{D3EC7D83-C385-4AA8-BDFD-69B19BFFCB57}"/>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Feature_selection" textlink="">
        <xdr:nvSpPr>
          <xdr:cNvPr id="1054" name="Rectangle 30">
            <a:extLst>
              <a:ext uri="{FF2B5EF4-FFF2-40B4-BE49-F238E27FC236}">
                <a16:creationId xmlns:a16="http://schemas.microsoft.com/office/drawing/2014/main" id="{66E5A089-7BE4-4FAD-B45A-28AB1719090D}"/>
              </a:ext>
            </a:extLst>
          </xdr:cNvPr>
          <xdr:cNvSpPr>
            <a:spLocks noChangeArrowheads="1"/>
          </xdr:cNvSpPr>
        </xdr:nvSpPr>
        <xdr:spPr bwMode="auto">
          <a:xfrm>
            <a:off x="558" y="194"/>
            <a:ext cx="11"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editAs="oneCell">
    <xdr:from>
      <xdr:col>48</xdr:col>
      <xdr:colOff>40005</xdr:colOff>
      <xdr:row>0</xdr:row>
      <xdr:rowOff>38100</xdr:rowOff>
    </xdr:from>
    <xdr:to>
      <xdr:col>48</xdr:col>
      <xdr:colOff>759364</xdr:colOff>
      <xdr:row>1</xdr:row>
      <xdr:rowOff>120041</xdr:rowOff>
    </xdr:to>
    <xdr:sp macro="[0]!Add_Vars" textlink="">
      <xdr:nvSpPr>
        <xdr:cNvPr id="1064" name="AutoShape 40">
          <a:extLst>
            <a:ext uri="{FF2B5EF4-FFF2-40B4-BE49-F238E27FC236}">
              <a16:creationId xmlns:a16="http://schemas.microsoft.com/office/drawing/2014/main" id="{A3BBB21D-0C0B-477D-88AE-00EF5604BB8D}"/>
            </a:ext>
          </a:extLst>
        </xdr:cNvPr>
        <xdr:cNvSpPr>
          <a:spLocks noChangeArrowheads="1"/>
        </xdr:cNvSpPr>
      </xdr:nvSpPr>
      <xdr:spPr bwMode="auto">
        <a:xfrm>
          <a:off x="35442525" y="38100"/>
          <a:ext cx="638175"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Add</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12</xdr:col>
      <xdr:colOff>11430</xdr:colOff>
      <xdr:row>2</xdr:row>
      <xdr:rowOff>11430</xdr:rowOff>
    </xdr:from>
    <xdr:to>
      <xdr:col>23</xdr:col>
      <xdr:colOff>335280</xdr:colOff>
      <xdr:row>7</xdr:row>
      <xdr:rowOff>0</xdr:rowOff>
    </xdr:to>
    <xdr:graphicFrame macro="">
      <xdr:nvGraphicFramePr>
        <xdr:cNvPr id="1295491" name="actpred">
          <a:extLst>
            <a:ext uri="{FF2B5EF4-FFF2-40B4-BE49-F238E27FC236}">
              <a16:creationId xmlns:a16="http://schemas.microsoft.com/office/drawing/2014/main" id="{067DE96D-0D16-4017-9AD8-E50B5BB947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26</xdr:col>
      <xdr:colOff>9525</xdr:colOff>
      <xdr:row>2</xdr:row>
      <xdr:rowOff>47625</xdr:rowOff>
    </xdr:from>
    <xdr:to>
      <xdr:col>26</xdr:col>
      <xdr:colOff>1125628</xdr:colOff>
      <xdr:row>3</xdr:row>
      <xdr:rowOff>5715</xdr:rowOff>
    </xdr:to>
    <xdr:sp macro="[0]!Export_Tab" textlink="">
      <xdr:nvSpPr>
        <xdr:cNvPr id="2073" name="AutoShape 25">
          <a:extLst>
            <a:ext uri="{FF2B5EF4-FFF2-40B4-BE49-F238E27FC236}">
              <a16:creationId xmlns:a16="http://schemas.microsoft.com/office/drawing/2014/main" id="{B197AB15-4358-4B1B-9BD3-43F1A3827BD1}"/>
            </a:ext>
          </a:extLst>
        </xdr:cNvPr>
        <xdr:cNvSpPr>
          <a:spLocks noChangeArrowheads="1"/>
        </xdr:cNvSpPr>
      </xdr:nvSpPr>
      <xdr:spPr bwMode="auto">
        <a:xfrm>
          <a:off x="15573375" y="142875"/>
          <a:ext cx="990600" cy="247650"/>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27432" tIns="22860" rIns="27432" bIns="22860" anchor="ctr" upright="1"/>
        <a:lstStyle/>
        <a:p>
          <a:pPr algn="ctr" rtl="0">
            <a:defRPr sz="1000"/>
          </a:pPr>
          <a:r>
            <a:rPr lang="en-CA" sz="1000" b="1" i="0" u="none" strike="noStrike" baseline="0">
              <a:solidFill>
                <a:srgbClr val="333333"/>
              </a:solidFill>
              <a:latin typeface="Arial"/>
              <a:cs typeface="Arial"/>
            </a:rPr>
            <a:t>Export Sheet</a:t>
          </a:r>
        </a:p>
      </xdr:txBody>
    </xdr:sp>
    <xdr:clientData fPrintsWithSheet="0"/>
  </xdr:twoCellAnchor>
  <xdr:twoCellAnchor editAs="oneCell">
    <xdr:from>
      <xdr:col>26</xdr:col>
      <xdr:colOff>40005</xdr:colOff>
      <xdr:row>8</xdr:row>
      <xdr:rowOff>38100</xdr:rowOff>
    </xdr:from>
    <xdr:to>
      <xdr:col>26</xdr:col>
      <xdr:colOff>1158051</xdr:colOff>
      <xdr:row>8</xdr:row>
      <xdr:rowOff>285750</xdr:rowOff>
    </xdr:to>
    <xdr:sp macro="[0]!Forecast_Go" textlink="">
      <xdr:nvSpPr>
        <xdr:cNvPr id="2074" name="AutoShape 26">
          <a:extLst>
            <a:ext uri="{FF2B5EF4-FFF2-40B4-BE49-F238E27FC236}">
              <a16:creationId xmlns:a16="http://schemas.microsoft.com/office/drawing/2014/main" id="{67DB73C9-8243-4D7A-B597-1EA42392CDE4}"/>
            </a:ext>
          </a:extLst>
        </xdr:cNvPr>
        <xdr:cNvSpPr>
          <a:spLocks noChangeArrowheads="1"/>
        </xdr:cNvSpPr>
      </xdr:nvSpPr>
      <xdr:spPr bwMode="auto">
        <a:xfrm>
          <a:off x="15601950" y="1343025"/>
          <a:ext cx="990600" cy="247650"/>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27432" tIns="22860" rIns="27432" bIns="22860" anchor="ctr" upright="1"/>
        <a:lstStyle/>
        <a:p>
          <a:pPr algn="ctr" rtl="0">
            <a:defRPr sz="1000"/>
          </a:pPr>
          <a:r>
            <a:rPr lang="en-CA" sz="1000" b="1" i="0" u="none" strike="noStrike" baseline="0">
              <a:solidFill>
                <a:srgbClr val="333333"/>
              </a:solidFill>
              <a:latin typeface="Arial"/>
              <a:cs typeface="Arial"/>
            </a:rPr>
            <a:t>Run Forecast</a:t>
          </a:r>
        </a:p>
      </xdr:txBody>
    </xdr:sp>
    <xdr:clientData fPrintsWithSheet="0"/>
  </xdr:twoCellAnchor>
  <xdr:twoCellAnchor>
    <xdr:from>
      <xdr:col>0</xdr:col>
      <xdr:colOff>41910</xdr:colOff>
      <xdr:row>2</xdr:row>
      <xdr:rowOff>38100</xdr:rowOff>
    </xdr:from>
    <xdr:to>
      <xdr:col>0</xdr:col>
      <xdr:colOff>247650</xdr:colOff>
      <xdr:row>2</xdr:row>
      <xdr:rowOff>228600</xdr:rowOff>
    </xdr:to>
    <xdr:grpSp>
      <xdr:nvGrpSpPr>
        <xdr:cNvPr id="1295494" name="Group 27">
          <a:extLst>
            <a:ext uri="{FF2B5EF4-FFF2-40B4-BE49-F238E27FC236}">
              <a16:creationId xmlns:a16="http://schemas.microsoft.com/office/drawing/2014/main" id="{A624211A-73AD-4F52-9DCB-FEB217CA83BE}"/>
            </a:ext>
          </a:extLst>
        </xdr:cNvPr>
        <xdr:cNvGrpSpPr>
          <a:grpSpLocks/>
        </xdr:cNvGrpSpPr>
      </xdr:nvGrpSpPr>
      <xdr:grpSpPr bwMode="auto">
        <a:xfrm>
          <a:off x="41910" y="133350"/>
          <a:ext cx="205740" cy="190500"/>
          <a:chOff x="554" y="194"/>
          <a:chExt cx="19" cy="20"/>
        </a:xfrm>
      </xdr:grpSpPr>
      <xdr:sp macro="[0]!H_Parameters" textlink="">
        <xdr:nvSpPr>
          <xdr:cNvPr id="2076" name="Oval 28">
            <a:extLst>
              <a:ext uri="{FF2B5EF4-FFF2-40B4-BE49-F238E27FC236}">
                <a16:creationId xmlns:a16="http://schemas.microsoft.com/office/drawing/2014/main" id="{97D8FFDB-4565-4C6B-B663-9F0B5E2415A6}"/>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Parameters" textlink="">
        <xdr:nvSpPr>
          <xdr:cNvPr id="2077" name="Rectangle 29">
            <a:extLst>
              <a:ext uri="{FF2B5EF4-FFF2-40B4-BE49-F238E27FC236}">
                <a16:creationId xmlns:a16="http://schemas.microsoft.com/office/drawing/2014/main" id="{CE7DBB16-2D62-4497-A4B9-DD5EB900A28F}"/>
              </a:ext>
            </a:extLst>
          </xdr:cNvPr>
          <xdr:cNvSpPr>
            <a:spLocks noChangeArrowheads="1"/>
          </xdr:cNvSpPr>
        </xdr:nvSpPr>
        <xdr:spPr bwMode="auto">
          <a:xfrm>
            <a:off x="558" y="194"/>
            <a:ext cx="11"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0</xdr:col>
      <xdr:colOff>53340</xdr:colOff>
      <xdr:row>8</xdr:row>
      <xdr:rowOff>26670</xdr:rowOff>
    </xdr:from>
    <xdr:to>
      <xdr:col>0</xdr:col>
      <xdr:colOff>259080</xdr:colOff>
      <xdr:row>8</xdr:row>
      <xdr:rowOff>217170</xdr:rowOff>
    </xdr:to>
    <xdr:grpSp>
      <xdr:nvGrpSpPr>
        <xdr:cNvPr id="1295495" name="Group 30">
          <a:extLst>
            <a:ext uri="{FF2B5EF4-FFF2-40B4-BE49-F238E27FC236}">
              <a16:creationId xmlns:a16="http://schemas.microsoft.com/office/drawing/2014/main" id="{0A3423B4-1F62-45B6-96A1-061E40CA9D5A}"/>
            </a:ext>
          </a:extLst>
        </xdr:cNvPr>
        <xdr:cNvGrpSpPr>
          <a:grpSpLocks/>
        </xdr:cNvGrpSpPr>
      </xdr:nvGrpSpPr>
      <xdr:grpSpPr bwMode="auto">
        <a:xfrm>
          <a:off x="53340" y="1331595"/>
          <a:ext cx="205740" cy="190500"/>
          <a:chOff x="554" y="194"/>
          <a:chExt cx="19" cy="20"/>
        </a:xfrm>
      </xdr:grpSpPr>
      <xdr:sp macro="[0]!H_equation" textlink="">
        <xdr:nvSpPr>
          <xdr:cNvPr id="2079" name="Oval 31">
            <a:extLst>
              <a:ext uri="{FF2B5EF4-FFF2-40B4-BE49-F238E27FC236}">
                <a16:creationId xmlns:a16="http://schemas.microsoft.com/office/drawing/2014/main" id="{39B4356F-3227-43CD-A96B-1F86FB640FB1}"/>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equation" textlink="">
        <xdr:nvSpPr>
          <xdr:cNvPr id="2080" name="Rectangle 32">
            <a:extLst>
              <a:ext uri="{FF2B5EF4-FFF2-40B4-BE49-F238E27FC236}">
                <a16:creationId xmlns:a16="http://schemas.microsoft.com/office/drawing/2014/main" id="{B547DA30-253B-46DB-AD93-237F53637DD5}"/>
              </a:ext>
            </a:extLst>
          </xdr:cNvPr>
          <xdr:cNvSpPr>
            <a:spLocks noChangeArrowheads="1"/>
          </xdr:cNvSpPr>
        </xdr:nvSpPr>
        <xdr:spPr bwMode="auto">
          <a:xfrm>
            <a:off x="558" y="194"/>
            <a:ext cx="11"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5</xdr:col>
      <xdr:colOff>34290</xdr:colOff>
      <xdr:row>8</xdr:row>
      <xdr:rowOff>19050</xdr:rowOff>
    </xdr:from>
    <xdr:to>
      <xdr:col>5</xdr:col>
      <xdr:colOff>240030</xdr:colOff>
      <xdr:row>8</xdr:row>
      <xdr:rowOff>209550</xdr:rowOff>
    </xdr:to>
    <xdr:grpSp>
      <xdr:nvGrpSpPr>
        <xdr:cNvPr id="1295496" name="Group 33">
          <a:extLst>
            <a:ext uri="{FF2B5EF4-FFF2-40B4-BE49-F238E27FC236}">
              <a16:creationId xmlns:a16="http://schemas.microsoft.com/office/drawing/2014/main" id="{B853F6BA-50AF-4FE9-BAEE-6FE0D6A8E5DE}"/>
            </a:ext>
          </a:extLst>
        </xdr:cNvPr>
        <xdr:cNvGrpSpPr>
          <a:grpSpLocks/>
        </xdr:cNvGrpSpPr>
      </xdr:nvGrpSpPr>
      <xdr:grpSpPr bwMode="auto">
        <a:xfrm>
          <a:off x="5492115" y="1323975"/>
          <a:ext cx="205740" cy="190500"/>
          <a:chOff x="554" y="194"/>
          <a:chExt cx="19" cy="20"/>
        </a:xfrm>
      </xdr:grpSpPr>
      <xdr:sp macro="[0]!H_independent" textlink="">
        <xdr:nvSpPr>
          <xdr:cNvPr id="2082" name="Oval 34">
            <a:extLst>
              <a:ext uri="{FF2B5EF4-FFF2-40B4-BE49-F238E27FC236}">
                <a16:creationId xmlns:a16="http://schemas.microsoft.com/office/drawing/2014/main" id="{C0AC65A8-A94D-41A2-9534-E96D5D1C3FB1}"/>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independent" textlink="">
        <xdr:nvSpPr>
          <xdr:cNvPr id="2083" name="Rectangle 35">
            <a:extLst>
              <a:ext uri="{FF2B5EF4-FFF2-40B4-BE49-F238E27FC236}">
                <a16:creationId xmlns:a16="http://schemas.microsoft.com/office/drawing/2014/main" id="{00ED6051-A8FC-47AE-8538-476882DF23C7}"/>
              </a:ext>
            </a:extLst>
          </xdr:cNvPr>
          <xdr:cNvSpPr>
            <a:spLocks noChangeArrowheads="1"/>
          </xdr:cNvSpPr>
        </xdr:nvSpPr>
        <xdr:spPr bwMode="auto">
          <a:xfrm>
            <a:off x="558" y="194"/>
            <a:ext cx="11"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6</xdr:col>
      <xdr:colOff>41910</xdr:colOff>
      <xdr:row>2</xdr:row>
      <xdr:rowOff>49530</xdr:rowOff>
    </xdr:from>
    <xdr:to>
      <xdr:col>6</xdr:col>
      <xdr:colOff>247650</xdr:colOff>
      <xdr:row>2</xdr:row>
      <xdr:rowOff>240030</xdr:rowOff>
    </xdr:to>
    <xdr:grpSp>
      <xdr:nvGrpSpPr>
        <xdr:cNvPr id="1295497" name="Group 36">
          <a:extLst>
            <a:ext uri="{FF2B5EF4-FFF2-40B4-BE49-F238E27FC236}">
              <a16:creationId xmlns:a16="http://schemas.microsoft.com/office/drawing/2014/main" id="{E49B9508-87F9-4250-B1B8-D1909A1134AC}"/>
            </a:ext>
          </a:extLst>
        </xdr:cNvPr>
        <xdr:cNvGrpSpPr>
          <a:grpSpLocks/>
        </xdr:cNvGrpSpPr>
      </xdr:nvGrpSpPr>
      <xdr:grpSpPr bwMode="auto">
        <a:xfrm>
          <a:off x="6347460" y="144780"/>
          <a:ext cx="205740" cy="190500"/>
          <a:chOff x="554" y="194"/>
          <a:chExt cx="19" cy="20"/>
        </a:xfrm>
      </xdr:grpSpPr>
      <xdr:sp macro="[0]!H_durbinwatson" textlink="">
        <xdr:nvSpPr>
          <xdr:cNvPr id="2085" name="Oval 37">
            <a:extLst>
              <a:ext uri="{FF2B5EF4-FFF2-40B4-BE49-F238E27FC236}">
                <a16:creationId xmlns:a16="http://schemas.microsoft.com/office/drawing/2014/main" id="{C6B1489D-263B-41B9-9806-E6DD0A456DC9}"/>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durbinwatson" textlink="">
        <xdr:nvSpPr>
          <xdr:cNvPr id="2086" name="Rectangle 38">
            <a:extLst>
              <a:ext uri="{FF2B5EF4-FFF2-40B4-BE49-F238E27FC236}">
                <a16:creationId xmlns:a16="http://schemas.microsoft.com/office/drawing/2014/main" id="{65068425-36FD-4E0E-8085-27A5CA5B3A16}"/>
              </a:ext>
            </a:extLst>
          </xdr:cNvPr>
          <xdr:cNvSpPr>
            <a:spLocks noChangeArrowheads="1"/>
          </xdr:cNvSpPr>
        </xdr:nvSpPr>
        <xdr:spPr bwMode="auto">
          <a:xfrm>
            <a:off x="558" y="194"/>
            <a:ext cx="11"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8</xdr:col>
      <xdr:colOff>34290</xdr:colOff>
      <xdr:row>8</xdr:row>
      <xdr:rowOff>19050</xdr:rowOff>
    </xdr:from>
    <xdr:to>
      <xdr:col>8</xdr:col>
      <xdr:colOff>240030</xdr:colOff>
      <xdr:row>8</xdr:row>
      <xdr:rowOff>209550</xdr:rowOff>
    </xdr:to>
    <xdr:grpSp>
      <xdr:nvGrpSpPr>
        <xdr:cNvPr id="1295498" name="Group 39">
          <a:extLst>
            <a:ext uri="{FF2B5EF4-FFF2-40B4-BE49-F238E27FC236}">
              <a16:creationId xmlns:a16="http://schemas.microsoft.com/office/drawing/2014/main" id="{A6CA7A4D-2817-4597-9EB4-0CED1C4968E3}"/>
            </a:ext>
          </a:extLst>
        </xdr:cNvPr>
        <xdr:cNvGrpSpPr>
          <a:grpSpLocks/>
        </xdr:cNvGrpSpPr>
      </xdr:nvGrpSpPr>
      <xdr:grpSpPr bwMode="auto">
        <a:xfrm>
          <a:off x="8035290" y="1323975"/>
          <a:ext cx="205740" cy="190500"/>
          <a:chOff x="554" y="194"/>
          <a:chExt cx="19" cy="20"/>
        </a:xfrm>
      </xdr:grpSpPr>
      <xdr:sp macro="[0]!H_autocorrelation" textlink="">
        <xdr:nvSpPr>
          <xdr:cNvPr id="2088" name="Oval 40">
            <a:extLst>
              <a:ext uri="{FF2B5EF4-FFF2-40B4-BE49-F238E27FC236}">
                <a16:creationId xmlns:a16="http://schemas.microsoft.com/office/drawing/2014/main" id="{2982DD80-34BC-4C89-A8A7-AE1755D05D48}"/>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autocorrelation" textlink="">
        <xdr:nvSpPr>
          <xdr:cNvPr id="2089" name="Rectangle 41">
            <a:extLst>
              <a:ext uri="{FF2B5EF4-FFF2-40B4-BE49-F238E27FC236}">
                <a16:creationId xmlns:a16="http://schemas.microsoft.com/office/drawing/2014/main" id="{79748D41-C4CD-4D3A-B610-39F2A11C7BE9}"/>
              </a:ext>
            </a:extLst>
          </xdr:cNvPr>
          <xdr:cNvSpPr>
            <a:spLocks noChangeArrowheads="1"/>
          </xdr:cNvSpPr>
        </xdr:nvSpPr>
        <xdr:spPr bwMode="auto">
          <a:xfrm>
            <a:off x="558" y="194"/>
            <a:ext cx="11"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9</xdr:col>
      <xdr:colOff>34290</xdr:colOff>
      <xdr:row>8</xdr:row>
      <xdr:rowOff>19050</xdr:rowOff>
    </xdr:from>
    <xdr:to>
      <xdr:col>9</xdr:col>
      <xdr:colOff>240030</xdr:colOff>
      <xdr:row>8</xdr:row>
      <xdr:rowOff>209550</xdr:rowOff>
    </xdr:to>
    <xdr:grpSp>
      <xdr:nvGrpSpPr>
        <xdr:cNvPr id="1295499" name="Group 42">
          <a:extLst>
            <a:ext uri="{FF2B5EF4-FFF2-40B4-BE49-F238E27FC236}">
              <a16:creationId xmlns:a16="http://schemas.microsoft.com/office/drawing/2014/main" id="{E9CF6E44-75F4-446B-95F0-B1D8C5DCC2E3}"/>
            </a:ext>
          </a:extLst>
        </xdr:cNvPr>
        <xdr:cNvGrpSpPr>
          <a:grpSpLocks/>
        </xdr:cNvGrpSpPr>
      </xdr:nvGrpSpPr>
      <xdr:grpSpPr bwMode="auto">
        <a:xfrm>
          <a:off x="8883015" y="1323975"/>
          <a:ext cx="205740" cy="190500"/>
          <a:chOff x="554" y="194"/>
          <a:chExt cx="19" cy="20"/>
        </a:xfrm>
      </xdr:grpSpPr>
      <xdr:sp macro="[0]!H_colinearity" textlink="">
        <xdr:nvSpPr>
          <xdr:cNvPr id="2091" name="Oval 43">
            <a:extLst>
              <a:ext uri="{FF2B5EF4-FFF2-40B4-BE49-F238E27FC236}">
                <a16:creationId xmlns:a16="http://schemas.microsoft.com/office/drawing/2014/main" id="{2D2DC8A9-0219-493B-9F7F-81B5364531C8}"/>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colinearity" textlink="">
        <xdr:nvSpPr>
          <xdr:cNvPr id="2092" name="Rectangle 44">
            <a:extLst>
              <a:ext uri="{FF2B5EF4-FFF2-40B4-BE49-F238E27FC236}">
                <a16:creationId xmlns:a16="http://schemas.microsoft.com/office/drawing/2014/main" id="{F2790E29-B166-4F4A-8CD3-8F8CC841C648}"/>
              </a:ext>
            </a:extLst>
          </xdr:cNvPr>
          <xdr:cNvSpPr>
            <a:spLocks noChangeArrowheads="1"/>
          </xdr:cNvSpPr>
        </xdr:nvSpPr>
        <xdr:spPr bwMode="auto">
          <a:xfrm>
            <a:off x="558" y="194"/>
            <a:ext cx="11"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10</xdr:col>
      <xdr:colOff>560070</xdr:colOff>
      <xdr:row>2</xdr:row>
      <xdr:rowOff>19050</xdr:rowOff>
    </xdr:from>
    <xdr:to>
      <xdr:col>10</xdr:col>
      <xdr:colOff>765810</xdr:colOff>
      <xdr:row>2</xdr:row>
      <xdr:rowOff>209550</xdr:rowOff>
    </xdr:to>
    <xdr:grpSp>
      <xdr:nvGrpSpPr>
        <xdr:cNvPr id="1295500" name="Group 45">
          <a:extLst>
            <a:ext uri="{FF2B5EF4-FFF2-40B4-BE49-F238E27FC236}">
              <a16:creationId xmlns:a16="http://schemas.microsoft.com/office/drawing/2014/main" id="{45918D8E-7EF8-42C7-87F9-9DA8E6623F95}"/>
            </a:ext>
          </a:extLst>
        </xdr:cNvPr>
        <xdr:cNvGrpSpPr>
          <a:grpSpLocks/>
        </xdr:cNvGrpSpPr>
      </xdr:nvGrpSpPr>
      <xdr:grpSpPr bwMode="auto">
        <a:xfrm>
          <a:off x="10256520" y="114300"/>
          <a:ext cx="205740" cy="190500"/>
          <a:chOff x="554" y="194"/>
          <a:chExt cx="19" cy="20"/>
        </a:xfrm>
      </xdr:grpSpPr>
      <xdr:sp macro="[0]!H_scatter" textlink="">
        <xdr:nvSpPr>
          <xdr:cNvPr id="2094" name="Oval 46">
            <a:extLst>
              <a:ext uri="{FF2B5EF4-FFF2-40B4-BE49-F238E27FC236}">
                <a16:creationId xmlns:a16="http://schemas.microsoft.com/office/drawing/2014/main" id="{CA731EF2-912D-47EB-A07A-6D485D3AAC98}"/>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scatter" textlink="">
        <xdr:nvSpPr>
          <xdr:cNvPr id="2095" name="Rectangle 47">
            <a:extLst>
              <a:ext uri="{FF2B5EF4-FFF2-40B4-BE49-F238E27FC236}">
                <a16:creationId xmlns:a16="http://schemas.microsoft.com/office/drawing/2014/main" id="{AEBA94B0-DDF3-40F3-8733-3255B248A54A}"/>
              </a:ext>
            </a:extLst>
          </xdr:cNvPr>
          <xdr:cNvSpPr>
            <a:spLocks noChangeArrowheads="1"/>
          </xdr:cNvSpPr>
        </xdr:nvSpPr>
        <xdr:spPr bwMode="auto">
          <a:xfrm>
            <a:off x="558" y="194"/>
            <a:ext cx="11"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23</xdr:col>
      <xdr:colOff>411480</xdr:colOff>
      <xdr:row>8</xdr:row>
      <xdr:rowOff>26670</xdr:rowOff>
    </xdr:from>
    <xdr:to>
      <xdr:col>24</xdr:col>
      <xdr:colOff>106680</xdr:colOff>
      <xdr:row>8</xdr:row>
      <xdr:rowOff>217170</xdr:rowOff>
    </xdr:to>
    <xdr:grpSp>
      <xdr:nvGrpSpPr>
        <xdr:cNvPr id="1295501" name="Group 48">
          <a:extLst>
            <a:ext uri="{FF2B5EF4-FFF2-40B4-BE49-F238E27FC236}">
              <a16:creationId xmlns:a16="http://schemas.microsoft.com/office/drawing/2014/main" id="{56656AF3-0B4B-4B5B-8929-BB25D902D0AB}"/>
            </a:ext>
          </a:extLst>
        </xdr:cNvPr>
        <xdr:cNvGrpSpPr>
          <a:grpSpLocks/>
        </xdr:cNvGrpSpPr>
      </xdr:nvGrpSpPr>
      <xdr:grpSpPr bwMode="auto">
        <a:xfrm>
          <a:off x="16327755" y="1331595"/>
          <a:ext cx="142875" cy="190500"/>
          <a:chOff x="554" y="194"/>
          <a:chExt cx="19" cy="20"/>
        </a:xfrm>
      </xdr:grpSpPr>
      <xdr:sp macro="[0]!H_forecast" textlink="">
        <xdr:nvSpPr>
          <xdr:cNvPr id="2097" name="Oval 49">
            <a:extLst>
              <a:ext uri="{FF2B5EF4-FFF2-40B4-BE49-F238E27FC236}">
                <a16:creationId xmlns:a16="http://schemas.microsoft.com/office/drawing/2014/main" id="{35C14F40-21E9-46E2-A73A-4E2E1C479604}"/>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forecast" textlink="">
        <xdr:nvSpPr>
          <xdr:cNvPr id="2098" name="Rectangle 50">
            <a:extLst>
              <a:ext uri="{FF2B5EF4-FFF2-40B4-BE49-F238E27FC236}">
                <a16:creationId xmlns:a16="http://schemas.microsoft.com/office/drawing/2014/main" id="{562D0463-1397-4F34-B6AF-9D65F1F06787}"/>
              </a:ext>
            </a:extLst>
          </xdr:cNvPr>
          <xdr:cNvSpPr>
            <a:spLocks noChangeArrowheads="1"/>
          </xdr:cNvSpPr>
        </xdr:nvSpPr>
        <xdr:spPr bwMode="auto">
          <a:xfrm>
            <a:off x="558" y="194"/>
            <a:ext cx="11"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790575</xdr:colOff>
      <xdr:row>0</xdr:row>
      <xdr:rowOff>28575</xdr:rowOff>
    </xdr:from>
    <xdr:to>
      <xdr:col>6</xdr:col>
      <xdr:colOff>945844</xdr:colOff>
      <xdr:row>0</xdr:row>
      <xdr:rowOff>272415</xdr:rowOff>
    </xdr:to>
    <xdr:sp macro="[0]!Export_Tab" textlink="">
      <xdr:nvSpPr>
        <xdr:cNvPr id="3080" name="AutoShape 8">
          <a:extLst>
            <a:ext uri="{FF2B5EF4-FFF2-40B4-BE49-F238E27FC236}">
              <a16:creationId xmlns:a16="http://schemas.microsoft.com/office/drawing/2014/main" id="{4DD6549F-E1C3-421F-A8C9-5907C86D4E1D}"/>
            </a:ext>
          </a:extLst>
        </xdr:cNvPr>
        <xdr:cNvSpPr>
          <a:spLocks noChangeArrowheads="1"/>
        </xdr:cNvSpPr>
      </xdr:nvSpPr>
      <xdr:spPr bwMode="auto">
        <a:xfrm>
          <a:off x="4257675" y="28575"/>
          <a:ext cx="990600" cy="247650"/>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27432" tIns="22860" rIns="27432" bIns="22860" anchor="ctr" upright="1"/>
        <a:lstStyle/>
        <a:p>
          <a:pPr algn="ctr" rtl="0">
            <a:defRPr sz="1000"/>
          </a:pPr>
          <a:r>
            <a:rPr lang="en-CA" sz="1000" b="1" i="0" u="none" strike="noStrike" baseline="0">
              <a:solidFill>
                <a:srgbClr val="333333"/>
              </a:solidFill>
              <a:latin typeface="Arial"/>
              <a:cs typeface="Arial"/>
            </a:rPr>
            <a:t>Export Sheet</a:t>
          </a:r>
        </a:p>
      </xdr:txBody>
    </xdr:sp>
    <xdr:clientData fPrintsWithSheet="0"/>
  </xdr:twoCellAnchor>
  <xdr:twoCellAnchor>
    <xdr:from>
      <xdr:col>3</xdr:col>
      <xdr:colOff>635225</xdr:colOff>
      <xdr:row>2</xdr:row>
      <xdr:rowOff>36613</xdr:rowOff>
    </xdr:from>
    <xdr:to>
      <xdr:col>3</xdr:col>
      <xdr:colOff>931966</xdr:colOff>
      <xdr:row>2</xdr:row>
      <xdr:rowOff>290549</xdr:rowOff>
    </xdr:to>
    <xdr:sp macro="[0]!Histavg1" textlink="">
      <xdr:nvSpPr>
        <xdr:cNvPr id="3" name="Flowchart: Terminator 2">
          <a:extLst>
            <a:ext uri="{FF2B5EF4-FFF2-40B4-BE49-F238E27FC236}">
              <a16:creationId xmlns:a16="http://schemas.microsoft.com/office/drawing/2014/main" id="{C13024A0-2FDA-40A5-9C0D-8A8C2939CE69}"/>
            </a:ext>
          </a:extLst>
        </xdr:cNvPr>
        <xdr:cNvSpPr/>
      </xdr:nvSpPr>
      <xdr:spPr bwMode="auto">
        <a:xfrm>
          <a:off x="2427830" y="531913"/>
          <a:ext cx="267746" cy="257726"/>
        </a:xfrm>
        <a:prstGeom prst="flowChartTerminator">
          <a:avLst/>
        </a:prstGeom>
        <a:solidFill>
          <a:srgbClr val="FFC000"/>
        </a:solidFill>
        <a:ln w="19050">
          <a:solidFill>
            <a:schemeClr val="bg1">
              <a:lumMod val="50000"/>
            </a:schemeClr>
          </a:solidFill>
          <a:headEnd type="none" w="med" len="med"/>
          <a:tailEnd type="none" w="med" len="med"/>
        </a:ln>
        <a:extLst/>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4</xdr:col>
      <xdr:colOff>636270</xdr:colOff>
      <xdr:row>2</xdr:row>
      <xdr:rowOff>38100</xdr:rowOff>
    </xdr:from>
    <xdr:to>
      <xdr:col>4</xdr:col>
      <xdr:colOff>933011</xdr:colOff>
      <xdr:row>2</xdr:row>
      <xdr:rowOff>292036</xdr:rowOff>
    </xdr:to>
    <xdr:sp macro="[0]!Histavg2" textlink="">
      <xdr:nvSpPr>
        <xdr:cNvPr id="5" name="Flowchart: Terminator 4">
          <a:extLst>
            <a:ext uri="{FF2B5EF4-FFF2-40B4-BE49-F238E27FC236}">
              <a16:creationId xmlns:a16="http://schemas.microsoft.com/office/drawing/2014/main" id="{9902378C-7892-43E7-AA64-1BED4C53B043}"/>
            </a:ext>
          </a:extLst>
        </xdr:cNvPr>
        <xdr:cNvSpPr/>
      </xdr:nvSpPr>
      <xdr:spPr bwMode="auto">
        <a:xfrm>
          <a:off x="3276600" y="533400"/>
          <a:ext cx="267746" cy="257726"/>
        </a:xfrm>
        <a:prstGeom prst="flowChartTerminator">
          <a:avLst/>
        </a:prstGeom>
        <a:solidFill>
          <a:srgbClr val="FFC000"/>
        </a:solidFill>
        <a:ln w="19050">
          <a:solidFill>
            <a:schemeClr val="bg1">
              <a:lumMod val="50000"/>
            </a:schemeClr>
          </a:solidFill>
          <a:headEnd type="none" w="med" len="med"/>
          <a:tailEnd type="none" w="med" len="med"/>
        </a:ln>
        <a:extLst/>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5</xdr:col>
      <xdr:colOff>613410</xdr:colOff>
      <xdr:row>2</xdr:row>
      <xdr:rowOff>38100</xdr:rowOff>
    </xdr:from>
    <xdr:to>
      <xdr:col>5</xdr:col>
      <xdr:colOff>928850</xdr:colOff>
      <xdr:row>2</xdr:row>
      <xdr:rowOff>292036</xdr:rowOff>
    </xdr:to>
    <xdr:sp macro="[0]!Histavg3" textlink="">
      <xdr:nvSpPr>
        <xdr:cNvPr id="6" name="Flowchart: Terminator 5">
          <a:extLst>
            <a:ext uri="{FF2B5EF4-FFF2-40B4-BE49-F238E27FC236}">
              <a16:creationId xmlns:a16="http://schemas.microsoft.com/office/drawing/2014/main" id="{A4E01C34-18D8-4836-851F-DAD42836A23B}"/>
            </a:ext>
          </a:extLst>
        </xdr:cNvPr>
        <xdr:cNvSpPr/>
      </xdr:nvSpPr>
      <xdr:spPr bwMode="auto">
        <a:xfrm>
          <a:off x="4114800" y="533400"/>
          <a:ext cx="267746" cy="257726"/>
        </a:xfrm>
        <a:prstGeom prst="flowChartTerminator">
          <a:avLst/>
        </a:prstGeom>
        <a:solidFill>
          <a:srgbClr val="FFC000"/>
        </a:solidFill>
        <a:ln w="19050">
          <a:solidFill>
            <a:schemeClr val="bg1">
              <a:lumMod val="50000"/>
            </a:schemeClr>
          </a:solidFill>
          <a:headEnd type="none" w="med" len="med"/>
          <a:tailEnd type="none" w="med" len="med"/>
        </a:ln>
        <a:extLst/>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6</xdr:col>
      <xdr:colOff>613410</xdr:colOff>
      <xdr:row>2</xdr:row>
      <xdr:rowOff>38100</xdr:rowOff>
    </xdr:from>
    <xdr:to>
      <xdr:col>6</xdr:col>
      <xdr:colOff>910555</xdr:colOff>
      <xdr:row>2</xdr:row>
      <xdr:rowOff>292036</xdr:rowOff>
    </xdr:to>
    <xdr:sp macro="[0]!Histavg4" textlink="">
      <xdr:nvSpPr>
        <xdr:cNvPr id="7" name="Flowchart: Terminator 6">
          <a:extLst>
            <a:ext uri="{FF2B5EF4-FFF2-40B4-BE49-F238E27FC236}">
              <a16:creationId xmlns:a16="http://schemas.microsoft.com/office/drawing/2014/main" id="{9B3D1A08-D912-4CF7-B723-058078C88AD6}"/>
            </a:ext>
          </a:extLst>
        </xdr:cNvPr>
        <xdr:cNvSpPr/>
      </xdr:nvSpPr>
      <xdr:spPr bwMode="auto">
        <a:xfrm>
          <a:off x="4953000" y="533400"/>
          <a:ext cx="267746" cy="257726"/>
        </a:xfrm>
        <a:prstGeom prst="flowChartTerminator">
          <a:avLst/>
        </a:prstGeom>
        <a:solidFill>
          <a:srgbClr val="FFC000"/>
        </a:solidFill>
        <a:ln w="19050">
          <a:solidFill>
            <a:schemeClr val="bg1">
              <a:lumMod val="50000"/>
            </a:schemeClr>
          </a:solidFill>
          <a:headEnd type="none" w="med" len="med"/>
          <a:tailEnd type="none" w="med" len="med"/>
        </a:ln>
        <a:extLst/>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7</xdr:col>
      <xdr:colOff>603885</xdr:colOff>
      <xdr:row>2</xdr:row>
      <xdr:rowOff>38100</xdr:rowOff>
    </xdr:from>
    <xdr:to>
      <xdr:col>7</xdr:col>
      <xdr:colOff>901205</xdr:colOff>
      <xdr:row>2</xdr:row>
      <xdr:rowOff>292036</xdr:rowOff>
    </xdr:to>
    <xdr:sp macro="[0]!Histavg5" textlink="">
      <xdr:nvSpPr>
        <xdr:cNvPr id="8" name="Flowchart: Terminator 7">
          <a:extLst>
            <a:ext uri="{FF2B5EF4-FFF2-40B4-BE49-F238E27FC236}">
              <a16:creationId xmlns:a16="http://schemas.microsoft.com/office/drawing/2014/main" id="{22328119-A275-4B6A-AF59-ACA0BA30E073}"/>
            </a:ext>
          </a:extLst>
        </xdr:cNvPr>
        <xdr:cNvSpPr/>
      </xdr:nvSpPr>
      <xdr:spPr bwMode="auto">
        <a:xfrm>
          <a:off x="5791200" y="533400"/>
          <a:ext cx="267746" cy="257726"/>
        </a:xfrm>
        <a:prstGeom prst="flowChartTerminator">
          <a:avLst/>
        </a:prstGeom>
        <a:solidFill>
          <a:srgbClr val="FFC000"/>
        </a:solidFill>
        <a:ln w="19050">
          <a:solidFill>
            <a:schemeClr val="bg1">
              <a:lumMod val="50000"/>
            </a:schemeClr>
          </a:solidFill>
          <a:headEnd type="none" w="med" len="med"/>
          <a:tailEnd type="none" w="med" len="med"/>
        </a:ln>
        <a:extLst/>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8</xdr:col>
      <xdr:colOff>603885</xdr:colOff>
      <xdr:row>2</xdr:row>
      <xdr:rowOff>38100</xdr:rowOff>
    </xdr:from>
    <xdr:to>
      <xdr:col>8</xdr:col>
      <xdr:colOff>901205</xdr:colOff>
      <xdr:row>2</xdr:row>
      <xdr:rowOff>292036</xdr:rowOff>
    </xdr:to>
    <xdr:sp macro="[0]!HistoricalAVG" textlink="">
      <xdr:nvSpPr>
        <xdr:cNvPr id="9" name="Flowchart: Terminator 8">
          <a:extLst>
            <a:ext uri="{FF2B5EF4-FFF2-40B4-BE49-F238E27FC236}">
              <a16:creationId xmlns:a16="http://schemas.microsoft.com/office/drawing/2014/main" id="{1B45B685-B686-4F6B-8376-D6F2F0CCC1EB}"/>
            </a:ext>
          </a:extLst>
        </xdr:cNvPr>
        <xdr:cNvSpPr/>
      </xdr:nvSpPr>
      <xdr:spPr bwMode="auto">
        <a:xfrm>
          <a:off x="6638925" y="533400"/>
          <a:ext cx="267746" cy="257726"/>
        </a:xfrm>
        <a:prstGeom prst="flowChartTerminator">
          <a:avLst/>
        </a:prstGeom>
        <a:solidFill>
          <a:srgbClr val="FFC000"/>
        </a:solidFill>
        <a:ln w="19050">
          <a:solidFill>
            <a:schemeClr val="bg1">
              <a:lumMod val="50000"/>
            </a:schemeClr>
          </a:solidFill>
          <a:headEnd type="none" w="med" len="med"/>
          <a:tailEnd type="none" w="med" len="med"/>
        </a:ln>
        <a:extLst/>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9</xdr:col>
      <xdr:colOff>603885</xdr:colOff>
      <xdr:row>2</xdr:row>
      <xdr:rowOff>38100</xdr:rowOff>
    </xdr:from>
    <xdr:to>
      <xdr:col>9</xdr:col>
      <xdr:colOff>901205</xdr:colOff>
      <xdr:row>2</xdr:row>
      <xdr:rowOff>292036</xdr:rowOff>
    </xdr:to>
    <xdr:sp macro="[0]!HistoricalAVG" textlink="">
      <xdr:nvSpPr>
        <xdr:cNvPr id="10" name="Flowchart: Terminator 9">
          <a:extLst>
            <a:ext uri="{FF2B5EF4-FFF2-40B4-BE49-F238E27FC236}">
              <a16:creationId xmlns:a16="http://schemas.microsoft.com/office/drawing/2014/main" id="{EEA3DA9E-0861-49AD-9F4D-1F1063FCF784}"/>
            </a:ext>
          </a:extLst>
        </xdr:cNvPr>
        <xdr:cNvSpPr/>
      </xdr:nvSpPr>
      <xdr:spPr bwMode="auto">
        <a:xfrm>
          <a:off x="7486650" y="533400"/>
          <a:ext cx="267746" cy="257726"/>
        </a:xfrm>
        <a:prstGeom prst="flowChartTerminator">
          <a:avLst/>
        </a:prstGeom>
        <a:solidFill>
          <a:srgbClr val="FFC000"/>
        </a:solidFill>
        <a:ln w="19050">
          <a:solidFill>
            <a:schemeClr val="bg1">
              <a:lumMod val="50000"/>
            </a:schemeClr>
          </a:solidFill>
          <a:headEnd type="none" w="med" len="med"/>
          <a:tailEnd type="none" w="med" len="med"/>
        </a:ln>
        <a:extLst/>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10</xdr:col>
      <xdr:colOff>613410</xdr:colOff>
      <xdr:row>2</xdr:row>
      <xdr:rowOff>47625</xdr:rowOff>
    </xdr:from>
    <xdr:to>
      <xdr:col>10</xdr:col>
      <xdr:colOff>910555</xdr:colOff>
      <xdr:row>2</xdr:row>
      <xdr:rowOff>305351</xdr:rowOff>
    </xdr:to>
    <xdr:sp macro="[0]!HistoricalAVG" textlink="">
      <xdr:nvSpPr>
        <xdr:cNvPr id="11" name="Flowchart: Terminator 10">
          <a:extLst>
            <a:ext uri="{FF2B5EF4-FFF2-40B4-BE49-F238E27FC236}">
              <a16:creationId xmlns:a16="http://schemas.microsoft.com/office/drawing/2014/main" id="{C205F57E-28D5-4AAA-957D-DA89B4F60B21}"/>
            </a:ext>
          </a:extLst>
        </xdr:cNvPr>
        <xdr:cNvSpPr/>
      </xdr:nvSpPr>
      <xdr:spPr bwMode="auto">
        <a:xfrm>
          <a:off x="8343900" y="542925"/>
          <a:ext cx="267746" cy="257726"/>
        </a:xfrm>
        <a:prstGeom prst="flowChartTerminator">
          <a:avLst/>
        </a:prstGeom>
        <a:solidFill>
          <a:srgbClr val="FFC000"/>
        </a:solidFill>
        <a:ln w="19050">
          <a:solidFill>
            <a:schemeClr val="bg1">
              <a:lumMod val="50000"/>
            </a:schemeClr>
          </a:solidFill>
          <a:headEnd type="none" w="med" len="med"/>
          <a:tailEnd type="none" w="med" len="med"/>
        </a:ln>
        <a:extLst/>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513483</xdr:colOff>
      <xdr:row>16</xdr:row>
      <xdr:rowOff>87803</xdr:rowOff>
    </xdr:from>
    <xdr:to>
      <xdr:col>3</xdr:col>
      <xdr:colOff>800433</xdr:colOff>
      <xdr:row>19</xdr:row>
      <xdr:rowOff>89848</xdr:rowOff>
    </xdr:to>
    <xdr:sp macro="" textlink="">
      <xdr:nvSpPr>
        <xdr:cNvPr id="3" name="Down Arrow 2">
          <a:extLst>
            <a:ext uri="{FF2B5EF4-FFF2-40B4-BE49-F238E27FC236}">
              <a16:creationId xmlns:a16="http://schemas.microsoft.com/office/drawing/2014/main" id="{E4D2CBBB-CBB4-4A2E-A4F2-B5D8F58CCDDF}"/>
            </a:ext>
          </a:extLst>
        </xdr:cNvPr>
        <xdr:cNvSpPr/>
      </xdr:nvSpPr>
      <xdr:spPr>
        <a:xfrm>
          <a:off x="3771033" y="2998643"/>
          <a:ext cx="255444" cy="514350"/>
        </a:xfrm>
        <a:prstGeom prst="downArrow">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504478</xdr:colOff>
      <xdr:row>43</xdr:row>
      <xdr:rowOff>77239</xdr:rowOff>
    </xdr:from>
    <xdr:to>
      <xdr:col>3</xdr:col>
      <xdr:colOff>805464</xdr:colOff>
      <xdr:row>46</xdr:row>
      <xdr:rowOff>100074</xdr:rowOff>
    </xdr:to>
    <xdr:sp macro="" textlink="">
      <xdr:nvSpPr>
        <xdr:cNvPr id="4" name="Down Arrow 3">
          <a:extLst>
            <a:ext uri="{FF2B5EF4-FFF2-40B4-BE49-F238E27FC236}">
              <a16:creationId xmlns:a16="http://schemas.microsoft.com/office/drawing/2014/main" id="{492B5502-BF29-4BB5-B401-0813BCA9F0CC}"/>
            </a:ext>
          </a:extLst>
        </xdr:cNvPr>
        <xdr:cNvSpPr/>
      </xdr:nvSpPr>
      <xdr:spPr>
        <a:xfrm>
          <a:off x="3765838" y="8047759"/>
          <a:ext cx="264969" cy="504825"/>
        </a:xfrm>
        <a:prstGeom prst="downArrow">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612023</xdr:colOff>
      <xdr:row>70</xdr:row>
      <xdr:rowOff>99926</xdr:rowOff>
    </xdr:from>
    <xdr:to>
      <xdr:col>3</xdr:col>
      <xdr:colOff>909049</xdr:colOff>
      <xdr:row>73</xdr:row>
      <xdr:rowOff>101885</xdr:rowOff>
    </xdr:to>
    <xdr:sp macro="" textlink="">
      <xdr:nvSpPr>
        <xdr:cNvPr id="5" name="Down Arrow 4">
          <a:extLst>
            <a:ext uri="{FF2B5EF4-FFF2-40B4-BE49-F238E27FC236}">
              <a16:creationId xmlns:a16="http://schemas.microsoft.com/office/drawing/2014/main" id="{E26C9349-1935-40B7-ABEF-78C7D7DF53C4}"/>
            </a:ext>
          </a:extLst>
        </xdr:cNvPr>
        <xdr:cNvSpPr/>
      </xdr:nvSpPr>
      <xdr:spPr>
        <a:xfrm>
          <a:off x="3861953" y="12859616"/>
          <a:ext cx="264969" cy="495300"/>
        </a:xfrm>
        <a:prstGeom prst="downArrow">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589163</xdr:colOff>
      <xdr:row>98</xdr:row>
      <xdr:rowOff>101831</xdr:rowOff>
    </xdr:from>
    <xdr:to>
      <xdr:col>3</xdr:col>
      <xdr:colOff>897491</xdr:colOff>
      <xdr:row>101</xdr:row>
      <xdr:rowOff>109506</xdr:rowOff>
    </xdr:to>
    <xdr:sp macro="" textlink="">
      <xdr:nvSpPr>
        <xdr:cNvPr id="6" name="Down Arrow 4">
          <a:extLst>
            <a:ext uri="{FF2B5EF4-FFF2-40B4-BE49-F238E27FC236}">
              <a16:creationId xmlns:a16="http://schemas.microsoft.com/office/drawing/2014/main" id="{71F71D11-B2C1-4D34-A462-47AD96D38199}"/>
            </a:ext>
          </a:extLst>
        </xdr:cNvPr>
        <xdr:cNvSpPr/>
      </xdr:nvSpPr>
      <xdr:spPr>
        <a:xfrm>
          <a:off x="3842903" y="17698316"/>
          <a:ext cx="264969" cy="495300"/>
        </a:xfrm>
        <a:prstGeom prst="downArrow">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16</xdr:row>
      <xdr:rowOff>4762</xdr:rowOff>
    </xdr:from>
    <xdr:to>
      <xdr:col>14</xdr:col>
      <xdr:colOff>640314</xdr:colOff>
      <xdr:row>16</xdr:row>
      <xdr:rowOff>6667</xdr:rowOff>
    </xdr:to>
    <xdr:cxnSp macro="">
      <xdr:nvCxnSpPr>
        <xdr:cNvPr id="2" name="Straight Connector 1">
          <a:extLst>
            <a:ext uri="{FF2B5EF4-FFF2-40B4-BE49-F238E27FC236}">
              <a16:creationId xmlns:a16="http://schemas.microsoft.com/office/drawing/2014/main" id="{F08124CF-6D9A-4A61-AE23-9A301DBEFC71}"/>
            </a:ext>
          </a:extLst>
        </xdr:cNvPr>
        <xdr:cNvCxnSpPr/>
      </xdr:nvCxnSpPr>
      <xdr:spPr>
        <a:xfrm flipV="1">
          <a:off x="7000875" y="7448550"/>
          <a:ext cx="1562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xdr:colOff>
      <xdr:row>15</xdr:row>
      <xdr:rowOff>7620</xdr:rowOff>
    </xdr:from>
    <xdr:to>
      <xdr:col>18</xdr:col>
      <xdr:colOff>320040</xdr:colOff>
      <xdr:row>47</xdr:row>
      <xdr:rowOff>76200</xdr:rowOff>
    </xdr:to>
    <xdr:graphicFrame macro="">
      <xdr:nvGraphicFramePr>
        <xdr:cNvPr id="1271824" name="Chart 1">
          <a:extLst>
            <a:ext uri="{FF2B5EF4-FFF2-40B4-BE49-F238E27FC236}">
              <a16:creationId xmlns:a16="http://schemas.microsoft.com/office/drawing/2014/main" id="{21D5A34B-5C21-4761-B24A-C5711A7DA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4" tint="0.59999389629810485"/>
  </sheetPr>
  <dimension ref="A1:AG159"/>
  <sheetViews>
    <sheetView showGridLines="0" topLeftCell="A61" zoomScale="90" zoomScaleNormal="90" workbookViewId="0">
      <selection activeCell="A110" sqref="A110"/>
    </sheetView>
  </sheetViews>
  <sheetFormatPr defaultColWidth="9.33203125" defaultRowHeight="12.75" x14ac:dyDescent="0.2"/>
  <cols>
    <col min="1" max="1" width="44" style="147" customWidth="1"/>
    <col min="2" max="2" width="15.83203125" style="236" customWidth="1"/>
    <col min="3" max="3" width="10.33203125" style="236" customWidth="1"/>
    <col min="4" max="4" width="4.5" style="236" customWidth="1"/>
    <col min="5" max="7" width="16.33203125" style="148" customWidth="1"/>
    <col min="8" max="29" width="16.33203125" style="147" customWidth="1"/>
    <col min="30" max="16384" width="9.33203125" style="147"/>
  </cols>
  <sheetData>
    <row r="1" spans="1:23" x14ac:dyDescent="0.2">
      <c r="E1" s="147"/>
      <c r="F1" s="147"/>
      <c r="G1" s="147"/>
    </row>
    <row r="2" spans="1:23" ht="13.5" thickBot="1" x14ac:dyDescent="0.25">
      <c r="E2" s="147"/>
      <c r="F2" s="147"/>
      <c r="G2" s="147"/>
    </row>
    <row r="3" spans="1:23" s="234" customFormat="1" ht="16.5" thickTop="1" x14ac:dyDescent="0.2">
      <c r="A3" s="757" t="s">
        <v>57</v>
      </c>
      <c r="B3" s="758"/>
      <c r="C3" s="758"/>
      <c r="D3" s="237"/>
      <c r="E3" s="757" t="s">
        <v>94</v>
      </c>
      <c r="F3" s="758"/>
      <c r="G3" s="758"/>
      <c r="H3" s="758"/>
      <c r="I3" s="758"/>
      <c r="J3" s="758"/>
      <c r="K3" s="758"/>
      <c r="L3" s="758"/>
      <c r="M3" s="758"/>
      <c r="N3" s="758"/>
      <c r="O3" s="758"/>
      <c r="P3" s="758"/>
      <c r="Q3" s="758"/>
      <c r="R3" s="758"/>
      <c r="S3" s="758"/>
      <c r="T3" s="758"/>
      <c r="U3" s="758"/>
      <c r="V3" s="758"/>
      <c r="W3" s="758"/>
    </row>
    <row r="4" spans="1:23" ht="33.75" x14ac:dyDescent="0.2">
      <c r="A4" s="245" t="s">
        <v>56</v>
      </c>
      <c r="B4" s="761" t="s">
        <v>186</v>
      </c>
      <c r="C4" s="762"/>
      <c r="E4" s="226"/>
      <c r="F4" s="226" t="str">
        <f>'Input - Customer Data'!A13</f>
        <v>Residential</v>
      </c>
      <c r="G4" s="226"/>
      <c r="H4" s="226" t="str">
        <f>'Input - Customer Data'!A14</f>
        <v>General Service &lt; 50 kW</v>
      </c>
      <c r="I4" s="226"/>
      <c r="J4" s="226" t="str">
        <f>'Input - Customer Data'!A15</f>
        <v>General Service &gt; 50 to 2999 kW</v>
      </c>
      <c r="K4" s="226"/>
      <c r="L4" s="226" t="str">
        <f>'Input - Customer Data'!A16</f>
        <v>General Service &gt; 3000 to 4999 kW</v>
      </c>
      <c r="M4" s="226"/>
      <c r="N4" s="226" t="str">
        <f>'Input - Customer Data'!A17</f>
        <v>USL</v>
      </c>
      <c r="O4" s="226"/>
      <c r="P4" s="226" t="str">
        <f>'Input - Customer Data'!A18</f>
        <v>Sentinel</v>
      </c>
      <c r="Q4" s="226"/>
      <c r="R4" s="226" t="str">
        <f>'Input - Customer Data'!A19</f>
        <v>Street Lighting</v>
      </c>
      <c r="S4" s="226"/>
      <c r="T4" s="226" t="str">
        <f>'Input - Customer Data'!A20</f>
        <v>other</v>
      </c>
      <c r="U4" s="226"/>
      <c r="V4" s="226" t="str">
        <f>'Input - Customer Data'!A21</f>
        <v>other</v>
      </c>
      <c r="W4" s="226"/>
    </row>
    <row r="5" spans="1:23" ht="24.75" customHeight="1" x14ac:dyDescent="0.2">
      <c r="A5" s="245" t="s">
        <v>55</v>
      </c>
      <c r="B5" s="759" t="s">
        <v>187</v>
      </c>
      <c r="C5" s="760"/>
      <c r="E5" s="226" t="s">
        <v>93</v>
      </c>
      <c r="F5" s="226" t="s">
        <v>92</v>
      </c>
      <c r="G5" s="226" t="s">
        <v>91</v>
      </c>
      <c r="H5" s="226" t="s">
        <v>92</v>
      </c>
      <c r="I5" s="226" t="s">
        <v>91</v>
      </c>
      <c r="J5" s="226" t="s">
        <v>92</v>
      </c>
      <c r="K5" s="226" t="s">
        <v>91</v>
      </c>
      <c r="L5" s="226" t="s">
        <v>92</v>
      </c>
      <c r="M5" s="226" t="s">
        <v>91</v>
      </c>
      <c r="N5" s="226" t="s">
        <v>92</v>
      </c>
      <c r="O5" s="226" t="s">
        <v>91</v>
      </c>
      <c r="P5" s="226" t="s">
        <v>92</v>
      </c>
      <c r="Q5" s="226" t="s">
        <v>91</v>
      </c>
      <c r="R5" s="226" t="s">
        <v>92</v>
      </c>
      <c r="S5" s="226" t="s">
        <v>91</v>
      </c>
      <c r="T5" s="226" t="s">
        <v>92</v>
      </c>
      <c r="U5" s="226" t="s">
        <v>91</v>
      </c>
      <c r="V5" s="226" t="s">
        <v>92</v>
      </c>
      <c r="W5" s="226" t="s">
        <v>91</v>
      </c>
    </row>
    <row r="6" spans="1:23" x14ac:dyDescent="0.2">
      <c r="A6" s="246" t="s">
        <v>54</v>
      </c>
      <c r="B6" s="759">
        <v>2017</v>
      </c>
      <c r="C6" s="760"/>
      <c r="D6" s="243"/>
      <c r="E6" s="374">
        <f>'Input - Customer Data'!B7-10</f>
        <v>2008</v>
      </c>
      <c r="F6" s="425">
        <f>AVERAGE($H$32,$H$43)</f>
        <v>5537</v>
      </c>
      <c r="G6" s="152"/>
      <c r="H6" s="425">
        <f>AVERAGE($J$32,$J$43)</f>
        <v>678.5</v>
      </c>
      <c r="I6" s="152"/>
      <c r="J6" s="425">
        <f>AVERAGE($M$32,$M$43)</f>
        <v>57</v>
      </c>
      <c r="K6" s="152"/>
      <c r="L6" s="425">
        <f>AVERAGE($P$32,$P$43)</f>
        <v>1</v>
      </c>
      <c r="M6" s="152"/>
      <c r="N6" s="425">
        <f>AVERAGE($R$32,$R$43)</f>
        <v>2</v>
      </c>
      <c r="O6" s="152"/>
      <c r="P6" s="425">
        <f>AVERAGE($U$32,$U$43)</f>
        <v>31</v>
      </c>
      <c r="Q6" s="152"/>
      <c r="R6" s="425">
        <f>AVERAGE($X$32,$X$43)</f>
        <v>1658</v>
      </c>
      <c r="S6" s="152"/>
      <c r="T6" s="425" t="e">
        <f>AVERAGE('Input - Customer Data'!AB32,'Input - Customer Data'!AB43)</f>
        <v>#DIV/0!</v>
      </c>
      <c r="U6" s="152"/>
      <c r="V6" s="425" t="e">
        <f>AVERAGE('Input - Customer Data'!AD32,'Input - Customer Data'!AD43)</f>
        <v>#DIV/0!</v>
      </c>
      <c r="W6" s="152"/>
    </row>
    <row r="7" spans="1:23" x14ac:dyDescent="0.2">
      <c r="A7" s="246" t="s">
        <v>53</v>
      </c>
      <c r="B7" s="759">
        <v>2018</v>
      </c>
      <c r="C7" s="760"/>
      <c r="D7" s="244"/>
      <c r="E7" s="374">
        <f>'Input - Customer Data'!B7-9</f>
        <v>2009</v>
      </c>
      <c r="F7" s="425">
        <f>AVERAGE($H$44,$H$55)</f>
        <v>5584</v>
      </c>
      <c r="G7" s="163">
        <f>F7/F6</f>
        <v>1.0084883510926494</v>
      </c>
      <c r="H7" s="425">
        <f>AVERAGE($J$44,$J$55)</f>
        <v>693.5</v>
      </c>
      <c r="I7" s="163">
        <f>H7/H6</f>
        <v>1.0221075902726602</v>
      </c>
      <c r="J7" s="425">
        <f>AVERAGE($M$44,$M$55)</f>
        <v>60.5</v>
      </c>
      <c r="K7" s="163">
        <f t="shared" ref="K7:K13" si="0">J7/J6</f>
        <v>1.0614035087719298</v>
      </c>
      <c r="L7" s="425">
        <f>AVERAGE($P$44,$P$55)</f>
        <v>1</v>
      </c>
      <c r="M7" s="163">
        <f t="shared" ref="M7:M14" si="1">L7/L6</f>
        <v>1</v>
      </c>
      <c r="N7" s="425">
        <f>AVERAGE($R$44,$R$55)</f>
        <v>2</v>
      </c>
      <c r="O7" s="163">
        <f t="shared" ref="O7:O14" si="2">N7/N6</f>
        <v>1</v>
      </c>
      <c r="P7" s="425">
        <f>AVERAGE($U$44,$U$55)</f>
        <v>31</v>
      </c>
      <c r="Q7" s="163">
        <f t="shared" ref="Q7:Q13" si="3">P7/P6</f>
        <v>1</v>
      </c>
      <c r="R7" s="425">
        <f>AVERAGE($X$44,$X$55)</f>
        <v>1658</v>
      </c>
      <c r="S7" s="163">
        <f>R7/R6</f>
        <v>1</v>
      </c>
      <c r="T7" s="425" t="e">
        <f>AVERAGE('Input - Customer Data'!AB44,'Input - Customer Data'!AB55)</f>
        <v>#DIV/0!</v>
      </c>
      <c r="U7" s="163" t="e">
        <f t="shared" ref="U7:U14" si="4">T7/T6</f>
        <v>#DIV/0!</v>
      </c>
      <c r="V7" s="425" t="e">
        <f>AVERAGE('Input - Customer Data'!AD44,'Input - Customer Data'!AD55)</f>
        <v>#DIV/0!</v>
      </c>
      <c r="W7" s="163" t="e">
        <f t="shared" ref="W7:W14" si="5">V7/V6</f>
        <v>#DIV/0!</v>
      </c>
    </row>
    <row r="8" spans="1:23" x14ac:dyDescent="0.2">
      <c r="A8" s="246" t="s">
        <v>52</v>
      </c>
      <c r="B8" s="759">
        <v>2014</v>
      </c>
      <c r="C8" s="760"/>
      <c r="D8" s="241"/>
      <c r="E8" s="374">
        <f>'Input - Customer Data'!B7-8</f>
        <v>2010</v>
      </c>
      <c r="F8" s="425">
        <f>AVERAGE($H$56,$H$67)</f>
        <v>5647</v>
      </c>
      <c r="G8" s="163">
        <f t="shared" ref="G8:G13" si="6">F8/F7</f>
        <v>1.0112822349570201</v>
      </c>
      <c r="H8" s="425">
        <f>AVERAGE($J$56,$J$67)</f>
        <v>703.5</v>
      </c>
      <c r="I8" s="163">
        <f t="shared" ref="I8:I14" si="7">H8/H7</f>
        <v>1.0144196106705119</v>
      </c>
      <c r="J8" s="425">
        <f>AVERAGE($M$56,$M$67)</f>
        <v>62</v>
      </c>
      <c r="K8" s="163">
        <f t="shared" si="0"/>
        <v>1.024793388429752</v>
      </c>
      <c r="L8" s="425">
        <f>AVERAGE($P$56,$P$67)</f>
        <v>1</v>
      </c>
      <c r="M8" s="163">
        <f t="shared" si="1"/>
        <v>1</v>
      </c>
      <c r="N8" s="425">
        <f>AVERAGE($R$56,$R$67)</f>
        <v>4</v>
      </c>
      <c r="O8" s="163">
        <f t="shared" si="2"/>
        <v>2</v>
      </c>
      <c r="P8" s="425">
        <f>AVERAGE($U$56,$U$67)</f>
        <v>31</v>
      </c>
      <c r="Q8" s="163">
        <f t="shared" si="3"/>
        <v>1</v>
      </c>
      <c r="R8" s="425">
        <f>AVERAGE($X$56,$X$67)</f>
        <v>1680</v>
      </c>
      <c r="S8" s="163">
        <f t="shared" ref="S8:S14" si="8">R8/R7</f>
        <v>1.0132689987937273</v>
      </c>
      <c r="T8" s="425" t="e">
        <f>AVERAGE('Input - Customer Data'!AB56,'Input - Customer Data'!AB67)</f>
        <v>#DIV/0!</v>
      </c>
      <c r="U8" s="163" t="e">
        <f t="shared" si="4"/>
        <v>#DIV/0!</v>
      </c>
      <c r="V8" s="425" t="e">
        <f>AVERAGE('Input - Customer Data'!AD56,'Input - Customer Data'!AD67)</f>
        <v>#DIV/0!</v>
      </c>
      <c r="W8" s="163" t="e">
        <f t="shared" si="5"/>
        <v>#DIV/0!</v>
      </c>
    </row>
    <row r="9" spans="1:23" x14ac:dyDescent="0.2">
      <c r="D9" s="241"/>
      <c r="E9" s="374">
        <f>'Input - Customer Data'!B7-7</f>
        <v>2011</v>
      </c>
      <c r="F9" s="425">
        <f>AVERAGE($H$68,$H$79)</f>
        <v>5709</v>
      </c>
      <c r="G9" s="163">
        <f t="shared" si="6"/>
        <v>1.0109792810341773</v>
      </c>
      <c r="H9" s="425">
        <f>AVERAGE($J$68,$J$79)</f>
        <v>708.5</v>
      </c>
      <c r="I9" s="163">
        <f t="shared" si="7"/>
        <v>1.0071073205401564</v>
      </c>
      <c r="J9" s="425">
        <f>AVERAGE($M$68,$M$79)</f>
        <v>60.5</v>
      </c>
      <c r="K9" s="163">
        <f t="shared" si="0"/>
        <v>0.97580645161290325</v>
      </c>
      <c r="L9" s="425">
        <f>AVERAGE($P$68,$P$79)</f>
        <v>1</v>
      </c>
      <c r="M9" s="163">
        <f t="shared" si="1"/>
        <v>1</v>
      </c>
      <c r="N9" s="425">
        <f>AVERAGE($R$68,$R$79)</f>
        <v>6</v>
      </c>
      <c r="O9" s="163">
        <f t="shared" si="2"/>
        <v>1.5</v>
      </c>
      <c r="P9" s="425">
        <f>AVERAGE($U$68,$U$79)</f>
        <v>31</v>
      </c>
      <c r="Q9" s="163">
        <f t="shared" si="3"/>
        <v>1</v>
      </c>
      <c r="R9" s="425">
        <f>AVERAGE($X$68,$X$79)</f>
        <v>1687</v>
      </c>
      <c r="S9" s="163">
        <f t="shared" si="8"/>
        <v>1.0041666666666667</v>
      </c>
      <c r="T9" s="425" t="e">
        <f>AVERAGE('Input - Customer Data'!AB68,'Input - Customer Data'!AB79)</f>
        <v>#DIV/0!</v>
      </c>
      <c r="U9" s="163" t="e">
        <f t="shared" si="4"/>
        <v>#DIV/0!</v>
      </c>
      <c r="V9" s="425" t="e">
        <f>AVERAGE('Input - Customer Data'!AD68,'Input - Customer Data'!AD79)</f>
        <v>#DIV/0!</v>
      </c>
      <c r="W9" s="163" t="e">
        <f t="shared" si="5"/>
        <v>#DIV/0!</v>
      </c>
    </row>
    <row r="10" spans="1:23" ht="13.5" thickBot="1" x14ac:dyDescent="0.25">
      <c r="D10" s="241"/>
      <c r="E10" s="374">
        <f>'Input - Customer Data'!B7-6</f>
        <v>2012</v>
      </c>
      <c r="F10" s="425">
        <f>AVERAGE($H$80,$H$91)</f>
        <v>5805</v>
      </c>
      <c r="G10" s="163">
        <f>F10/F9</f>
        <v>1.0168155543878088</v>
      </c>
      <c r="H10" s="425">
        <f>AVERAGE($J$80,$J$91)</f>
        <v>707.5</v>
      </c>
      <c r="I10" s="163">
        <f t="shared" si="7"/>
        <v>0.99858856739590685</v>
      </c>
      <c r="J10" s="425">
        <f>AVERAGE($M$80,$M$91)</f>
        <v>59.5</v>
      </c>
      <c r="K10" s="163">
        <f t="shared" si="0"/>
        <v>0.98347107438016534</v>
      </c>
      <c r="L10" s="425">
        <f>AVERAGE($P$80,$P$91)</f>
        <v>1</v>
      </c>
      <c r="M10" s="163">
        <f t="shared" si="1"/>
        <v>1</v>
      </c>
      <c r="N10" s="425">
        <f>AVERAGE($R$80,$R$91)</f>
        <v>9.5</v>
      </c>
      <c r="O10" s="163">
        <f t="shared" si="2"/>
        <v>1.5833333333333333</v>
      </c>
      <c r="P10" s="425">
        <f>AVERAGE($U$80,$U$91)</f>
        <v>29</v>
      </c>
      <c r="Q10" s="163">
        <f>P10/P9</f>
        <v>0.93548387096774188</v>
      </c>
      <c r="R10" s="425">
        <f>AVERAGE($X$80,$X$91)</f>
        <v>1688</v>
      </c>
      <c r="S10" s="163">
        <f t="shared" si="8"/>
        <v>1.000592768227623</v>
      </c>
      <c r="T10" s="425" t="e">
        <f>AVERAGE('Input - Customer Data'!AB80,'Input - Customer Data'!AB91)</f>
        <v>#DIV/0!</v>
      </c>
      <c r="U10" s="163" t="e">
        <f t="shared" si="4"/>
        <v>#DIV/0!</v>
      </c>
      <c r="V10" s="425" t="e">
        <f>AVERAGE('Input - Customer Data'!AD80,'Input - Customer Data'!AD91)</f>
        <v>#DIV/0!</v>
      </c>
      <c r="W10" s="163" t="e">
        <f t="shared" si="5"/>
        <v>#DIV/0!</v>
      </c>
    </row>
    <row r="11" spans="1:23" ht="16.5" thickTop="1" x14ac:dyDescent="0.2">
      <c r="A11" s="267" t="s">
        <v>66</v>
      </c>
      <c r="B11" s="268"/>
      <c r="E11" s="374">
        <f>'Input - Customer Data'!B7-5</f>
        <v>2013</v>
      </c>
      <c r="F11" s="425">
        <f>AVERAGE($H$92,$H$103)</f>
        <v>5911.5</v>
      </c>
      <c r="G11" s="163">
        <f t="shared" si="6"/>
        <v>1.0183462532299741</v>
      </c>
      <c r="H11" s="425">
        <f>AVERAGE($J$92,$J$103)</f>
        <v>711</v>
      </c>
      <c r="I11" s="163">
        <f t="shared" si="7"/>
        <v>1.004946996466431</v>
      </c>
      <c r="J11" s="425">
        <f>AVERAGE($M$92,$M$103)</f>
        <v>57</v>
      </c>
      <c r="K11" s="163">
        <f t="shared" si="0"/>
        <v>0.95798319327731096</v>
      </c>
      <c r="L11" s="425">
        <f>AVERAGE($P$92,$P$103)</f>
        <v>1</v>
      </c>
      <c r="M11" s="163">
        <f t="shared" si="1"/>
        <v>1</v>
      </c>
      <c r="N11" s="425">
        <f>AVERAGE($R$92,$R$103)</f>
        <v>13</v>
      </c>
      <c r="O11" s="163">
        <f t="shared" si="2"/>
        <v>1.368421052631579</v>
      </c>
      <c r="P11" s="425">
        <f>AVERAGE($U$92,$U$103)</f>
        <v>31</v>
      </c>
      <c r="Q11" s="163">
        <f t="shared" si="3"/>
        <v>1.0689655172413792</v>
      </c>
      <c r="R11" s="425">
        <f>AVERAGE($X$92,$X$103)</f>
        <v>1696</v>
      </c>
      <c r="S11" s="163">
        <f t="shared" si="8"/>
        <v>1.0047393364928909</v>
      </c>
      <c r="T11" s="425" t="e">
        <f>AVERAGE('Input - Customer Data'!AB92,'Input - Customer Data'!AB97)</f>
        <v>#DIV/0!</v>
      </c>
      <c r="U11" s="163" t="e">
        <f t="shared" si="4"/>
        <v>#DIV/0!</v>
      </c>
      <c r="V11" s="425" t="e">
        <f>AVERAGE('Input - Customer Data'!AD92,'Input - Customer Data'!AD97)</f>
        <v>#DIV/0!</v>
      </c>
      <c r="W11" s="163" t="e">
        <f t="shared" si="5"/>
        <v>#DIV/0!</v>
      </c>
    </row>
    <row r="12" spans="1:23" x14ac:dyDescent="0.2">
      <c r="A12" s="269" t="s">
        <v>65</v>
      </c>
      <c r="B12" s="270"/>
      <c r="E12" s="374">
        <f>'Input - Customer Data'!B7-4</f>
        <v>2014</v>
      </c>
      <c r="F12" s="425">
        <f>AVERAGE($H$104,$H$115)</f>
        <v>5946.5</v>
      </c>
      <c r="G12" s="163">
        <f t="shared" si="6"/>
        <v>1.0059206631142688</v>
      </c>
      <c r="H12" s="425">
        <f>AVERAGE($J$104,$J$115)</f>
        <v>715</v>
      </c>
      <c r="I12" s="163">
        <f t="shared" si="7"/>
        <v>1.0056258790436006</v>
      </c>
      <c r="J12" s="425">
        <f>AVERAGE($M$104,$M$115)</f>
        <v>56.5</v>
      </c>
      <c r="K12" s="163">
        <f t="shared" si="0"/>
        <v>0.99122807017543857</v>
      </c>
      <c r="L12" s="425">
        <f>AVERAGE($P$104,$P$115)</f>
        <v>1</v>
      </c>
      <c r="M12" s="163">
        <f t="shared" si="1"/>
        <v>1</v>
      </c>
      <c r="N12" s="425">
        <f>AVERAGE($R$104,$R$115)</f>
        <v>13</v>
      </c>
      <c r="O12" s="163">
        <f t="shared" si="2"/>
        <v>1</v>
      </c>
      <c r="P12" s="425">
        <f>AVERAGE($U$104,$U$115)</f>
        <v>31</v>
      </c>
      <c r="Q12" s="163">
        <f t="shared" si="3"/>
        <v>1</v>
      </c>
      <c r="R12" s="425">
        <f>AVERAGE($X$104,$X$115)</f>
        <v>1705</v>
      </c>
      <c r="S12" s="163">
        <f t="shared" si="8"/>
        <v>1.0053066037735849</v>
      </c>
      <c r="T12" s="425" t="e">
        <f>AVERAGE('Input - Customer Data'!AB104,'Input - Customer Data'!AB115)</f>
        <v>#DIV/0!</v>
      </c>
      <c r="U12" s="163" t="e">
        <f t="shared" si="4"/>
        <v>#DIV/0!</v>
      </c>
      <c r="V12" s="425" t="e">
        <f>AVERAGE('Input - Customer Data'!AD104,'Input - Customer Data'!AD115)</f>
        <v>#DIV/0!</v>
      </c>
      <c r="W12" s="163" t="e">
        <f t="shared" si="5"/>
        <v>#DIV/0!</v>
      </c>
    </row>
    <row r="13" spans="1:23" x14ac:dyDescent="0.2">
      <c r="A13" s="422" t="s">
        <v>64</v>
      </c>
      <c r="B13" s="423"/>
      <c r="E13" s="374">
        <f>'Input - Customer Data'!B7-3</f>
        <v>2015</v>
      </c>
      <c r="F13" s="425">
        <f>AVERAGE($H$116,$H$127)</f>
        <v>5961</v>
      </c>
      <c r="G13" s="163">
        <f t="shared" si="6"/>
        <v>1.0024384091482386</v>
      </c>
      <c r="H13" s="425">
        <f>AVERAGE($J$116,$J$127)</f>
        <v>730</v>
      </c>
      <c r="I13" s="163">
        <f t="shared" si="7"/>
        <v>1.020979020979021</v>
      </c>
      <c r="J13" s="425">
        <f>AVERAGE($M$116,$M$127)</f>
        <v>52</v>
      </c>
      <c r="K13" s="163">
        <f t="shared" si="0"/>
        <v>0.92035398230088494</v>
      </c>
      <c r="L13" s="425">
        <f>AVERAGE($P$116,$P$127)</f>
        <v>1</v>
      </c>
      <c r="M13" s="163">
        <f t="shared" si="1"/>
        <v>1</v>
      </c>
      <c r="N13" s="425">
        <f>AVERAGE($R$116,$R$127)</f>
        <v>13</v>
      </c>
      <c r="O13" s="163">
        <f t="shared" si="2"/>
        <v>1</v>
      </c>
      <c r="P13" s="425">
        <f>AVERAGE($U$116,$U$127)</f>
        <v>31</v>
      </c>
      <c r="Q13" s="163">
        <f t="shared" si="3"/>
        <v>1</v>
      </c>
      <c r="R13" s="425">
        <f>AVERAGE($X$116,$X$127)</f>
        <v>1706.5</v>
      </c>
      <c r="S13" s="163">
        <f t="shared" si="8"/>
        <v>1.0008797653958945</v>
      </c>
      <c r="T13" s="425" t="e">
        <f>AVERAGE('Input - Customer Data'!AB116,'Input - Customer Data'!AB127)</f>
        <v>#DIV/0!</v>
      </c>
      <c r="U13" s="163" t="e">
        <f t="shared" si="4"/>
        <v>#DIV/0!</v>
      </c>
      <c r="V13" s="425" t="e">
        <f>AVERAGE('Input - Customer Data'!AD116,'Input - Customer Data'!AD127)</f>
        <v>#DIV/0!</v>
      </c>
      <c r="W13" s="163" t="e">
        <f t="shared" si="5"/>
        <v>#DIV/0!</v>
      </c>
    </row>
    <row r="14" spans="1:23" x14ac:dyDescent="0.2">
      <c r="A14" s="422" t="s">
        <v>63</v>
      </c>
      <c r="B14" s="423"/>
      <c r="C14" s="238"/>
      <c r="E14" s="374">
        <f>'Input - Customer Data'!B7-2</f>
        <v>2016</v>
      </c>
      <c r="F14" s="425">
        <f>AVERAGE($H$128,$H$139)</f>
        <v>5988.5</v>
      </c>
      <c r="G14" s="163">
        <f>F14/F13</f>
        <v>1.0046133199127663</v>
      </c>
      <c r="H14" s="425">
        <f>AVERAGE($J$128,$J$139)</f>
        <v>741.5</v>
      </c>
      <c r="I14" s="163">
        <f t="shared" si="7"/>
        <v>1.0157534246575342</v>
      </c>
      <c r="J14" s="425">
        <f>AVERAGE($M$128,$M$139)</f>
        <v>47.5</v>
      </c>
      <c r="K14" s="163">
        <f>J14/J13</f>
        <v>0.91346153846153844</v>
      </c>
      <c r="L14" s="425">
        <f>AVERAGE($P$128,$P$139)</f>
        <v>1</v>
      </c>
      <c r="M14" s="163">
        <f t="shared" si="1"/>
        <v>1</v>
      </c>
      <c r="N14" s="425">
        <f>AVERAGE($R$128,$R$139)</f>
        <v>13</v>
      </c>
      <c r="O14" s="163">
        <f t="shared" si="2"/>
        <v>1</v>
      </c>
      <c r="P14" s="425">
        <f>AVERAGE($U$128,$U$139)</f>
        <v>29</v>
      </c>
      <c r="Q14" s="163">
        <f>P14/P13</f>
        <v>0.93548387096774188</v>
      </c>
      <c r="R14" s="425">
        <f>AVERAGE($X$128,$X$139)</f>
        <v>1704.5</v>
      </c>
      <c r="S14" s="163">
        <f t="shared" si="8"/>
        <v>0.99882801054790504</v>
      </c>
      <c r="T14" s="425" t="e">
        <f>AVERAGE('Input - Customer Data'!AB128,'Input - Customer Data'!AB139)</f>
        <v>#DIV/0!</v>
      </c>
      <c r="U14" s="163" t="e">
        <f t="shared" si="4"/>
        <v>#DIV/0!</v>
      </c>
      <c r="V14" s="425" t="e">
        <f>AVERAGE('Input - Customer Data'!AD128,'Input - Customer Data'!AD139)</f>
        <v>#DIV/0!</v>
      </c>
      <c r="W14" s="163" t="e">
        <f t="shared" si="5"/>
        <v>#DIV/0!</v>
      </c>
    </row>
    <row r="15" spans="1:23" ht="15.75" x14ac:dyDescent="0.2">
      <c r="A15" s="422" t="s">
        <v>197</v>
      </c>
      <c r="B15" s="423"/>
      <c r="C15" s="247"/>
      <c r="E15" s="374"/>
      <c r="F15" s="425"/>
      <c r="G15" s="163"/>
      <c r="H15" s="425"/>
      <c r="I15" s="163"/>
      <c r="J15" s="425"/>
      <c r="K15" s="163"/>
      <c r="L15" s="425"/>
      <c r="M15" s="163"/>
      <c r="N15" s="425"/>
      <c r="O15" s="163"/>
      <c r="P15" s="425"/>
      <c r="Q15" s="163"/>
      <c r="R15" s="425"/>
      <c r="S15" s="163"/>
      <c r="T15" s="425"/>
      <c r="U15" s="163"/>
      <c r="V15" s="425"/>
      <c r="W15" s="163"/>
    </row>
    <row r="16" spans="1:23" x14ac:dyDescent="0.2">
      <c r="A16" s="422" t="s">
        <v>198</v>
      </c>
      <c r="B16" s="423"/>
      <c r="C16" s="238"/>
      <c r="E16" s="222"/>
      <c r="F16" s="162"/>
      <c r="G16" s="158"/>
      <c r="H16" s="162"/>
      <c r="I16" s="158"/>
      <c r="J16" s="162"/>
      <c r="K16" s="158"/>
      <c r="L16" s="162"/>
      <c r="M16" s="158"/>
      <c r="N16" s="162"/>
      <c r="O16" s="158"/>
      <c r="P16" s="162"/>
      <c r="Q16" s="158"/>
      <c r="R16" s="162"/>
      <c r="S16" s="158"/>
      <c r="T16" s="162"/>
      <c r="U16" s="158"/>
      <c r="V16" s="162"/>
      <c r="W16" s="158"/>
    </row>
    <row r="17" spans="1:33" x14ac:dyDescent="0.2">
      <c r="A17" s="422" t="s">
        <v>188</v>
      </c>
      <c r="B17" s="423"/>
      <c r="C17" s="238"/>
      <c r="E17" s="223" t="s">
        <v>90</v>
      </c>
      <c r="F17" s="162"/>
      <c r="G17" s="161">
        <f>GEOMEAN(G7:G15)</f>
        <v>1.0098466783294016</v>
      </c>
      <c r="H17" s="160"/>
      <c r="I17" s="161">
        <f>GEOMEAN(I7:I15)</f>
        <v>1.011160655860682</v>
      </c>
      <c r="J17" s="160"/>
      <c r="K17" s="161">
        <f>GEOMEAN(K7:K15)</f>
        <v>0.97746754023055249</v>
      </c>
      <c r="L17" s="160"/>
      <c r="M17" s="161">
        <f>GEOMEAN(M7:M15)</f>
        <v>1</v>
      </c>
      <c r="N17" s="160"/>
      <c r="O17" s="161">
        <f>GEOMEAN(O7:O15)</f>
        <v>1.263613245335522</v>
      </c>
      <c r="P17" s="160"/>
      <c r="Q17" s="161">
        <f>GEOMEAN(Q7:Q15)</f>
        <v>0.99169822979498845</v>
      </c>
      <c r="R17" s="160"/>
      <c r="S17" s="161">
        <f>GEOMEAN(S7:S15)</f>
        <v>1.0034634534274056</v>
      </c>
      <c r="T17" s="160"/>
      <c r="U17" s="161" t="e">
        <f>GEOMEAN(U7:U15)</f>
        <v>#DIV/0!</v>
      </c>
      <c r="V17" s="160"/>
      <c r="W17" s="161" t="e">
        <f>GEOMEAN(W7:W15)</f>
        <v>#DIV/0!</v>
      </c>
    </row>
    <row r="18" spans="1:33" x14ac:dyDescent="0.2">
      <c r="A18" s="422" t="s">
        <v>194</v>
      </c>
      <c r="B18" s="424"/>
      <c r="C18" s="238"/>
      <c r="E18" s="223"/>
      <c r="F18" s="162"/>
      <c r="G18" s="161"/>
      <c r="H18" s="160"/>
      <c r="I18" s="161"/>
      <c r="J18" s="160"/>
      <c r="K18" s="161"/>
      <c r="L18" s="160"/>
      <c r="M18" s="161"/>
      <c r="N18" s="160"/>
      <c r="O18" s="161"/>
      <c r="P18" s="160"/>
      <c r="Q18" s="161"/>
      <c r="R18" s="160"/>
      <c r="S18" s="161"/>
      <c r="T18" s="160"/>
      <c r="U18" s="161"/>
      <c r="V18" s="160"/>
      <c r="W18" s="161"/>
    </row>
    <row r="19" spans="1:33" x14ac:dyDescent="0.2">
      <c r="A19" s="753" t="s">
        <v>60</v>
      </c>
      <c r="B19" s="754"/>
      <c r="C19" s="235"/>
      <c r="E19" s="374">
        <f>'Input - Customer Data'!B6</f>
        <v>2017</v>
      </c>
      <c r="F19" s="375">
        <f>F14*G17</f>
        <v>6047.4668331756211</v>
      </c>
      <c r="G19" s="158" t="s">
        <v>59</v>
      </c>
      <c r="H19" s="375">
        <f>H14*I17</f>
        <v>749.77562632069578</v>
      </c>
      <c r="I19" s="152"/>
      <c r="J19" s="375">
        <f>J14*K17</f>
        <v>46.429708160951243</v>
      </c>
      <c r="K19" s="152"/>
      <c r="L19" s="375">
        <f>L14*M17</f>
        <v>1</v>
      </c>
      <c r="M19" s="152"/>
      <c r="N19" s="375">
        <f>N14*O17</f>
        <v>16.426972189361784</v>
      </c>
      <c r="O19" s="152"/>
      <c r="P19" s="375">
        <f>P14*Q17</f>
        <v>28.759248664054667</v>
      </c>
      <c r="Q19" s="152"/>
      <c r="R19" s="375">
        <f>R14*S17</f>
        <v>1710.403456367013</v>
      </c>
      <c r="S19" s="152"/>
      <c r="T19" s="375" t="e">
        <f>T14*U17</f>
        <v>#DIV/0!</v>
      </c>
      <c r="U19" s="152"/>
      <c r="V19" s="375" t="e">
        <f>V14*W17</f>
        <v>#DIV/0!</v>
      </c>
      <c r="W19" s="152"/>
    </row>
    <row r="20" spans="1:33" x14ac:dyDescent="0.2">
      <c r="A20" s="753" t="s">
        <v>58</v>
      </c>
      <c r="B20" s="754"/>
      <c r="C20" s="235"/>
      <c r="E20" s="374">
        <f>'Input - Customer Data'!B7</f>
        <v>2018</v>
      </c>
      <c r="F20" s="375">
        <f>F19*G17</f>
        <v>6107.0142937896262</v>
      </c>
      <c r="G20" s="158" t="s">
        <v>59</v>
      </c>
      <c r="H20" s="375">
        <f>H19*I17</f>
        <v>758.14361405878844</v>
      </c>
      <c r="I20" s="152"/>
      <c r="J20" s="375">
        <f>J19*K17</f>
        <v>45.383532629707418</v>
      </c>
      <c r="K20" s="152"/>
      <c r="L20" s="375">
        <f>L19*M17</f>
        <v>1</v>
      </c>
      <c r="M20" s="152"/>
      <c r="N20" s="375">
        <f>N19*O17</f>
        <v>20.757339639235809</v>
      </c>
      <c r="O20" s="152"/>
      <c r="P20" s="375">
        <f>P19*Q17</f>
        <v>28.520495990376901</v>
      </c>
      <c r="Q20" s="152"/>
      <c r="R20" s="375">
        <f>R19*S17</f>
        <v>1716.3273590802137</v>
      </c>
      <c r="S20" s="152"/>
      <c r="T20" s="375" t="e">
        <f>T19*U17</f>
        <v>#DIV/0!</v>
      </c>
      <c r="U20" s="152"/>
      <c r="V20" s="375" t="e">
        <f>V19*W17</f>
        <v>#DIV/0!</v>
      </c>
      <c r="W20" s="152"/>
    </row>
    <row r="21" spans="1:33" x14ac:dyDescent="0.2">
      <c r="A21" s="753" t="s">
        <v>58</v>
      </c>
      <c r="B21" s="754"/>
      <c r="C21" s="235"/>
      <c r="E21" s="144"/>
      <c r="F21" s="144"/>
      <c r="G21" s="144"/>
      <c r="H21" s="144"/>
      <c r="I21" s="144"/>
      <c r="J21" s="144"/>
      <c r="K21" s="144"/>
      <c r="L21" s="144"/>
      <c r="M21" s="144"/>
      <c r="N21" s="144"/>
      <c r="O21" s="144"/>
      <c r="P21" s="144"/>
      <c r="Q21" s="144"/>
      <c r="R21" s="144"/>
      <c r="S21" s="144"/>
      <c r="T21" s="144"/>
      <c r="U21" s="144"/>
      <c r="V21" s="144"/>
      <c r="W21" s="144"/>
    </row>
    <row r="22" spans="1:33" ht="13.5" thickBot="1" x14ac:dyDescent="0.25">
      <c r="A22" s="753"/>
      <c r="B22" s="754"/>
      <c r="C22" s="235"/>
      <c r="E22" s="159" t="s">
        <v>89</v>
      </c>
      <c r="F22" s="144"/>
      <c r="G22" s="144"/>
      <c r="H22" s="144"/>
      <c r="I22" s="144"/>
      <c r="J22" s="144"/>
      <c r="K22" s="144"/>
      <c r="L22" s="144"/>
      <c r="M22" s="144"/>
      <c r="N22" s="144"/>
      <c r="O22" s="144"/>
      <c r="P22" s="144"/>
      <c r="Q22" s="144"/>
      <c r="R22" s="144"/>
      <c r="S22" s="144"/>
      <c r="T22" s="144"/>
      <c r="U22" s="144"/>
      <c r="V22" s="144"/>
      <c r="W22" s="144"/>
    </row>
    <row r="23" spans="1:33" ht="15.75" x14ac:dyDescent="0.2">
      <c r="A23" s="753"/>
      <c r="B23" s="754"/>
      <c r="C23" s="235"/>
      <c r="E23" s="732" t="s">
        <v>88</v>
      </c>
      <c r="F23" s="733"/>
      <c r="G23" s="733"/>
      <c r="H23" s="733"/>
      <c r="I23" s="733"/>
      <c r="J23" s="733"/>
      <c r="K23" s="733"/>
      <c r="L23" s="733"/>
      <c r="M23" s="733"/>
      <c r="N23" s="733"/>
      <c r="O23" s="733"/>
      <c r="P23" s="733"/>
      <c r="Q23" s="733"/>
      <c r="R23" s="733"/>
      <c r="S23" s="733"/>
      <c r="T23" s="733"/>
      <c r="U23" s="733"/>
      <c r="V23" s="733"/>
      <c r="W23" s="733"/>
    </row>
    <row r="24" spans="1:33" s="234" customFormat="1" x14ac:dyDescent="0.2">
      <c r="A24" s="753"/>
      <c r="B24" s="754"/>
      <c r="C24" s="235"/>
      <c r="D24" s="237"/>
      <c r="E24" s="227">
        <f>'Input - Customer Data'!B6</f>
        <v>2017</v>
      </c>
      <c r="F24" s="335">
        <f>F19</f>
        <v>6047.4668331756211</v>
      </c>
      <c r="G24" s="158">
        <f>F24/F14</f>
        <v>1.0098466783294016</v>
      </c>
      <c r="H24" s="335">
        <f>H19</f>
        <v>749.77562632069578</v>
      </c>
      <c r="I24" s="158">
        <f>H24/H14</f>
        <v>1.011160655860682</v>
      </c>
      <c r="J24" s="335">
        <f>J19</f>
        <v>46.429708160951243</v>
      </c>
      <c r="K24" s="158">
        <f>J24/J14</f>
        <v>0.97746754023055249</v>
      </c>
      <c r="L24" s="335">
        <f>L19</f>
        <v>1</v>
      </c>
      <c r="M24" s="158">
        <f>L24/L14</f>
        <v>1</v>
      </c>
      <c r="N24" s="335">
        <v>13</v>
      </c>
      <c r="O24" s="158">
        <f>N24/N14</f>
        <v>1</v>
      </c>
      <c r="P24" s="335">
        <f>P19</f>
        <v>28.759248664054667</v>
      </c>
      <c r="Q24" s="158">
        <f>P24/P14</f>
        <v>0.99169822979498856</v>
      </c>
      <c r="R24" s="224">
        <f>R19</f>
        <v>1710.403456367013</v>
      </c>
      <c r="S24" s="158">
        <f>R24/R14</f>
        <v>1.0034634534274056</v>
      </c>
      <c r="T24" s="224" t="e">
        <f>T19</f>
        <v>#DIV/0!</v>
      </c>
      <c r="U24" s="158" t="e">
        <f>T24/T14</f>
        <v>#DIV/0!</v>
      </c>
      <c r="V24" s="224" t="e">
        <f>V19</f>
        <v>#DIV/0!</v>
      </c>
      <c r="W24" s="158" t="e">
        <f>V24/V15</f>
        <v>#DIV/0!</v>
      </c>
    </row>
    <row r="25" spans="1:33" x14ac:dyDescent="0.2">
      <c r="A25" s="753"/>
      <c r="B25" s="754"/>
      <c r="C25" s="235"/>
      <c r="E25" s="227">
        <f>'Input - Customer Data'!B7</f>
        <v>2018</v>
      </c>
      <c r="F25" s="335">
        <f>F20</f>
        <v>6107.0142937896262</v>
      </c>
      <c r="G25" s="158">
        <f>F25/F24</f>
        <v>1.0098466783294016</v>
      </c>
      <c r="H25" s="335">
        <f>H20</f>
        <v>758.14361405878844</v>
      </c>
      <c r="I25" s="158">
        <f>H25/H24</f>
        <v>1.011160655860682</v>
      </c>
      <c r="J25" s="335">
        <f>J20</f>
        <v>45.383532629707418</v>
      </c>
      <c r="K25" s="158">
        <f>J25/J24</f>
        <v>0.97746754023055238</v>
      </c>
      <c r="L25" s="335">
        <f>L20</f>
        <v>1</v>
      </c>
      <c r="M25" s="158">
        <f>L25/L24</f>
        <v>1</v>
      </c>
      <c r="N25" s="335">
        <v>13</v>
      </c>
      <c r="O25" s="158">
        <f>N25/N24</f>
        <v>1</v>
      </c>
      <c r="P25" s="335">
        <f>P20</f>
        <v>28.520495990376901</v>
      </c>
      <c r="Q25" s="158">
        <f>P25/P24</f>
        <v>0.99169822979498845</v>
      </c>
      <c r="R25" s="224">
        <f>R20</f>
        <v>1716.3273590802137</v>
      </c>
      <c r="S25" s="158">
        <f>R25/R24</f>
        <v>1.0034634534274056</v>
      </c>
      <c r="T25" s="224" t="e">
        <f>T20</f>
        <v>#DIV/0!</v>
      </c>
      <c r="U25" s="158" t="e">
        <f>T25/T24</f>
        <v>#DIV/0!</v>
      </c>
      <c r="V25" s="224" t="e">
        <f>V20</f>
        <v>#DIV/0!</v>
      </c>
      <c r="W25" s="158" t="e">
        <f>V25/V24</f>
        <v>#DIV/0!</v>
      </c>
    </row>
    <row r="26" spans="1:33" x14ac:dyDescent="0.2">
      <c r="C26" s="235"/>
      <c r="E26" s="144"/>
      <c r="F26" s="144"/>
      <c r="G26" s="144"/>
      <c r="H26" s="144"/>
      <c r="I26" s="144"/>
      <c r="J26" s="144"/>
      <c r="K26" s="144"/>
      <c r="L26" s="144"/>
      <c r="M26" s="144"/>
      <c r="N26" s="144"/>
      <c r="O26" s="144"/>
      <c r="P26" s="144"/>
      <c r="Q26" s="144"/>
      <c r="R26" s="144"/>
      <c r="S26" s="144"/>
      <c r="T26" s="144"/>
      <c r="U26" s="144"/>
    </row>
    <row r="27" spans="1:33" ht="13.5" thickBot="1" x14ac:dyDescent="0.25">
      <c r="A27" s="144" t="s">
        <v>174</v>
      </c>
      <c r="B27" s="168"/>
      <c r="C27" s="168"/>
      <c r="D27" s="242" t="s">
        <v>59</v>
      </c>
    </row>
    <row r="28" spans="1:33" ht="16.5" thickTop="1" x14ac:dyDescent="0.2">
      <c r="A28" s="232" t="s">
        <v>130</v>
      </c>
      <c r="B28" s="233"/>
      <c r="E28" s="755" t="s">
        <v>134</v>
      </c>
      <c r="F28" s="756"/>
      <c r="G28" s="328" t="s">
        <v>133</v>
      </c>
      <c r="H28" s="329"/>
      <c r="I28" s="329"/>
      <c r="J28" s="329"/>
      <c r="K28" s="329"/>
      <c r="L28" s="329"/>
      <c r="M28" s="329"/>
      <c r="N28" s="329"/>
      <c r="O28" s="329"/>
      <c r="P28" s="329"/>
      <c r="Q28" s="329"/>
      <c r="R28" s="329"/>
      <c r="S28" s="329"/>
      <c r="T28" s="329"/>
      <c r="U28" s="329"/>
      <c r="V28" s="329"/>
      <c r="W28" s="329"/>
      <c r="X28" s="329"/>
      <c r="Y28" s="329"/>
      <c r="Z28" s="329"/>
      <c r="AA28" s="329"/>
      <c r="AB28" s="329"/>
      <c r="AC28" s="329"/>
    </row>
    <row r="29" spans="1:33" s="234" customFormat="1" ht="22.5" x14ac:dyDescent="0.2">
      <c r="A29" s="226"/>
      <c r="B29" s="226"/>
      <c r="C29" s="229"/>
      <c r="D29" s="229"/>
      <c r="E29" s="334" t="s">
        <v>132</v>
      </c>
      <c r="F29" s="334"/>
      <c r="G29" s="746" t="str">
        <f>'Input - Customer Data'!A13</f>
        <v>Residential</v>
      </c>
      <c r="H29" s="747"/>
      <c r="I29" s="746" t="str">
        <f>'Input - Customer Data'!A14</f>
        <v>General Service &lt; 50 kW</v>
      </c>
      <c r="J29" s="747"/>
      <c r="K29" s="748" t="str">
        <f>'Input - Customer Data'!A15</f>
        <v>General Service &gt; 50 to 2999 kW</v>
      </c>
      <c r="L29" s="749"/>
      <c r="M29" s="750"/>
      <c r="N29" s="748" t="str">
        <f>'Input - Customer Data'!A16</f>
        <v>General Service &gt; 3000 to 4999 kW</v>
      </c>
      <c r="O29" s="749"/>
      <c r="P29" s="750"/>
      <c r="Q29" s="746" t="s">
        <v>189</v>
      </c>
      <c r="R29" s="747"/>
      <c r="S29" s="748" t="s">
        <v>179</v>
      </c>
      <c r="T29" s="749"/>
      <c r="U29" s="750"/>
      <c r="V29" s="751" t="str">
        <f>'Input - Customer Data'!A19</f>
        <v>Street Lighting</v>
      </c>
      <c r="W29" s="752"/>
      <c r="X29" s="747"/>
      <c r="Y29" s="334"/>
      <c r="Z29" s="334"/>
      <c r="AA29" s="334" t="str">
        <f>'Input - Customer Data'!A20</f>
        <v>other</v>
      </c>
      <c r="AB29" s="334"/>
      <c r="AC29" s="334" t="str">
        <f>'Input - Customer Data'!A21</f>
        <v>other</v>
      </c>
      <c r="AD29" s="334"/>
      <c r="AE29" s="334">
        <f>'Input - Customer Data'!A22</f>
        <v>0</v>
      </c>
      <c r="AF29" s="334"/>
    </row>
    <row r="30" spans="1:33" ht="45" x14ac:dyDescent="0.2">
      <c r="A30" s="226"/>
      <c r="B30" s="226"/>
      <c r="C30" s="225"/>
      <c r="D30" s="225"/>
      <c r="E30" s="334"/>
      <c r="F30" s="334"/>
      <c r="G30" s="428" t="s">
        <v>81</v>
      </c>
      <c r="H30" s="428" t="s">
        <v>131</v>
      </c>
      <c r="I30" s="428" t="s">
        <v>81</v>
      </c>
      <c r="J30" s="428" t="s">
        <v>131</v>
      </c>
      <c r="K30" s="428" t="s">
        <v>81</v>
      </c>
      <c r="L30" s="428" t="s">
        <v>82</v>
      </c>
      <c r="M30" s="428" t="s">
        <v>131</v>
      </c>
      <c r="N30" s="428" t="s">
        <v>81</v>
      </c>
      <c r="O30" s="428" t="s">
        <v>82</v>
      </c>
      <c r="P30" s="428" t="s">
        <v>131</v>
      </c>
      <c r="Q30" s="428" t="s">
        <v>81</v>
      </c>
      <c r="R30" s="428" t="s">
        <v>190</v>
      </c>
      <c r="S30" s="428" t="s">
        <v>81</v>
      </c>
      <c r="T30" s="428" t="s">
        <v>82</v>
      </c>
      <c r="U30" s="428" t="s">
        <v>131</v>
      </c>
      <c r="V30" s="447" t="s">
        <v>81</v>
      </c>
      <c r="W30" s="428" t="s">
        <v>82</v>
      </c>
      <c r="X30" s="428" t="s">
        <v>131</v>
      </c>
      <c r="Y30" s="334" t="s">
        <v>81</v>
      </c>
      <c r="Z30" s="334" t="s">
        <v>131</v>
      </c>
      <c r="AA30" s="334" t="s">
        <v>81</v>
      </c>
      <c r="AB30" s="334" t="s">
        <v>131</v>
      </c>
      <c r="AC30" s="334" t="s">
        <v>81</v>
      </c>
      <c r="AD30" s="334" t="s">
        <v>131</v>
      </c>
      <c r="AE30" s="334" t="s">
        <v>81</v>
      </c>
      <c r="AF30" s="334" t="s">
        <v>131</v>
      </c>
    </row>
    <row r="31" spans="1:33" x14ac:dyDescent="0.2">
      <c r="A31" s="152" t="s">
        <v>80</v>
      </c>
      <c r="B31" s="152" t="s">
        <v>79</v>
      </c>
      <c r="C31" s="225"/>
      <c r="D31" s="225"/>
      <c r="E31" s="330"/>
      <c r="F31" s="331"/>
      <c r="G31" s="429"/>
      <c r="H31" s="430"/>
      <c r="I31" s="429"/>
      <c r="J31" s="430"/>
      <c r="K31" s="429"/>
      <c r="L31" s="152"/>
      <c r="M31" s="430"/>
      <c r="N31" s="429"/>
      <c r="O31" s="152"/>
      <c r="P31" s="430"/>
      <c r="Q31" s="430"/>
      <c r="R31" s="430"/>
      <c r="S31" s="430"/>
      <c r="T31" s="430"/>
      <c r="U31" s="430"/>
      <c r="V31" s="430"/>
      <c r="W31" s="429"/>
      <c r="X31" s="430"/>
      <c r="Y31" s="332"/>
      <c r="Z31" s="333"/>
      <c r="AA31" s="332"/>
      <c r="AB31" s="333"/>
      <c r="AC31" s="332"/>
      <c r="AD31" s="333"/>
      <c r="AE31" s="332"/>
      <c r="AF31" s="333"/>
    </row>
    <row r="32" spans="1:33" x14ac:dyDescent="0.2">
      <c r="A32" s="372">
        <f>'Input - Customer Data'!$B$7-10</f>
        <v>2008</v>
      </c>
      <c r="B32" s="228" t="s">
        <v>78</v>
      </c>
      <c r="C32" s="373">
        <f>H32+J32+M32+P32+R32+U32+X32</f>
        <v>7931</v>
      </c>
      <c r="E32" s="425">
        <v>15082878.82</v>
      </c>
      <c r="F32" s="448"/>
      <c r="G32" s="425">
        <v>4418801.34</v>
      </c>
      <c r="H32" s="425">
        <v>5512</v>
      </c>
      <c r="I32" s="425">
        <v>1782904.35</v>
      </c>
      <c r="J32" s="425">
        <v>672</v>
      </c>
      <c r="K32" s="425">
        <v>7516255.3200000003</v>
      </c>
      <c r="L32" s="425">
        <v>12935.880000000001</v>
      </c>
      <c r="M32" s="425">
        <v>55</v>
      </c>
      <c r="N32" s="425">
        <v>2029219.2</v>
      </c>
      <c r="O32" s="425">
        <v>3696</v>
      </c>
      <c r="P32" s="425">
        <v>1</v>
      </c>
      <c r="Q32" s="425">
        <v>31901.17</v>
      </c>
      <c r="R32" s="425">
        <v>2</v>
      </c>
      <c r="S32" s="425">
        <v>3870.66</v>
      </c>
      <c r="T32" s="425">
        <v>10.75</v>
      </c>
      <c r="U32" s="425">
        <v>31</v>
      </c>
      <c r="V32" s="446">
        <v>121801.79</v>
      </c>
      <c r="W32" s="425">
        <v>262</v>
      </c>
      <c r="X32" s="425">
        <v>1658</v>
      </c>
      <c r="Y32" s="425"/>
      <c r="Z32" s="425"/>
      <c r="AA32" s="425"/>
      <c r="AB32" s="425"/>
      <c r="AC32" s="425"/>
      <c r="AD32" s="425"/>
      <c r="AE32" s="425"/>
      <c r="AF32" s="425"/>
      <c r="AG32" s="425">
        <f t="shared" ref="AG32:AG63" si="9">H32+J32+M32+1+1</f>
        <v>6241</v>
      </c>
    </row>
    <row r="33" spans="1:33" x14ac:dyDescent="0.2">
      <c r="A33" s="372">
        <f>'Input - Customer Data'!$B$7-10</f>
        <v>2008</v>
      </c>
      <c r="B33" s="228" t="s">
        <v>77</v>
      </c>
      <c r="C33" s="373">
        <f t="shared" ref="C33:C96" si="10">H33+J33+M33+P33+R33+U33+X33</f>
        <v>7942</v>
      </c>
      <c r="E33" s="425">
        <v>14030875.92</v>
      </c>
      <c r="F33" s="448"/>
      <c r="G33" s="425">
        <v>4060650.67</v>
      </c>
      <c r="H33" s="425">
        <v>5522</v>
      </c>
      <c r="I33" s="425">
        <v>1698774.01</v>
      </c>
      <c r="J33" s="425">
        <v>673</v>
      </c>
      <c r="K33" s="425">
        <v>5022592.38</v>
      </c>
      <c r="L33" s="425">
        <v>13445.48</v>
      </c>
      <c r="M33" s="425">
        <v>55</v>
      </c>
      <c r="N33" s="425">
        <v>1910893.2</v>
      </c>
      <c r="O33" s="425">
        <v>3892.8</v>
      </c>
      <c r="P33" s="425">
        <v>1</v>
      </c>
      <c r="Q33" s="425">
        <v>34256.36</v>
      </c>
      <c r="R33" s="425">
        <v>2</v>
      </c>
      <c r="S33" s="425">
        <v>3620.94</v>
      </c>
      <c r="T33" s="425">
        <v>10.06</v>
      </c>
      <c r="U33" s="425">
        <v>31</v>
      </c>
      <c r="V33" s="446">
        <v>110014.52</v>
      </c>
      <c r="W33" s="425">
        <v>262</v>
      </c>
      <c r="X33" s="425">
        <v>1658</v>
      </c>
      <c r="Y33" s="425"/>
      <c r="Z33" s="425"/>
      <c r="AA33" s="425"/>
      <c r="AB33" s="425"/>
      <c r="AC33" s="425"/>
      <c r="AD33" s="425"/>
      <c r="AE33" s="425"/>
      <c r="AF33" s="425"/>
      <c r="AG33" s="425">
        <f t="shared" si="9"/>
        <v>6252</v>
      </c>
    </row>
    <row r="34" spans="1:33" x14ac:dyDescent="0.2">
      <c r="A34" s="372">
        <f>'Input - Customer Data'!$B$7-10</f>
        <v>2008</v>
      </c>
      <c r="B34" s="228" t="s">
        <v>76</v>
      </c>
      <c r="C34" s="373">
        <f t="shared" si="10"/>
        <v>7945</v>
      </c>
      <c r="E34" s="425">
        <v>14321155.43</v>
      </c>
      <c r="F34" s="448"/>
      <c r="G34" s="425">
        <v>3984822.59</v>
      </c>
      <c r="H34" s="425">
        <v>5523</v>
      </c>
      <c r="I34" s="425">
        <v>1590703.78</v>
      </c>
      <c r="J34" s="425">
        <v>676</v>
      </c>
      <c r="K34" s="425">
        <v>5716428.3399999999</v>
      </c>
      <c r="L34" s="425">
        <v>13292</v>
      </c>
      <c r="M34" s="425">
        <v>54</v>
      </c>
      <c r="N34" s="425">
        <v>2029254</v>
      </c>
      <c r="O34" s="425">
        <v>3859.2</v>
      </c>
      <c r="P34" s="425">
        <v>1</v>
      </c>
      <c r="Q34" s="425">
        <v>33715.47</v>
      </c>
      <c r="R34" s="425">
        <v>2</v>
      </c>
      <c r="S34" s="425">
        <v>3870.66</v>
      </c>
      <c r="T34" s="425">
        <v>10.75</v>
      </c>
      <c r="U34" s="425">
        <v>31</v>
      </c>
      <c r="V34" s="446">
        <v>121801.79</v>
      </c>
      <c r="W34" s="425">
        <v>262</v>
      </c>
      <c r="X34" s="425">
        <v>1658</v>
      </c>
      <c r="Y34" s="425"/>
      <c r="Z34" s="425"/>
      <c r="AA34" s="425"/>
      <c r="AB34" s="425"/>
      <c r="AC34" s="425"/>
      <c r="AD34" s="425"/>
      <c r="AE34" s="425"/>
      <c r="AF34" s="425"/>
      <c r="AG34" s="425">
        <f t="shared" si="9"/>
        <v>6255</v>
      </c>
    </row>
    <row r="35" spans="1:33" x14ac:dyDescent="0.2">
      <c r="A35" s="372">
        <f>'Input - Customer Data'!$B$7-10</f>
        <v>2008</v>
      </c>
      <c r="B35" s="228" t="s">
        <v>75</v>
      </c>
      <c r="C35" s="373">
        <f t="shared" si="10"/>
        <v>7946</v>
      </c>
      <c r="E35" s="425">
        <v>12696080.17</v>
      </c>
      <c r="F35" s="448"/>
      <c r="G35" s="425">
        <v>3265381.5</v>
      </c>
      <c r="H35" s="425">
        <v>5524</v>
      </c>
      <c r="I35" s="425">
        <v>1416910.24</v>
      </c>
      <c r="J35" s="425">
        <v>672</v>
      </c>
      <c r="K35" s="425">
        <v>5351170.6399999997</v>
      </c>
      <c r="L35" s="425">
        <v>13659.4</v>
      </c>
      <c r="M35" s="425">
        <v>58</v>
      </c>
      <c r="N35" s="425">
        <v>1847287.2</v>
      </c>
      <c r="O35" s="425">
        <v>3873.6</v>
      </c>
      <c r="P35" s="425">
        <v>1</v>
      </c>
      <c r="Q35" s="425">
        <v>30328.54</v>
      </c>
      <c r="R35" s="425">
        <v>2</v>
      </c>
      <c r="S35" s="425">
        <v>3745.8</v>
      </c>
      <c r="T35" s="425">
        <v>10.41</v>
      </c>
      <c r="U35" s="425">
        <v>31</v>
      </c>
      <c r="V35" s="446">
        <v>91286.080000000002</v>
      </c>
      <c r="W35" s="425">
        <v>262</v>
      </c>
      <c r="X35" s="425">
        <v>1658</v>
      </c>
      <c r="Y35" s="425"/>
      <c r="Z35" s="425"/>
      <c r="AA35" s="425"/>
      <c r="AB35" s="425"/>
      <c r="AC35" s="425"/>
      <c r="AD35" s="425"/>
      <c r="AE35" s="425"/>
      <c r="AF35" s="425"/>
      <c r="AG35" s="425">
        <f t="shared" si="9"/>
        <v>6256</v>
      </c>
    </row>
    <row r="36" spans="1:33" x14ac:dyDescent="0.2">
      <c r="A36" s="372">
        <f>'Input - Customer Data'!$B$7-10</f>
        <v>2008</v>
      </c>
      <c r="B36" s="228" t="s">
        <v>74</v>
      </c>
      <c r="C36" s="373">
        <f t="shared" si="10"/>
        <v>7952</v>
      </c>
      <c r="E36" s="425">
        <v>12213415.609999999</v>
      </c>
      <c r="F36" s="448"/>
      <c r="G36" s="425">
        <v>3136318.5</v>
      </c>
      <c r="H36" s="425">
        <v>5530</v>
      </c>
      <c r="I36" s="425">
        <v>1495645</v>
      </c>
      <c r="J36" s="425">
        <v>672</v>
      </c>
      <c r="K36" s="425">
        <v>5274780.21</v>
      </c>
      <c r="L36" s="425">
        <v>13863.42</v>
      </c>
      <c r="M36" s="425">
        <v>58</v>
      </c>
      <c r="N36" s="425">
        <v>1600044</v>
      </c>
      <c r="O36" s="425">
        <v>3528</v>
      </c>
      <c r="P36" s="425">
        <v>1</v>
      </c>
      <c r="Q36" s="425">
        <v>36387.89</v>
      </c>
      <c r="R36" s="425">
        <v>2</v>
      </c>
      <c r="S36" s="425">
        <v>3870.66</v>
      </c>
      <c r="T36" s="425">
        <v>10.75</v>
      </c>
      <c r="U36" s="425">
        <v>31</v>
      </c>
      <c r="V36" s="446">
        <v>93381.61</v>
      </c>
      <c r="W36" s="425">
        <v>262</v>
      </c>
      <c r="X36" s="425">
        <v>1658</v>
      </c>
      <c r="Y36" s="425"/>
      <c r="Z36" s="425"/>
      <c r="AA36" s="425"/>
      <c r="AB36" s="425"/>
      <c r="AC36" s="425"/>
      <c r="AD36" s="425"/>
      <c r="AE36" s="425"/>
      <c r="AF36" s="425"/>
      <c r="AG36" s="425">
        <f t="shared" si="9"/>
        <v>6262</v>
      </c>
    </row>
    <row r="37" spans="1:33" x14ac:dyDescent="0.2">
      <c r="A37" s="372">
        <f>'Input - Customer Data'!$B$7-10</f>
        <v>2008</v>
      </c>
      <c r="B37" s="228" t="s">
        <v>73</v>
      </c>
      <c r="C37" s="373">
        <f t="shared" si="10"/>
        <v>7954</v>
      </c>
      <c r="E37" s="425">
        <v>13029843.68</v>
      </c>
      <c r="F37" s="448"/>
      <c r="G37" s="425">
        <v>3313927.88</v>
      </c>
      <c r="H37" s="425">
        <v>5530</v>
      </c>
      <c r="I37" s="425">
        <v>1471144.49</v>
      </c>
      <c r="J37" s="425">
        <v>674</v>
      </c>
      <c r="K37" s="425">
        <v>5489928.6099999994</v>
      </c>
      <c r="L37" s="425">
        <v>14955.619999999999</v>
      </c>
      <c r="M37" s="425">
        <v>58</v>
      </c>
      <c r="N37" s="425">
        <v>1829247.6</v>
      </c>
      <c r="O37" s="425">
        <v>3686.4</v>
      </c>
      <c r="P37" s="425">
        <v>1</v>
      </c>
      <c r="Q37" s="425">
        <v>33156.57</v>
      </c>
      <c r="R37" s="425">
        <v>2</v>
      </c>
      <c r="S37" s="425">
        <v>3745.8</v>
      </c>
      <c r="T37" s="425">
        <v>10.41</v>
      </c>
      <c r="U37" s="425">
        <v>31</v>
      </c>
      <c r="V37" s="446">
        <v>90369.3</v>
      </c>
      <c r="W37" s="425">
        <v>262</v>
      </c>
      <c r="X37" s="425">
        <v>1658</v>
      </c>
      <c r="Y37" s="425"/>
      <c r="Z37" s="425"/>
      <c r="AA37" s="425"/>
      <c r="AB37" s="425"/>
      <c r="AC37" s="425"/>
      <c r="AD37" s="425"/>
      <c r="AE37" s="425"/>
      <c r="AF37" s="425"/>
      <c r="AG37" s="425">
        <f t="shared" si="9"/>
        <v>6264</v>
      </c>
    </row>
    <row r="38" spans="1:33" x14ac:dyDescent="0.2">
      <c r="A38" s="372">
        <f>'Input - Customer Data'!$B$7-10</f>
        <v>2008</v>
      </c>
      <c r="B38" s="228" t="s">
        <v>72</v>
      </c>
      <c r="C38" s="373">
        <f t="shared" si="10"/>
        <v>7962</v>
      </c>
      <c r="E38" s="425">
        <v>13562922.75</v>
      </c>
      <c r="F38" s="448"/>
      <c r="G38" s="425">
        <v>3645282.12</v>
      </c>
      <c r="H38" s="425">
        <v>5537</v>
      </c>
      <c r="I38" s="425">
        <v>1663441.54</v>
      </c>
      <c r="J38" s="425">
        <v>675</v>
      </c>
      <c r="K38" s="425">
        <v>5505551.4299999997</v>
      </c>
      <c r="L38" s="425">
        <v>14242.02</v>
      </c>
      <c r="M38" s="425">
        <v>58</v>
      </c>
      <c r="N38" s="425">
        <v>1823030.4</v>
      </c>
      <c r="O38" s="425">
        <v>3715.2</v>
      </c>
      <c r="P38" s="425">
        <v>1</v>
      </c>
      <c r="Q38" s="425">
        <v>31901.17</v>
      </c>
      <c r="R38" s="425">
        <v>2</v>
      </c>
      <c r="S38" s="425">
        <v>3870.66</v>
      </c>
      <c r="T38" s="425">
        <v>10.75</v>
      </c>
      <c r="U38" s="425">
        <v>31</v>
      </c>
      <c r="V38" s="446">
        <v>71771.41</v>
      </c>
      <c r="W38" s="425">
        <v>262</v>
      </c>
      <c r="X38" s="425">
        <v>1658</v>
      </c>
      <c r="Y38" s="425"/>
      <c r="Z38" s="425"/>
      <c r="AA38" s="425"/>
      <c r="AB38" s="425"/>
      <c r="AC38" s="425"/>
      <c r="AD38" s="425"/>
      <c r="AE38" s="425"/>
      <c r="AF38" s="425"/>
      <c r="AG38" s="425">
        <f t="shared" si="9"/>
        <v>6272</v>
      </c>
    </row>
    <row r="39" spans="1:33" x14ac:dyDescent="0.2">
      <c r="A39" s="372">
        <f>'Input - Customer Data'!$B$7-10</f>
        <v>2008</v>
      </c>
      <c r="B39" s="228" t="s">
        <v>71</v>
      </c>
      <c r="C39" s="373">
        <f t="shared" si="10"/>
        <v>7971</v>
      </c>
      <c r="E39" s="425">
        <v>12738355.33</v>
      </c>
      <c r="F39" s="448"/>
      <c r="G39" s="425">
        <v>3464222.41</v>
      </c>
      <c r="H39" s="425">
        <v>5545</v>
      </c>
      <c r="I39" s="425">
        <v>1675967.26</v>
      </c>
      <c r="J39" s="425">
        <v>676</v>
      </c>
      <c r="K39" s="425">
        <v>5569239.6799999997</v>
      </c>
      <c r="L39" s="425">
        <v>14474.019999999999</v>
      </c>
      <c r="M39" s="425">
        <v>58</v>
      </c>
      <c r="N39" s="425">
        <v>1434222</v>
      </c>
      <c r="O39" s="425">
        <v>3739.2</v>
      </c>
      <c r="P39" s="425">
        <v>1</v>
      </c>
      <c r="Q39" s="425">
        <v>36711.949999999997</v>
      </c>
      <c r="R39" s="425">
        <v>2</v>
      </c>
      <c r="S39" s="425">
        <v>3870.66</v>
      </c>
      <c r="T39" s="425">
        <v>10.75</v>
      </c>
      <c r="U39" s="425">
        <v>31</v>
      </c>
      <c r="V39" s="446">
        <v>71051.070000000007</v>
      </c>
      <c r="W39" s="425">
        <v>262</v>
      </c>
      <c r="X39" s="425">
        <v>1658</v>
      </c>
      <c r="Y39" s="425"/>
      <c r="Z39" s="425"/>
      <c r="AA39" s="425"/>
      <c r="AB39" s="425"/>
      <c r="AC39" s="425"/>
      <c r="AD39" s="425"/>
      <c r="AE39" s="425"/>
      <c r="AF39" s="425"/>
      <c r="AG39" s="425">
        <f t="shared" si="9"/>
        <v>6281</v>
      </c>
    </row>
    <row r="40" spans="1:33" x14ac:dyDescent="0.2">
      <c r="A40" s="372">
        <f>'Input - Customer Data'!$B$7-10</f>
        <v>2008</v>
      </c>
      <c r="B40" s="228" t="s">
        <v>70</v>
      </c>
      <c r="C40" s="373">
        <f t="shared" si="10"/>
        <v>7973</v>
      </c>
      <c r="E40" s="425">
        <v>13005195.66</v>
      </c>
      <c r="F40" s="448"/>
      <c r="G40" s="425">
        <v>3176083.79</v>
      </c>
      <c r="H40" s="425">
        <v>5546</v>
      </c>
      <c r="I40" s="425">
        <v>1529479.42</v>
      </c>
      <c r="J40" s="425">
        <v>676</v>
      </c>
      <c r="K40" s="425">
        <v>5399515.9199999999</v>
      </c>
      <c r="L40" s="425">
        <v>15702.119999999999</v>
      </c>
      <c r="M40" s="425">
        <v>59</v>
      </c>
      <c r="N40" s="425">
        <v>1916119.2</v>
      </c>
      <c r="O40" s="425">
        <v>3849.6</v>
      </c>
      <c r="P40" s="425">
        <v>1</v>
      </c>
      <c r="Q40" s="425">
        <v>32139.21</v>
      </c>
      <c r="R40" s="425">
        <v>2</v>
      </c>
      <c r="S40" s="425">
        <v>3745.8</v>
      </c>
      <c r="T40" s="425">
        <v>10.41</v>
      </c>
      <c r="U40" s="425">
        <v>31</v>
      </c>
      <c r="V40" s="446">
        <v>68759.100000000006</v>
      </c>
      <c r="W40" s="425">
        <v>262</v>
      </c>
      <c r="X40" s="425">
        <v>1658</v>
      </c>
      <c r="Y40" s="425"/>
      <c r="Z40" s="425"/>
      <c r="AA40" s="425"/>
      <c r="AB40" s="425"/>
      <c r="AC40" s="425"/>
      <c r="AD40" s="425"/>
      <c r="AE40" s="425"/>
      <c r="AF40" s="425"/>
      <c r="AG40" s="425">
        <f t="shared" si="9"/>
        <v>6283</v>
      </c>
    </row>
    <row r="41" spans="1:33" x14ac:dyDescent="0.2">
      <c r="A41" s="372">
        <f>'Input - Customer Data'!$B$7-10</f>
        <v>2008</v>
      </c>
      <c r="B41" s="228" t="s">
        <v>69</v>
      </c>
      <c r="C41" s="373">
        <f t="shared" si="10"/>
        <v>7987</v>
      </c>
      <c r="E41" s="425">
        <v>13176115.98</v>
      </c>
      <c r="F41" s="448"/>
      <c r="G41" s="425">
        <v>3393414.05</v>
      </c>
      <c r="H41" s="425">
        <v>5556</v>
      </c>
      <c r="I41" s="425">
        <v>1590667.19</v>
      </c>
      <c r="J41" s="425">
        <v>680</v>
      </c>
      <c r="K41" s="425">
        <v>5552895.1399999997</v>
      </c>
      <c r="L41" s="425">
        <v>13849.24</v>
      </c>
      <c r="M41" s="425">
        <v>59</v>
      </c>
      <c r="N41" s="425">
        <v>1908195.6</v>
      </c>
      <c r="O41" s="425">
        <v>3806.4</v>
      </c>
      <c r="P41" s="425">
        <v>1</v>
      </c>
      <c r="Q41" s="425">
        <v>32561.62</v>
      </c>
      <c r="R41" s="425">
        <v>2</v>
      </c>
      <c r="S41" s="425">
        <v>3870.66</v>
      </c>
      <c r="T41" s="425">
        <v>10.75</v>
      </c>
      <c r="U41" s="425">
        <v>31</v>
      </c>
      <c r="V41" s="446">
        <v>100470.57</v>
      </c>
      <c r="W41" s="425">
        <v>262</v>
      </c>
      <c r="X41" s="425">
        <v>1658</v>
      </c>
      <c r="Y41" s="425"/>
      <c r="Z41" s="425"/>
      <c r="AA41" s="425"/>
      <c r="AB41" s="425"/>
      <c r="AC41" s="425"/>
      <c r="AD41" s="425"/>
      <c r="AE41" s="425"/>
      <c r="AF41" s="425"/>
      <c r="AG41" s="425">
        <f t="shared" si="9"/>
        <v>6297</v>
      </c>
    </row>
    <row r="42" spans="1:33" x14ac:dyDescent="0.2">
      <c r="A42" s="372">
        <f>'Input - Customer Data'!$B$7-10</f>
        <v>2008</v>
      </c>
      <c r="B42" s="228" t="s">
        <v>68</v>
      </c>
      <c r="C42" s="373">
        <f t="shared" si="10"/>
        <v>7992</v>
      </c>
      <c r="E42" s="425">
        <v>13573281.85</v>
      </c>
      <c r="F42" s="448"/>
      <c r="G42" s="425">
        <v>3815770.92</v>
      </c>
      <c r="H42" s="425">
        <v>5559</v>
      </c>
      <c r="I42" s="425">
        <v>1717799.77</v>
      </c>
      <c r="J42" s="425">
        <v>682</v>
      </c>
      <c r="K42" s="425">
        <v>5353309.32</v>
      </c>
      <c r="L42" s="425">
        <v>14121.43</v>
      </c>
      <c r="M42" s="425">
        <v>59</v>
      </c>
      <c r="N42" s="425">
        <v>1918023.6</v>
      </c>
      <c r="O42" s="425">
        <v>4452.8</v>
      </c>
      <c r="P42" s="425">
        <v>1</v>
      </c>
      <c r="Q42" s="425">
        <v>35715.79</v>
      </c>
      <c r="R42" s="425">
        <v>2</v>
      </c>
      <c r="S42" s="425">
        <v>3822.94</v>
      </c>
      <c r="T42" s="425">
        <v>10.62</v>
      </c>
      <c r="U42" s="425">
        <v>31</v>
      </c>
      <c r="V42" s="446">
        <v>98178.6</v>
      </c>
      <c r="W42" s="425">
        <v>262.39999999999998</v>
      </c>
      <c r="X42" s="425">
        <v>1658</v>
      </c>
      <c r="Y42" s="425"/>
      <c r="Z42" s="425"/>
      <c r="AA42" s="425"/>
      <c r="AB42" s="425"/>
      <c r="AC42" s="425"/>
      <c r="AD42" s="425"/>
      <c r="AE42" s="425"/>
      <c r="AF42" s="425"/>
      <c r="AG42" s="425">
        <f t="shared" si="9"/>
        <v>6302</v>
      </c>
    </row>
    <row r="43" spans="1:33" x14ac:dyDescent="0.2">
      <c r="A43" s="372">
        <f>'Input - Customer Data'!$B$7-10</f>
        <v>2008</v>
      </c>
      <c r="B43" s="228" t="s">
        <v>67</v>
      </c>
      <c r="C43" s="373">
        <f t="shared" si="10"/>
        <v>7998</v>
      </c>
      <c r="E43" s="425">
        <v>14286723.92</v>
      </c>
      <c r="F43" s="448"/>
      <c r="G43" s="425">
        <v>4592449.76</v>
      </c>
      <c r="H43" s="425">
        <v>5562</v>
      </c>
      <c r="I43" s="425">
        <v>1965644.99</v>
      </c>
      <c r="J43" s="425">
        <v>685</v>
      </c>
      <c r="K43" s="425">
        <v>5147153.4000000004</v>
      </c>
      <c r="L43" s="425">
        <v>14845.73</v>
      </c>
      <c r="M43" s="425">
        <v>59</v>
      </c>
      <c r="N43" s="425">
        <v>1553581.2</v>
      </c>
      <c r="O43" s="425">
        <v>4056</v>
      </c>
      <c r="P43" s="425">
        <v>1</v>
      </c>
      <c r="Q43" s="425">
        <v>32618.61</v>
      </c>
      <c r="R43" s="425">
        <v>2</v>
      </c>
      <c r="S43" s="425">
        <v>3915.57</v>
      </c>
      <c r="T43" s="425">
        <v>10.88</v>
      </c>
      <c r="U43" s="425">
        <v>31</v>
      </c>
      <c r="V43" s="446">
        <v>101451.22</v>
      </c>
      <c r="W43" s="425">
        <v>261.8</v>
      </c>
      <c r="X43" s="425">
        <v>1658</v>
      </c>
      <c r="Y43" s="425"/>
      <c r="Z43" s="425"/>
      <c r="AA43" s="425"/>
      <c r="AB43" s="425"/>
      <c r="AC43" s="425"/>
      <c r="AD43" s="425"/>
      <c r="AE43" s="425"/>
      <c r="AF43" s="425"/>
      <c r="AG43" s="425">
        <f t="shared" si="9"/>
        <v>6308</v>
      </c>
    </row>
    <row r="44" spans="1:33" x14ac:dyDescent="0.2">
      <c r="A44" s="372">
        <f>'Input - Customer Data'!$B$7-9</f>
        <v>2009</v>
      </c>
      <c r="B44" s="228" t="s">
        <v>78</v>
      </c>
      <c r="C44" s="373">
        <f t="shared" si="10"/>
        <v>8002</v>
      </c>
      <c r="E44" s="425">
        <v>15005142.689999999</v>
      </c>
      <c r="F44" s="448"/>
      <c r="G44" s="425">
        <v>4659637.16</v>
      </c>
      <c r="H44" s="425">
        <v>5565</v>
      </c>
      <c r="I44" s="425">
        <v>2003216.56</v>
      </c>
      <c r="J44" s="425">
        <v>686</v>
      </c>
      <c r="K44" s="425">
        <v>5517120.4900000002</v>
      </c>
      <c r="L44" s="425">
        <v>12961.64</v>
      </c>
      <c r="M44" s="425">
        <v>59</v>
      </c>
      <c r="N44" s="425">
        <v>1850636.4</v>
      </c>
      <c r="O44" s="425">
        <v>3710.4</v>
      </c>
      <c r="P44" s="425">
        <v>1</v>
      </c>
      <c r="Q44" s="425">
        <v>32304.45</v>
      </c>
      <c r="R44" s="425">
        <v>2</v>
      </c>
      <c r="S44" s="425">
        <v>3920.03</v>
      </c>
      <c r="T44" s="425">
        <v>10.89</v>
      </c>
      <c r="U44" s="425">
        <v>31</v>
      </c>
      <c r="V44" s="446">
        <v>121741.34</v>
      </c>
      <c r="W44" s="425">
        <v>261.8</v>
      </c>
      <c r="X44" s="425">
        <v>1658</v>
      </c>
      <c r="Y44" s="425"/>
      <c r="Z44" s="425"/>
      <c r="AA44" s="425"/>
      <c r="AB44" s="425"/>
      <c r="AC44" s="425"/>
      <c r="AD44" s="425"/>
      <c r="AE44" s="425"/>
      <c r="AF44" s="425"/>
      <c r="AG44" s="425">
        <f t="shared" si="9"/>
        <v>6312</v>
      </c>
    </row>
    <row r="45" spans="1:33" x14ac:dyDescent="0.2">
      <c r="A45" s="372">
        <f>'Input - Customer Data'!$B$7-9</f>
        <v>2009</v>
      </c>
      <c r="B45" s="228" t="s">
        <v>77</v>
      </c>
      <c r="C45" s="373">
        <f t="shared" si="10"/>
        <v>8008</v>
      </c>
      <c r="E45" s="425">
        <v>13197883.27</v>
      </c>
      <c r="F45" s="448"/>
      <c r="G45" s="425">
        <v>3956936.76</v>
      </c>
      <c r="H45" s="425">
        <v>5575</v>
      </c>
      <c r="I45" s="425">
        <v>1767918.83</v>
      </c>
      <c r="J45" s="425">
        <v>682</v>
      </c>
      <c r="K45" s="425">
        <v>4983742.6500000004</v>
      </c>
      <c r="L45" s="425">
        <v>13855.14</v>
      </c>
      <c r="M45" s="425">
        <v>59</v>
      </c>
      <c r="N45" s="425">
        <v>1801460.4</v>
      </c>
      <c r="O45" s="425">
        <v>3710.4</v>
      </c>
      <c r="P45" s="425">
        <v>1</v>
      </c>
      <c r="Q45" s="425">
        <v>33178.53</v>
      </c>
      <c r="R45" s="425">
        <v>2</v>
      </c>
      <c r="S45" s="425">
        <v>3624.36</v>
      </c>
      <c r="T45" s="425">
        <v>10.07</v>
      </c>
      <c r="U45" s="425">
        <v>31</v>
      </c>
      <c r="V45" s="446">
        <v>109959.92</v>
      </c>
      <c r="W45" s="425">
        <v>261.8</v>
      </c>
      <c r="X45" s="425">
        <v>1658</v>
      </c>
      <c r="Y45" s="425"/>
      <c r="Z45" s="425"/>
      <c r="AA45" s="425"/>
      <c r="AB45" s="425"/>
      <c r="AC45" s="425"/>
      <c r="AD45" s="425"/>
      <c r="AE45" s="425"/>
      <c r="AF45" s="425"/>
      <c r="AG45" s="425">
        <f t="shared" si="9"/>
        <v>6318</v>
      </c>
    </row>
    <row r="46" spans="1:33" x14ac:dyDescent="0.2">
      <c r="A46" s="372">
        <f>'Input - Customer Data'!$B$7-9</f>
        <v>2009</v>
      </c>
      <c r="B46" s="228" t="s">
        <v>76</v>
      </c>
      <c r="C46" s="373">
        <f t="shared" si="10"/>
        <v>8008</v>
      </c>
      <c r="E46" s="425">
        <v>13841636.359999999</v>
      </c>
      <c r="F46" s="448"/>
      <c r="G46" s="425">
        <v>3902427.11</v>
      </c>
      <c r="H46" s="425">
        <v>5569</v>
      </c>
      <c r="I46" s="425">
        <v>1808272.82</v>
      </c>
      <c r="J46" s="425">
        <v>689</v>
      </c>
      <c r="K46" s="425">
        <v>5208108.6300000008</v>
      </c>
      <c r="L46" s="425">
        <v>15338.239999999998</v>
      </c>
      <c r="M46" s="425">
        <v>58</v>
      </c>
      <c r="N46" s="425">
        <v>1932314.4</v>
      </c>
      <c r="O46" s="425">
        <v>3888</v>
      </c>
      <c r="P46" s="425">
        <v>1</v>
      </c>
      <c r="Q46" s="425">
        <v>33367</v>
      </c>
      <c r="R46" s="425">
        <v>2</v>
      </c>
      <c r="S46" s="425">
        <v>4004.32</v>
      </c>
      <c r="T46" s="425">
        <v>11.12</v>
      </c>
      <c r="U46" s="425">
        <v>31</v>
      </c>
      <c r="V46" s="446">
        <v>121741.34</v>
      </c>
      <c r="W46" s="425">
        <v>261.8</v>
      </c>
      <c r="X46" s="425">
        <v>1658</v>
      </c>
      <c r="Y46" s="425"/>
      <c r="Z46" s="425"/>
      <c r="AA46" s="425"/>
      <c r="AB46" s="425"/>
      <c r="AC46" s="425"/>
      <c r="AD46" s="425"/>
      <c r="AE46" s="425"/>
      <c r="AF46" s="425"/>
      <c r="AG46" s="425">
        <f t="shared" si="9"/>
        <v>6318</v>
      </c>
    </row>
    <row r="47" spans="1:33" x14ac:dyDescent="0.2">
      <c r="A47" s="372">
        <f>'Input - Customer Data'!$B$7-9</f>
        <v>2009</v>
      </c>
      <c r="B47" s="228" t="s">
        <v>75</v>
      </c>
      <c r="C47" s="373">
        <f t="shared" si="10"/>
        <v>8010</v>
      </c>
      <c r="E47" s="425">
        <v>12430879.66</v>
      </c>
      <c r="F47" s="448"/>
      <c r="G47" s="425">
        <v>3337530.47</v>
      </c>
      <c r="H47" s="425">
        <v>5572</v>
      </c>
      <c r="I47" s="425">
        <v>1606433.9100000001</v>
      </c>
      <c r="J47" s="425">
        <v>688</v>
      </c>
      <c r="K47" s="425">
        <v>5059748.74</v>
      </c>
      <c r="L47" s="425">
        <v>12913.64</v>
      </c>
      <c r="M47" s="425">
        <v>58</v>
      </c>
      <c r="N47" s="425">
        <v>1797451.2</v>
      </c>
      <c r="O47" s="425">
        <v>3739.2</v>
      </c>
      <c r="P47" s="425">
        <v>1</v>
      </c>
      <c r="Q47" s="425">
        <v>30969.78</v>
      </c>
      <c r="R47" s="425">
        <v>2</v>
      </c>
      <c r="S47" s="425">
        <v>3879.76</v>
      </c>
      <c r="T47" s="425">
        <v>10.78</v>
      </c>
      <c r="U47" s="425">
        <v>31</v>
      </c>
      <c r="V47" s="446">
        <v>91240.63</v>
      </c>
      <c r="W47" s="425">
        <v>261.8</v>
      </c>
      <c r="X47" s="425">
        <v>1658</v>
      </c>
      <c r="Y47" s="425"/>
      <c r="Z47" s="425"/>
      <c r="AA47" s="425"/>
      <c r="AB47" s="425"/>
      <c r="AC47" s="425"/>
      <c r="AD47" s="425"/>
      <c r="AE47" s="425"/>
      <c r="AF47" s="425"/>
      <c r="AG47" s="425">
        <f t="shared" si="9"/>
        <v>6320</v>
      </c>
    </row>
    <row r="48" spans="1:33" x14ac:dyDescent="0.2">
      <c r="A48" s="372">
        <f>'Input - Customer Data'!$B$7-9</f>
        <v>2009</v>
      </c>
      <c r="B48" s="228" t="s">
        <v>74</v>
      </c>
      <c r="C48" s="373">
        <f t="shared" si="10"/>
        <v>8012</v>
      </c>
      <c r="E48" s="425">
        <v>11568813.369999999</v>
      </c>
      <c r="F48" s="448"/>
      <c r="G48" s="425">
        <v>3100139.5</v>
      </c>
      <c r="H48" s="425">
        <v>5573</v>
      </c>
      <c r="I48" s="425">
        <v>1540599.02</v>
      </c>
      <c r="J48" s="425">
        <v>689</v>
      </c>
      <c r="K48" s="425">
        <v>5014653.33</v>
      </c>
      <c r="L48" s="425">
        <v>14042.949999999999</v>
      </c>
      <c r="M48" s="425">
        <v>58</v>
      </c>
      <c r="N48" s="425">
        <v>1384711.2</v>
      </c>
      <c r="O48" s="425">
        <v>3619.2</v>
      </c>
      <c r="P48" s="425">
        <v>1</v>
      </c>
      <c r="Q48" s="425">
        <v>36259.230000000003</v>
      </c>
      <c r="R48" s="425">
        <v>2</v>
      </c>
      <c r="S48" s="425">
        <v>4013.72</v>
      </c>
      <c r="T48" s="425">
        <v>11.15</v>
      </c>
      <c r="U48" s="425">
        <v>31</v>
      </c>
      <c r="V48" s="446">
        <v>93335.11</v>
      </c>
      <c r="W48" s="425">
        <v>261.8</v>
      </c>
      <c r="X48" s="425">
        <v>1658</v>
      </c>
      <c r="Y48" s="425"/>
      <c r="Z48" s="425"/>
      <c r="AA48" s="425"/>
      <c r="AB48" s="425"/>
      <c r="AC48" s="425"/>
      <c r="AD48" s="425"/>
      <c r="AE48" s="425"/>
      <c r="AF48" s="425"/>
      <c r="AG48" s="425">
        <f t="shared" si="9"/>
        <v>6322</v>
      </c>
    </row>
    <row r="49" spans="1:33" x14ac:dyDescent="0.2">
      <c r="A49" s="372">
        <f>'Input - Customer Data'!$B$7-9</f>
        <v>2009</v>
      </c>
      <c r="B49" s="228" t="s">
        <v>73</v>
      </c>
      <c r="C49" s="373">
        <f t="shared" si="10"/>
        <v>8019</v>
      </c>
      <c r="E49" s="425">
        <v>12161991.470000001</v>
      </c>
      <c r="F49" s="448"/>
      <c r="G49" s="425">
        <v>3144420.6</v>
      </c>
      <c r="H49" s="425">
        <v>5576</v>
      </c>
      <c r="I49" s="425">
        <v>1563837.02</v>
      </c>
      <c r="J49" s="425">
        <v>691</v>
      </c>
      <c r="K49" s="425">
        <v>5096481.6099999994</v>
      </c>
      <c r="L49" s="425">
        <v>14829.4</v>
      </c>
      <c r="M49" s="425">
        <v>60</v>
      </c>
      <c r="N49" s="425">
        <v>1574421.6</v>
      </c>
      <c r="O49" s="425">
        <v>3451.2</v>
      </c>
      <c r="P49" s="425">
        <v>1</v>
      </c>
      <c r="Q49" s="425">
        <v>32175.29</v>
      </c>
      <c r="R49" s="425">
        <v>2</v>
      </c>
      <c r="S49" s="425">
        <v>3874.87</v>
      </c>
      <c r="T49" s="425">
        <v>10.76</v>
      </c>
      <c r="U49" s="425">
        <v>31</v>
      </c>
      <c r="V49" s="446">
        <v>90324.3</v>
      </c>
      <c r="W49" s="425">
        <v>168.4</v>
      </c>
      <c r="X49" s="425">
        <v>1658</v>
      </c>
      <c r="Y49" s="425"/>
      <c r="Z49" s="425"/>
      <c r="AA49" s="425"/>
      <c r="AB49" s="425"/>
      <c r="AC49" s="425"/>
      <c r="AD49" s="425"/>
      <c r="AE49" s="425"/>
      <c r="AF49" s="425"/>
      <c r="AG49" s="425">
        <f t="shared" si="9"/>
        <v>6329</v>
      </c>
    </row>
    <row r="50" spans="1:33" x14ac:dyDescent="0.2">
      <c r="A50" s="372">
        <f>'Input - Customer Data'!$B$7-9</f>
        <v>2009</v>
      </c>
      <c r="B50" s="228" t="s">
        <v>72</v>
      </c>
      <c r="C50" s="373">
        <f t="shared" si="10"/>
        <v>8030</v>
      </c>
      <c r="E50" s="425">
        <v>11877269.390000001</v>
      </c>
      <c r="F50" s="448"/>
      <c r="G50" s="425">
        <v>3308524.3</v>
      </c>
      <c r="H50" s="425">
        <v>5584</v>
      </c>
      <c r="I50" s="425">
        <v>1601643.81</v>
      </c>
      <c r="J50" s="425">
        <v>694</v>
      </c>
      <c r="K50" s="425">
        <v>5015960.82</v>
      </c>
      <c r="L50" s="425">
        <v>13654.599999999999</v>
      </c>
      <c r="M50" s="425">
        <v>60</v>
      </c>
      <c r="N50" s="425">
        <v>1406197.2</v>
      </c>
      <c r="O50" s="425">
        <v>3264</v>
      </c>
      <c r="P50" s="425">
        <v>1</v>
      </c>
      <c r="Q50" s="425">
        <v>32502.78</v>
      </c>
      <c r="R50" s="425">
        <v>2</v>
      </c>
      <c r="S50" s="425">
        <v>4008.13</v>
      </c>
      <c r="T50" s="425">
        <v>11.13</v>
      </c>
      <c r="U50" s="425">
        <v>31</v>
      </c>
      <c r="V50" s="446">
        <v>71735.710000000006</v>
      </c>
      <c r="W50" s="425">
        <v>261.8</v>
      </c>
      <c r="X50" s="425">
        <v>1658</v>
      </c>
      <c r="Y50" s="425"/>
      <c r="Z50" s="425"/>
      <c r="AA50" s="425"/>
      <c r="AB50" s="425"/>
      <c r="AC50" s="425"/>
      <c r="AD50" s="425"/>
      <c r="AE50" s="425"/>
      <c r="AF50" s="425"/>
      <c r="AG50" s="425">
        <f t="shared" si="9"/>
        <v>6340</v>
      </c>
    </row>
    <row r="51" spans="1:33" x14ac:dyDescent="0.2">
      <c r="A51" s="372">
        <f>'Input - Customer Data'!$B$7-9</f>
        <v>2009</v>
      </c>
      <c r="B51" s="228" t="s">
        <v>71</v>
      </c>
      <c r="C51" s="373">
        <f t="shared" si="10"/>
        <v>8033</v>
      </c>
      <c r="E51" s="425">
        <v>12331632.6</v>
      </c>
      <c r="F51" s="448"/>
      <c r="G51" s="425">
        <v>3579621.75</v>
      </c>
      <c r="H51" s="425">
        <v>5587</v>
      </c>
      <c r="I51" s="425">
        <v>1657575.28</v>
      </c>
      <c r="J51" s="425">
        <v>693</v>
      </c>
      <c r="K51" s="425">
        <v>5285812.55</v>
      </c>
      <c r="L51" s="425">
        <v>14856.64</v>
      </c>
      <c r="M51" s="425">
        <v>61</v>
      </c>
      <c r="N51" s="425">
        <v>1087531.2</v>
      </c>
      <c r="O51" s="425">
        <v>3216</v>
      </c>
      <c r="P51" s="425">
        <v>1</v>
      </c>
      <c r="Q51" s="425">
        <v>36786.93</v>
      </c>
      <c r="R51" s="425">
        <v>2</v>
      </c>
      <c r="S51" s="425">
        <v>4013.08</v>
      </c>
      <c r="T51" s="425">
        <v>11.15</v>
      </c>
      <c r="U51" s="425">
        <v>31</v>
      </c>
      <c r="V51" s="446">
        <v>71015.73</v>
      </c>
      <c r="W51" s="425">
        <v>-336.7</v>
      </c>
      <c r="X51" s="425">
        <v>1658</v>
      </c>
      <c r="Y51" s="425"/>
      <c r="Z51" s="425"/>
      <c r="AA51" s="425"/>
      <c r="AB51" s="425"/>
      <c r="AC51" s="425"/>
      <c r="AD51" s="425"/>
      <c r="AE51" s="425"/>
      <c r="AF51" s="425"/>
      <c r="AG51" s="425">
        <f t="shared" si="9"/>
        <v>6343</v>
      </c>
    </row>
    <row r="52" spans="1:33" x14ac:dyDescent="0.2">
      <c r="A52" s="372">
        <f>'Input - Customer Data'!$B$7-9</f>
        <v>2009</v>
      </c>
      <c r="B52" s="228" t="s">
        <v>70</v>
      </c>
      <c r="C52" s="373">
        <f t="shared" si="10"/>
        <v>8042</v>
      </c>
      <c r="E52" s="425">
        <v>12154249.630000001</v>
      </c>
      <c r="F52" s="448"/>
      <c r="G52" s="425">
        <v>3211319.99</v>
      </c>
      <c r="H52" s="425">
        <v>5593</v>
      </c>
      <c r="I52" s="425">
        <v>1525910.13</v>
      </c>
      <c r="J52" s="425">
        <v>696</v>
      </c>
      <c r="K52" s="425">
        <v>5277097.6399999997</v>
      </c>
      <c r="L52" s="425">
        <v>14550.220000000001</v>
      </c>
      <c r="M52" s="425">
        <v>61</v>
      </c>
      <c r="N52" s="425">
        <v>1549344</v>
      </c>
      <c r="O52" s="425">
        <v>3072</v>
      </c>
      <c r="P52" s="425">
        <v>1</v>
      </c>
      <c r="Q52" s="425">
        <v>31494.639999999999</v>
      </c>
      <c r="R52" s="425">
        <v>2</v>
      </c>
      <c r="S52" s="425">
        <v>3874.87</v>
      </c>
      <c r="T52" s="425">
        <v>10.76</v>
      </c>
      <c r="U52" s="425">
        <v>31</v>
      </c>
      <c r="V52" s="446">
        <v>68724.899999999994</v>
      </c>
      <c r="W52" s="425">
        <v>1047.2</v>
      </c>
      <c r="X52" s="425">
        <v>1658</v>
      </c>
      <c r="Y52" s="425"/>
      <c r="Z52" s="425"/>
      <c r="AA52" s="425"/>
      <c r="AB52" s="425"/>
      <c r="AC52" s="425"/>
      <c r="AD52" s="425"/>
      <c r="AE52" s="425"/>
      <c r="AF52" s="425"/>
      <c r="AG52" s="425">
        <f t="shared" si="9"/>
        <v>6352</v>
      </c>
    </row>
    <row r="53" spans="1:33" x14ac:dyDescent="0.2">
      <c r="A53" s="372">
        <f>'Input - Customer Data'!$B$7-9</f>
        <v>2009</v>
      </c>
      <c r="B53" s="228" t="s">
        <v>69</v>
      </c>
      <c r="C53" s="373">
        <f t="shared" si="10"/>
        <v>8052</v>
      </c>
      <c r="E53" s="425">
        <v>12554878.109999999</v>
      </c>
      <c r="F53" s="448"/>
      <c r="G53" s="425">
        <v>3499501.84</v>
      </c>
      <c r="H53" s="425">
        <v>5599</v>
      </c>
      <c r="I53" s="425">
        <v>1611159.77</v>
      </c>
      <c r="J53" s="425">
        <v>699</v>
      </c>
      <c r="K53" s="425">
        <v>5260474.74</v>
      </c>
      <c r="L53" s="425">
        <v>13667.66</v>
      </c>
      <c r="M53" s="425">
        <v>62</v>
      </c>
      <c r="N53" s="425">
        <v>1422025.2</v>
      </c>
      <c r="O53" s="425">
        <v>3600</v>
      </c>
      <c r="P53" s="425">
        <v>1</v>
      </c>
      <c r="Q53" s="425">
        <v>32685.84</v>
      </c>
      <c r="R53" s="425">
        <v>2</v>
      </c>
      <c r="S53" s="425">
        <v>3738.46</v>
      </c>
      <c r="T53" s="425">
        <v>10.38</v>
      </c>
      <c r="U53" s="425">
        <v>31</v>
      </c>
      <c r="V53" s="446">
        <v>100469.43</v>
      </c>
      <c r="W53" s="425">
        <v>261.8</v>
      </c>
      <c r="X53" s="425">
        <v>1658</v>
      </c>
      <c r="Y53" s="425"/>
      <c r="Z53" s="425"/>
      <c r="AA53" s="425"/>
      <c r="AB53" s="425"/>
      <c r="AC53" s="425"/>
      <c r="AD53" s="425"/>
      <c r="AE53" s="425"/>
      <c r="AF53" s="425"/>
      <c r="AG53" s="425">
        <f t="shared" si="9"/>
        <v>6362</v>
      </c>
    </row>
    <row r="54" spans="1:33" x14ac:dyDescent="0.2">
      <c r="A54" s="372">
        <f>'Input - Customer Data'!$B$7-9</f>
        <v>2009</v>
      </c>
      <c r="B54" s="228" t="s">
        <v>68</v>
      </c>
      <c r="C54" s="373">
        <f t="shared" si="10"/>
        <v>8056</v>
      </c>
      <c r="E54" s="425">
        <v>12741915.07</v>
      </c>
      <c r="F54" s="448"/>
      <c r="G54" s="425">
        <v>3626244.78</v>
      </c>
      <c r="H54" s="425">
        <v>5602</v>
      </c>
      <c r="I54" s="425">
        <v>1635683.75</v>
      </c>
      <c r="J54" s="425">
        <v>700</v>
      </c>
      <c r="K54" s="425">
        <v>5388339.9100000001</v>
      </c>
      <c r="L54" s="425">
        <v>13796.15</v>
      </c>
      <c r="M54" s="425">
        <v>62</v>
      </c>
      <c r="N54" s="425">
        <v>1549953.6</v>
      </c>
      <c r="O54" s="425">
        <v>3379.2</v>
      </c>
      <c r="P54" s="425">
        <v>1</v>
      </c>
      <c r="Q54" s="425">
        <v>36337.870000000003</v>
      </c>
      <c r="R54" s="425">
        <v>2</v>
      </c>
      <c r="S54" s="425">
        <v>3553.48</v>
      </c>
      <c r="T54" s="425">
        <v>9.8699999999999992</v>
      </c>
      <c r="U54" s="425">
        <v>31</v>
      </c>
      <c r="V54" s="446">
        <v>98178.6</v>
      </c>
      <c r="W54" s="425">
        <v>261.8</v>
      </c>
      <c r="X54" s="425">
        <v>1658</v>
      </c>
      <c r="Y54" s="425"/>
      <c r="Z54" s="425"/>
      <c r="AA54" s="425"/>
      <c r="AB54" s="425"/>
      <c r="AC54" s="425"/>
      <c r="AD54" s="425"/>
      <c r="AE54" s="425"/>
      <c r="AF54" s="425"/>
      <c r="AG54" s="425">
        <f t="shared" si="9"/>
        <v>6366</v>
      </c>
    </row>
    <row r="55" spans="1:33" x14ac:dyDescent="0.2">
      <c r="A55" s="372">
        <f>'Input - Customer Data'!$B$7-9</f>
        <v>2009</v>
      </c>
      <c r="B55" s="228" t="s">
        <v>67</v>
      </c>
      <c r="C55" s="373">
        <f t="shared" si="10"/>
        <v>8058</v>
      </c>
      <c r="E55" s="425">
        <v>14424067.26</v>
      </c>
      <c r="F55" s="448"/>
      <c r="G55" s="425">
        <v>4449449.1500000004</v>
      </c>
      <c r="H55" s="425">
        <v>5603</v>
      </c>
      <c r="I55" s="425">
        <v>1827360.93</v>
      </c>
      <c r="J55" s="425">
        <v>701</v>
      </c>
      <c r="K55" s="425">
        <v>5299573.92</v>
      </c>
      <c r="L55" s="425">
        <v>14557.849999999999</v>
      </c>
      <c r="M55" s="425">
        <v>62</v>
      </c>
      <c r="N55" s="425">
        <v>1308934.8</v>
      </c>
      <c r="O55" s="425">
        <v>3763.2</v>
      </c>
      <c r="P55" s="425">
        <v>1</v>
      </c>
      <c r="Q55" s="425">
        <v>32380.82</v>
      </c>
      <c r="R55" s="425">
        <v>2</v>
      </c>
      <c r="S55" s="425">
        <v>3662.27</v>
      </c>
      <c r="T55" s="425">
        <v>10.17</v>
      </c>
      <c r="U55" s="425">
        <v>31</v>
      </c>
      <c r="V55" s="446">
        <v>101451.22</v>
      </c>
      <c r="W55" s="425">
        <v>261.8</v>
      </c>
      <c r="X55" s="425">
        <v>1658</v>
      </c>
      <c r="Y55" s="425"/>
      <c r="Z55" s="425"/>
      <c r="AA55" s="425"/>
      <c r="AB55" s="425"/>
      <c r="AC55" s="425"/>
      <c r="AD55" s="425"/>
      <c r="AE55" s="425"/>
      <c r="AF55" s="425"/>
      <c r="AG55" s="425">
        <f t="shared" si="9"/>
        <v>6368</v>
      </c>
    </row>
    <row r="56" spans="1:33" x14ac:dyDescent="0.2">
      <c r="A56" s="372">
        <f>'Input - Customer Data'!$B$7-8</f>
        <v>2010</v>
      </c>
      <c r="B56" s="228" t="s">
        <v>78</v>
      </c>
      <c r="C56" s="373">
        <f t="shared" si="10"/>
        <v>8073</v>
      </c>
      <c r="E56" s="425">
        <v>14435761.82</v>
      </c>
      <c r="F56" s="448"/>
      <c r="G56" s="425">
        <v>4596118</v>
      </c>
      <c r="H56" s="425">
        <v>5602</v>
      </c>
      <c r="I56" s="426">
        <v>1953265.68</v>
      </c>
      <c r="J56" s="425">
        <v>702</v>
      </c>
      <c r="K56" s="425">
        <v>5555439.0600000005</v>
      </c>
      <c r="L56" s="425">
        <v>12829.85</v>
      </c>
      <c r="M56" s="425">
        <v>62</v>
      </c>
      <c r="N56" s="425">
        <v>1630399.2</v>
      </c>
      <c r="O56" s="425">
        <v>3441.6</v>
      </c>
      <c r="P56" s="425">
        <v>1</v>
      </c>
      <c r="Q56" s="425">
        <v>31528.82</v>
      </c>
      <c r="R56" s="425">
        <v>2</v>
      </c>
      <c r="S56" s="425">
        <v>3667.41</v>
      </c>
      <c r="T56" s="425">
        <v>10.19</v>
      </c>
      <c r="U56" s="425">
        <v>31</v>
      </c>
      <c r="V56" s="446">
        <v>123415.34</v>
      </c>
      <c r="W56" s="425">
        <v>261.8</v>
      </c>
      <c r="X56" s="425">
        <v>1673</v>
      </c>
      <c r="Y56" s="425"/>
      <c r="Z56" s="425"/>
      <c r="AA56" s="425"/>
      <c r="AB56" s="425"/>
      <c r="AC56" s="425"/>
      <c r="AD56" s="425"/>
      <c r="AE56" s="425"/>
      <c r="AF56" s="425"/>
      <c r="AG56" s="425">
        <f t="shared" si="9"/>
        <v>6368</v>
      </c>
    </row>
    <row r="57" spans="1:33" x14ac:dyDescent="0.2">
      <c r="A57" s="372">
        <f>'Input - Customer Data'!$B$7-8</f>
        <v>2010</v>
      </c>
      <c r="B57" s="228" t="s">
        <v>77</v>
      </c>
      <c r="C57" s="373">
        <f t="shared" si="10"/>
        <v>8082</v>
      </c>
      <c r="E57" s="425">
        <v>12846380.85</v>
      </c>
      <c r="F57" s="448"/>
      <c r="G57" s="425">
        <v>3846203.74</v>
      </c>
      <c r="H57" s="425">
        <v>5611</v>
      </c>
      <c r="I57" s="426">
        <v>1714289.67</v>
      </c>
      <c r="J57" s="425">
        <v>704</v>
      </c>
      <c r="K57" s="425">
        <v>5013773.95</v>
      </c>
      <c r="L57" s="425">
        <v>13942.15</v>
      </c>
      <c r="M57" s="425">
        <v>60</v>
      </c>
      <c r="N57" s="425">
        <v>1446738</v>
      </c>
      <c r="O57" s="425">
        <v>3668.7</v>
      </c>
      <c r="P57" s="425">
        <v>1</v>
      </c>
      <c r="Q57" s="425">
        <v>33291</v>
      </c>
      <c r="R57" s="425">
        <v>2</v>
      </c>
      <c r="S57" s="425">
        <v>3315.6</v>
      </c>
      <c r="T57" s="425">
        <v>9.2100000000000009</v>
      </c>
      <c r="U57" s="425">
        <v>31</v>
      </c>
      <c r="V57" s="446">
        <v>111471.92</v>
      </c>
      <c r="W57" s="425">
        <v>265.39999999999998</v>
      </c>
      <c r="X57" s="425">
        <v>1673</v>
      </c>
      <c r="Y57" s="425"/>
      <c r="Z57" s="425"/>
      <c r="AA57" s="425"/>
      <c r="AB57" s="425"/>
      <c r="AC57" s="425"/>
      <c r="AD57" s="425"/>
      <c r="AE57" s="425"/>
      <c r="AF57" s="425"/>
      <c r="AG57" s="425">
        <f t="shared" si="9"/>
        <v>6377</v>
      </c>
    </row>
    <row r="58" spans="1:33" x14ac:dyDescent="0.2">
      <c r="A58" s="372">
        <f>'Input - Customer Data'!$B$7-8</f>
        <v>2010</v>
      </c>
      <c r="B58" s="228" t="s">
        <v>76</v>
      </c>
      <c r="C58" s="373">
        <f t="shared" si="10"/>
        <v>8089</v>
      </c>
      <c r="E58" s="425">
        <v>13466440.77</v>
      </c>
      <c r="F58" s="448"/>
      <c r="G58" s="425">
        <v>3628771.3</v>
      </c>
      <c r="H58" s="425">
        <v>5615</v>
      </c>
      <c r="I58" s="426">
        <v>1697015.12</v>
      </c>
      <c r="J58" s="425">
        <v>707</v>
      </c>
      <c r="K58" s="425">
        <v>6205384.9399999995</v>
      </c>
      <c r="L58" s="425">
        <v>15145.95</v>
      </c>
      <c r="M58" s="425">
        <v>60</v>
      </c>
      <c r="N58" s="425">
        <v>1658881.2</v>
      </c>
      <c r="O58" s="425">
        <v>3882.4</v>
      </c>
      <c r="P58" s="425">
        <v>1</v>
      </c>
      <c r="Q58" s="425">
        <v>32618.61</v>
      </c>
      <c r="R58" s="425">
        <v>2</v>
      </c>
      <c r="S58" s="425">
        <v>3662.61</v>
      </c>
      <c r="T58" s="425">
        <v>10.17</v>
      </c>
      <c r="U58" s="425">
        <v>31</v>
      </c>
      <c r="V58" s="446">
        <v>123415.34</v>
      </c>
      <c r="W58" s="425">
        <v>265.39999999999998</v>
      </c>
      <c r="X58" s="425">
        <v>1673</v>
      </c>
      <c r="Y58" s="425"/>
      <c r="Z58" s="425"/>
      <c r="AA58" s="425"/>
      <c r="AB58" s="425"/>
      <c r="AC58" s="425"/>
      <c r="AD58" s="425"/>
      <c r="AE58" s="425"/>
      <c r="AF58" s="425"/>
      <c r="AG58" s="425">
        <f t="shared" si="9"/>
        <v>6384</v>
      </c>
    </row>
    <row r="59" spans="1:33" x14ac:dyDescent="0.2">
      <c r="A59" s="372">
        <f>'Input - Customer Data'!$B$7-8</f>
        <v>2010</v>
      </c>
      <c r="B59" s="228" t="s">
        <v>75</v>
      </c>
      <c r="C59" s="373">
        <f t="shared" si="10"/>
        <v>8093</v>
      </c>
      <c r="E59" s="425">
        <v>11695829.130000001</v>
      </c>
      <c r="F59" s="448"/>
      <c r="G59" s="425">
        <v>3154852.32</v>
      </c>
      <c r="H59" s="425">
        <v>5620</v>
      </c>
      <c r="I59" s="426">
        <v>1536674.94</v>
      </c>
      <c r="J59" s="425">
        <v>706</v>
      </c>
      <c r="K59" s="425">
        <v>5049381.8100000005</v>
      </c>
      <c r="L59" s="425">
        <v>14187.45</v>
      </c>
      <c r="M59" s="425">
        <v>60</v>
      </c>
      <c r="N59" s="425">
        <v>1435897.2</v>
      </c>
      <c r="O59" s="425">
        <v>3784.5</v>
      </c>
      <c r="P59" s="425">
        <v>1</v>
      </c>
      <c r="Q59" s="425">
        <v>31585.46</v>
      </c>
      <c r="R59" s="425">
        <v>2</v>
      </c>
      <c r="S59" s="425">
        <v>3548.66</v>
      </c>
      <c r="T59" s="425">
        <v>9.86</v>
      </c>
      <c r="U59" s="425">
        <v>31</v>
      </c>
      <c r="V59" s="446">
        <v>92495.23</v>
      </c>
      <c r="W59" s="425">
        <v>265.39999999999998</v>
      </c>
      <c r="X59" s="425">
        <v>1673</v>
      </c>
      <c r="Y59" s="425"/>
      <c r="Z59" s="425"/>
      <c r="AA59" s="425"/>
      <c r="AB59" s="425"/>
      <c r="AC59" s="425"/>
      <c r="AD59" s="425"/>
      <c r="AE59" s="425"/>
      <c r="AF59" s="425"/>
      <c r="AG59" s="425">
        <f t="shared" si="9"/>
        <v>6388</v>
      </c>
    </row>
    <row r="60" spans="1:33" x14ac:dyDescent="0.2">
      <c r="A60" s="372">
        <f>'Input - Customer Data'!$B$7-8</f>
        <v>2010</v>
      </c>
      <c r="B60" s="228" t="s">
        <v>74</v>
      </c>
      <c r="C60" s="373">
        <f t="shared" si="10"/>
        <v>8098</v>
      </c>
      <c r="E60" s="425">
        <v>12039396.98</v>
      </c>
      <c r="F60" s="448"/>
      <c r="G60" s="425">
        <v>3343667.34</v>
      </c>
      <c r="H60" s="425">
        <v>5626</v>
      </c>
      <c r="I60" s="426">
        <v>1613744.11</v>
      </c>
      <c r="J60" s="425">
        <v>705</v>
      </c>
      <c r="K60" s="425">
        <v>5353724.9700000007</v>
      </c>
      <c r="L60" s="425">
        <v>13724.25</v>
      </c>
      <c r="M60" s="425">
        <v>60</v>
      </c>
      <c r="N60" s="425">
        <v>1124797.2</v>
      </c>
      <c r="O60" s="425">
        <v>3696.2</v>
      </c>
      <c r="P60" s="425">
        <v>1</v>
      </c>
      <c r="Q60" s="425">
        <v>36857.89</v>
      </c>
      <c r="R60" s="425">
        <v>2</v>
      </c>
      <c r="S60" s="425">
        <v>3670.84</v>
      </c>
      <c r="T60" s="425">
        <v>10.199999999999999</v>
      </c>
      <c r="U60" s="425">
        <v>31</v>
      </c>
      <c r="V60" s="446">
        <v>94618.51</v>
      </c>
      <c r="W60" s="425">
        <v>265.39999999999998</v>
      </c>
      <c r="X60" s="425">
        <v>1673</v>
      </c>
      <c r="Y60" s="425"/>
      <c r="Z60" s="425"/>
      <c r="AA60" s="425"/>
      <c r="AB60" s="425"/>
      <c r="AC60" s="425"/>
      <c r="AD60" s="425"/>
      <c r="AE60" s="425"/>
      <c r="AF60" s="425"/>
      <c r="AG60" s="425">
        <f t="shared" si="9"/>
        <v>6393</v>
      </c>
    </row>
    <row r="61" spans="1:33" x14ac:dyDescent="0.2">
      <c r="A61" s="372">
        <f>'Input - Customer Data'!$B$7-8</f>
        <v>2010</v>
      </c>
      <c r="B61" s="228" t="s">
        <v>73</v>
      </c>
      <c r="C61" s="373">
        <f t="shared" si="10"/>
        <v>8099</v>
      </c>
      <c r="E61" s="425">
        <v>12588185.24</v>
      </c>
      <c r="F61" s="448"/>
      <c r="G61" s="425">
        <v>3527873.7</v>
      </c>
      <c r="H61" s="425">
        <v>5627</v>
      </c>
      <c r="I61" s="426">
        <v>1710930.11</v>
      </c>
      <c r="J61" s="425">
        <v>705</v>
      </c>
      <c r="K61" s="425">
        <v>5394851.75</v>
      </c>
      <c r="L61" s="425">
        <v>14876.85</v>
      </c>
      <c r="M61" s="425">
        <v>60</v>
      </c>
      <c r="N61" s="425">
        <v>1431684</v>
      </c>
      <c r="O61" s="425">
        <v>3494.4</v>
      </c>
      <c r="P61" s="425">
        <v>1</v>
      </c>
      <c r="Q61" s="425">
        <v>31429.65</v>
      </c>
      <c r="R61" s="425">
        <v>2</v>
      </c>
      <c r="S61" s="425">
        <v>3380.64</v>
      </c>
      <c r="T61" s="425">
        <v>9.39</v>
      </c>
      <c r="U61" s="425">
        <v>31</v>
      </c>
      <c r="V61" s="446">
        <v>72722.11</v>
      </c>
      <c r="W61" s="425">
        <v>265.39999999999998</v>
      </c>
      <c r="X61" s="425">
        <v>1673</v>
      </c>
      <c r="Y61" s="425"/>
      <c r="Z61" s="425"/>
      <c r="AA61" s="425"/>
      <c r="AB61" s="425"/>
      <c r="AC61" s="425"/>
      <c r="AD61" s="425"/>
      <c r="AE61" s="425"/>
      <c r="AF61" s="425"/>
      <c r="AG61" s="425">
        <f t="shared" si="9"/>
        <v>6394</v>
      </c>
    </row>
    <row r="62" spans="1:33" x14ac:dyDescent="0.2">
      <c r="A62" s="372">
        <f>'Input - Customer Data'!$B$7-8</f>
        <v>2010</v>
      </c>
      <c r="B62" s="228" t="s">
        <v>72</v>
      </c>
      <c r="C62" s="373">
        <f t="shared" si="10"/>
        <v>8104</v>
      </c>
      <c r="E62" s="425">
        <v>13590961.939999999</v>
      </c>
      <c r="F62" s="448"/>
      <c r="G62" s="425">
        <v>4107658.89</v>
      </c>
      <c r="H62" s="425">
        <v>5631</v>
      </c>
      <c r="I62" s="426">
        <v>1785940.38</v>
      </c>
      <c r="J62" s="425">
        <v>706</v>
      </c>
      <c r="K62" s="425">
        <v>5369307.0199999996</v>
      </c>
      <c r="L62" s="425">
        <v>14545.25</v>
      </c>
      <c r="M62" s="425">
        <v>60</v>
      </c>
      <c r="N62" s="425">
        <v>1431684</v>
      </c>
      <c r="O62" s="425">
        <v>3844.2</v>
      </c>
      <c r="P62" s="425">
        <v>1</v>
      </c>
      <c r="Q62" s="425">
        <v>32878.550000000003</v>
      </c>
      <c r="R62" s="425">
        <v>2</v>
      </c>
      <c r="S62" s="425">
        <v>4520.1000000000004</v>
      </c>
      <c r="T62" s="425">
        <v>12.56</v>
      </c>
      <c r="U62" s="425">
        <v>31</v>
      </c>
      <c r="V62" s="446">
        <v>72722.11</v>
      </c>
      <c r="W62" s="425">
        <v>265.39999999999998</v>
      </c>
      <c r="X62" s="425">
        <v>1673</v>
      </c>
      <c r="Y62" s="425"/>
      <c r="Z62" s="425"/>
      <c r="AA62" s="425"/>
      <c r="AB62" s="425"/>
      <c r="AC62" s="425"/>
      <c r="AD62" s="425"/>
      <c r="AE62" s="425"/>
      <c r="AF62" s="425"/>
      <c r="AG62" s="425">
        <f t="shared" si="9"/>
        <v>6399</v>
      </c>
    </row>
    <row r="63" spans="1:33" x14ac:dyDescent="0.2">
      <c r="A63" s="372">
        <f>'Input - Customer Data'!$B$7-8</f>
        <v>2010</v>
      </c>
      <c r="B63" s="228" t="s">
        <v>71</v>
      </c>
      <c r="C63" s="373">
        <f t="shared" si="10"/>
        <v>8106</v>
      </c>
      <c r="E63" s="425">
        <v>13165945.18</v>
      </c>
      <c r="F63" s="448"/>
      <c r="G63" s="425">
        <v>3873689.46</v>
      </c>
      <c r="H63" s="425">
        <v>5631</v>
      </c>
      <c r="I63" s="426">
        <v>1719151</v>
      </c>
      <c r="J63" s="425">
        <v>708</v>
      </c>
      <c r="K63" s="425">
        <v>5474714.7199999997</v>
      </c>
      <c r="L63" s="425">
        <v>14579.350000000002</v>
      </c>
      <c r="M63" s="425">
        <v>60</v>
      </c>
      <c r="N63" s="425">
        <v>1241245.2</v>
      </c>
      <c r="O63" s="425">
        <v>3743.7</v>
      </c>
      <c r="P63" s="425">
        <v>1</v>
      </c>
      <c r="Q63" s="425">
        <v>36778</v>
      </c>
      <c r="R63" s="425">
        <v>2</v>
      </c>
      <c r="S63" s="425">
        <v>3495.03</v>
      </c>
      <c r="T63" s="425">
        <v>9.7100000000000009</v>
      </c>
      <c r="U63" s="425">
        <v>31</v>
      </c>
      <c r="V63" s="446">
        <v>71992.23</v>
      </c>
      <c r="W63" s="425">
        <v>265.39999999999998</v>
      </c>
      <c r="X63" s="425">
        <v>1673</v>
      </c>
      <c r="Y63" s="425"/>
      <c r="Z63" s="425"/>
      <c r="AA63" s="425"/>
      <c r="AB63" s="425"/>
      <c r="AC63" s="425"/>
      <c r="AD63" s="425"/>
      <c r="AE63" s="425"/>
      <c r="AF63" s="425"/>
      <c r="AG63" s="425">
        <f t="shared" si="9"/>
        <v>6401</v>
      </c>
    </row>
    <row r="64" spans="1:33" x14ac:dyDescent="0.2">
      <c r="A64" s="372">
        <f>'Input - Customer Data'!$B$7-8</f>
        <v>2010</v>
      </c>
      <c r="B64" s="228" t="s">
        <v>70</v>
      </c>
      <c r="C64" s="373">
        <f t="shared" si="10"/>
        <v>8106</v>
      </c>
      <c r="E64" s="425">
        <v>12387488.950000001</v>
      </c>
      <c r="F64" s="448"/>
      <c r="G64" s="425">
        <v>3278202.85</v>
      </c>
      <c r="H64" s="425">
        <v>5632</v>
      </c>
      <c r="I64" s="426">
        <v>1514101.09</v>
      </c>
      <c r="J64" s="425">
        <v>707</v>
      </c>
      <c r="K64" s="425">
        <v>5300728.08</v>
      </c>
      <c r="L64" s="425">
        <v>14666.45</v>
      </c>
      <c r="M64" s="425">
        <v>60</v>
      </c>
      <c r="N64" s="425">
        <v>1648758</v>
      </c>
      <c r="O64" s="425">
        <v>3556.8</v>
      </c>
      <c r="P64" s="425">
        <v>1</v>
      </c>
      <c r="Q64" s="425">
        <v>31167.62</v>
      </c>
      <c r="R64" s="425">
        <v>2</v>
      </c>
      <c r="S64" s="425">
        <v>3374.36</v>
      </c>
      <c r="T64" s="425">
        <v>9.3699999999999992</v>
      </c>
      <c r="U64" s="425">
        <v>31</v>
      </c>
      <c r="V64" s="446">
        <v>69669</v>
      </c>
      <c r="W64" s="425">
        <v>461.6</v>
      </c>
      <c r="X64" s="425">
        <v>1673</v>
      </c>
      <c r="Y64" s="425"/>
      <c r="Z64" s="425"/>
      <c r="AA64" s="425"/>
      <c r="AB64" s="425"/>
      <c r="AC64" s="425"/>
      <c r="AD64" s="425"/>
      <c r="AE64" s="425"/>
      <c r="AF64" s="425"/>
      <c r="AG64" s="425">
        <f t="shared" ref="AG64:AG96" si="11">H64+J64+M64+1+1</f>
        <v>6401</v>
      </c>
    </row>
    <row r="65" spans="1:33" x14ac:dyDescent="0.2">
      <c r="A65" s="372">
        <f>'Input - Customer Data'!$B$7-8</f>
        <v>2010</v>
      </c>
      <c r="B65" s="228" t="s">
        <v>69</v>
      </c>
      <c r="C65" s="373">
        <f t="shared" si="10"/>
        <v>8180</v>
      </c>
      <c r="E65" s="425">
        <v>12591988.770000001</v>
      </c>
      <c r="F65" s="448"/>
      <c r="G65" s="425">
        <v>3342942.3</v>
      </c>
      <c r="H65" s="425">
        <v>5690</v>
      </c>
      <c r="I65" s="426">
        <v>1500516.02</v>
      </c>
      <c r="J65" s="425">
        <v>708</v>
      </c>
      <c r="K65" s="425">
        <v>5245082.21</v>
      </c>
      <c r="L65" s="425">
        <v>14550.45</v>
      </c>
      <c r="M65" s="425">
        <v>61</v>
      </c>
      <c r="N65" s="425">
        <v>1721421.6</v>
      </c>
      <c r="O65" s="425">
        <v>3718.7</v>
      </c>
      <c r="P65" s="425">
        <v>1</v>
      </c>
      <c r="Q65" s="425">
        <v>36788.21</v>
      </c>
      <c r="R65" s="425">
        <v>2</v>
      </c>
      <c r="S65" s="425">
        <v>3492.57</v>
      </c>
      <c r="T65" s="425">
        <v>9.6999999999999993</v>
      </c>
      <c r="U65" s="425">
        <v>31</v>
      </c>
      <c r="V65" s="446">
        <v>102813.69</v>
      </c>
      <c r="W65" s="425">
        <v>265.39999999999998</v>
      </c>
      <c r="X65" s="425">
        <v>1687</v>
      </c>
      <c r="Y65" s="425"/>
      <c r="Z65" s="425"/>
      <c r="AA65" s="425"/>
      <c r="AB65" s="425"/>
      <c r="AC65" s="425"/>
      <c r="AD65" s="425"/>
      <c r="AE65" s="425"/>
      <c r="AF65" s="425"/>
      <c r="AG65" s="425">
        <f t="shared" si="11"/>
        <v>6461</v>
      </c>
    </row>
    <row r="66" spans="1:33" x14ac:dyDescent="0.2">
      <c r="A66" s="372">
        <f>'Input - Customer Data'!$B$7-8</f>
        <v>2010</v>
      </c>
      <c r="B66" s="228" t="s">
        <v>68</v>
      </c>
      <c r="C66" s="373">
        <f t="shared" si="10"/>
        <v>8184</v>
      </c>
      <c r="E66" s="425">
        <v>13323219.41</v>
      </c>
      <c r="F66" s="448"/>
      <c r="G66" s="425">
        <v>3769609.06</v>
      </c>
      <c r="H66" s="425">
        <v>5691</v>
      </c>
      <c r="I66" s="426">
        <v>1713796.99</v>
      </c>
      <c r="J66" s="425">
        <v>706</v>
      </c>
      <c r="K66" s="425">
        <v>5280970.4800000004</v>
      </c>
      <c r="L66" s="425">
        <v>13698.25</v>
      </c>
      <c r="M66" s="425">
        <v>62</v>
      </c>
      <c r="N66" s="425">
        <v>1672154.4</v>
      </c>
      <c r="O66" s="425">
        <v>3729.6</v>
      </c>
      <c r="P66" s="425">
        <v>1</v>
      </c>
      <c r="Q66" s="425">
        <v>78223.240000000005</v>
      </c>
      <c r="R66" s="425">
        <v>6</v>
      </c>
      <c r="S66" s="425">
        <v>3396.57</v>
      </c>
      <c r="T66" s="425">
        <v>9.43</v>
      </c>
      <c r="U66" s="425">
        <v>31</v>
      </c>
      <c r="V66" s="446">
        <v>100469.4</v>
      </c>
      <c r="W66" s="425">
        <v>267.89999999999998</v>
      </c>
      <c r="X66" s="425">
        <v>1687</v>
      </c>
      <c r="Y66" s="425"/>
      <c r="Z66" s="425"/>
      <c r="AA66" s="425"/>
      <c r="AB66" s="425"/>
      <c r="AC66" s="425"/>
      <c r="AD66" s="425"/>
      <c r="AE66" s="425"/>
      <c r="AF66" s="425"/>
      <c r="AG66" s="425">
        <f t="shared" si="11"/>
        <v>6461</v>
      </c>
    </row>
    <row r="67" spans="1:33" x14ac:dyDescent="0.2">
      <c r="A67" s="372">
        <f>'Input - Customer Data'!$B$7-8</f>
        <v>2010</v>
      </c>
      <c r="B67" s="228" t="s">
        <v>67</v>
      </c>
      <c r="C67" s="373">
        <f t="shared" si="10"/>
        <v>8184</v>
      </c>
      <c r="E67" s="425">
        <v>13800475.360000001</v>
      </c>
      <c r="F67" s="448"/>
      <c r="G67" s="425">
        <v>4623708.26</v>
      </c>
      <c r="H67" s="425">
        <v>5692</v>
      </c>
      <c r="I67" s="426">
        <v>1949943.3699999999</v>
      </c>
      <c r="J67" s="425">
        <v>705</v>
      </c>
      <c r="K67" s="425">
        <v>5133324.76</v>
      </c>
      <c r="L67" s="425">
        <v>13456.85</v>
      </c>
      <c r="M67" s="425">
        <v>62</v>
      </c>
      <c r="N67" s="425">
        <v>1285646.3999999999</v>
      </c>
      <c r="O67" s="425">
        <v>3816.9</v>
      </c>
      <c r="P67" s="425">
        <v>1</v>
      </c>
      <c r="Q67" s="425">
        <v>39854.379999999997</v>
      </c>
      <c r="R67" s="425">
        <v>6</v>
      </c>
      <c r="S67" s="425">
        <v>3489.36</v>
      </c>
      <c r="T67" s="425">
        <v>9.69</v>
      </c>
      <c r="U67" s="425">
        <v>31</v>
      </c>
      <c r="V67" s="446">
        <v>103864.88</v>
      </c>
      <c r="W67" s="425">
        <v>267.89999999999998</v>
      </c>
      <c r="X67" s="425">
        <v>1687</v>
      </c>
      <c r="Y67" s="425"/>
      <c r="Z67" s="425"/>
      <c r="AA67" s="425"/>
      <c r="AB67" s="425"/>
      <c r="AC67" s="425"/>
      <c r="AD67" s="425"/>
      <c r="AE67" s="425"/>
      <c r="AF67" s="425"/>
      <c r="AG67" s="425">
        <f t="shared" si="11"/>
        <v>6461</v>
      </c>
    </row>
    <row r="68" spans="1:33" x14ac:dyDescent="0.2">
      <c r="A68" s="372">
        <f>'Input - Customer Data'!$B$7-7</f>
        <v>2011</v>
      </c>
      <c r="B68" s="228" t="s">
        <v>78</v>
      </c>
      <c r="C68" s="373">
        <f t="shared" si="10"/>
        <v>8186</v>
      </c>
      <c r="E68" s="425">
        <v>14553973.74</v>
      </c>
      <c r="F68" s="448"/>
      <c r="G68" s="425">
        <v>3304789.19</v>
      </c>
      <c r="H68" s="425">
        <v>5693</v>
      </c>
      <c r="I68" s="426">
        <v>2002270.85</v>
      </c>
      <c r="J68" s="425">
        <v>707</v>
      </c>
      <c r="K68" s="425">
        <v>5500082.6099999994</v>
      </c>
      <c r="L68" s="425">
        <v>12187.95</v>
      </c>
      <c r="M68" s="425">
        <v>61</v>
      </c>
      <c r="N68" s="425">
        <v>1691600.4</v>
      </c>
      <c r="O68" s="425">
        <v>3792</v>
      </c>
      <c r="P68" s="425">
        <v>1</v>
      </c>
      <c r="Q68" s="425">
        <v>41139.699999999997</v>
      </c>
      <c r="R68" s="425">
        <v>6</v>
      </c>
      <c r="S68" s="425">
        <v>3490.86</v>
      </c>
      <c r="T68" s="425">
        <v>9.6999999999999993</v>
      </c>
      <c r="U68" s="425">
        <v>31</v>
      </c>
      <c r="V68" s="446">
        <v>124637.98000000001</v>
      </c>
      <c r="W68" s="425">
        <v>268</v>
      </c>
      <c r="X68" s="425">
        <v>1687</v>
      </c>
      <c r="Y68" s="425"/>
      <c r="Z68" s="425"/>
      <c r="AA68" s="425"/>
      <c r="AB68" s="425"/>
      <c r="AC68" s="425"/>
      <c r="AD68" s="425"/>
      <c r="AE68" s="425"/>
      <c r="AF68" s="425"/>
      <c r="AG68" s="425">
        <f t="shared" si="11"/>
        <v>6463</v>
      </c>
    </row>
    <row r="69" spans="1:33" x14ac:dyDescent="0.2">
      <c r="A69" s="372">
        <f>'Input - Customer Data'!$B$7-7</f>
        <v>2011</v>
      </c>
      <c r="B69" s="228" t="s">
        <v>77</v>
      </c>
      <c r="C69" s="373">
        <f t="shared" si="10"/>
        <v>8187</v>
      </c>
      <c r="E69" s="425">
        <v>12993844.84</v>
      </c>
      <c r="F69" s="448"/>
      <c r="G69" s="425">
        <v>3976280.14</v>
      </c>
      <c r="H69" s="425">
        <v>5695</v>
      </c>
      <c r="I69" s="426">
        <v>1756663.9000000001</v>
      </c>
      <c r="J69" s="425">
        <v>707</v>
      </c>
      <c r="K69" s="425">
        <v>4946525.8899999997</v>
      </c>
      <c r="L69" s="425">
        <v>14276.26</v>
      </c>
      <c r="M69" s="425">
        <v>60</v>
      </c>
      <c r="N69" s="425">
        <v>1526053.2</v>
      </c>
      <c r="O69" s="425">
        <v>3906.2</v>
      </c>
      <c r="P69" s="425">
        <v>1</v>
      </c>
      <c r="Q69" s="425">
        <v>41138.97</v>
      </c>
      <c r="R69" s="425">
        <v>6</v>
      </c>
      <c r="S69" s="425">
        <v>3157.68</v>
      </c>
      <c r="T69" s="425">
        <v>8.77</v>
      </c>
      <c r="U69" s="425">
        <v>31</v>
      </c>
      <c r="V69" s="446">
        <v>112576.24</v>
      </c>
      <c r="W69" s="425">
        <v>268</v>
      </c>
      <c r="X69" s="425">
        <v>1687</v>
      </c>
      <c r="Y69" s="425"/>
      <c r="Z69" s="425"/>
      <c r="AA69" s="425"/>
      <c r="AB69" s="425"/>
      <c r="AC69" s="425"/>
      <c r="AD69" s="425"/>
      <c r="AE69" s="425"/>
      <c r="AF69" s="425"/>
      <c r="AG69" s="425">
        <f t="shared" si="11"/>
        <v>6464</v>
      </c>
    </row>
    <row r="70" spans="1:33" x14ac:dyDescent="0.2">
      <c r="A70" s="372">
        <f>'Input - Customer Data'!$B$7-7</f>
        <v>2011</v>
      </c>
      <c r="B70" s="228" t="s">
        <v>76</v>
      </c>
      <c r="C70" s="373">
        <f t="shared" si="10"/>
        <v>8196</v>
      </c>
      <c r="E70" s="425">
        <v>13683974.060000001</v>
      </c>
      <c r="F70" s="448"/>
      <c r="G70" s="425">
        <v>3985206.75</v>
      </c>
      <c r="H70" s="425">
        <v>5703</v>
      </c>
      <c r="I70" s="426">
        <v>1882432.61</v>
      </c>
      <c r="J70" s="425">
        <v>708</v>
      </c>
      <c r="K70" s="425">
        <v>5361918.63</v>
      </c>
      <c r="L70" s="425">
        <v>12956.46</v>
      </c>
      <c r="M70" s="425">
        <v>60</v>
      </c>
      <c r="N70" s="425">
        <v>1690124.4</v>
      </c>
      <c r="O70" s="425">
        <v>3719.1</v>
      </c>
      <c r="P70" s="425">
        <v>1</v>
      </c>
      <c r="Q70" s="425">
        <v>41141.03</v>
      </c>
      <c r="R70" s="425">
        <v>6</v>
      </c>
      <c r="S70" s="425">
        <v>3490.86</v>
      </c>
      <c r="T70" s="425">
        <v>9.6999999999999993</v>
      </c>
      <c r="U70" s="425">
        <v>31</v>
      </c>
      <c r="V70" s="446">
        <v>87428.99</v>
      </c>
      <c r="W70" s="425">
        <v>268</v>
      </c>
      <c r="X70" s="425">
        <v>1687</v>
      </c>
      <c r="Y70" s="425"/>
      <c r="Z70" s="425"/>
      <c r="AA70" s="425"/>
      <c r="AB70" s="425"/>
      <c r="AC70" s="425"/>
      <c r="AD70" s="425"/>
      <c r="AE70" s="425"/>
      <c r="AF70" s="425"/>
      <c r="AG70" s="425">
        <f t="shared" si="11"/>
        <v>6473</v>
      </c>
    </row>
    <row r="71" spans="1:33" x14ac:dyDescent="0.2">
      <c r="A71" s="372">
        <f>'Input - Customer Data'!$B$7-7</f>
        <v>2011</v>
      </c>
      <c r="B71" s="228" t="s">
        <v>75</v>
      </c>
      <c r="C71" s="373">
        <f t="shared" si="10"/>
        <v>8200</v>
      </c>
      <c r="E71" s="425">
        <v>11913552.879999999</v>
      </c>
      <c r="F71" s="448"/>
      <c r="G71" s="425">
        <v>3446412.59</v>
      </c>
      <c r="H71" s="425">
        <v>5707</v>
      </c>
      <c r="I71" s="426">
        <v>1568916.01</v>
      </c>
      <c r="J71" s="425">
        <v>708</v>
      </c>
      <c r="K71" s="425">
        <v>4665343.54</v>
      </c>
      <c r="L71" s="425">
        <v>12904.56</v>
      </c>
      <c r="M71" s="425">
        <v>60</v>
      </c>
      <c r="N71" s="425">
        <v>1520925.6</v>
      </c>
      <c r="O71" s="425">
        <v>3691.6</v>
      </c>
      <c r="P71" s="425">
        <v>1</v>
      </c>
      <c r="Q71" s="425">
        <v>41139.68</v>
      </c>
      <c r="R71" s="425">
        <v>6</v>
      </c>
      <c r="S71" s="425">
        <v>3455.4</v>
      </c>
      <c r="T71" s="425">
        <v>9.6</v>
      </c>
      <c r="U71" s="425">
        <v>31</v>
      </c>
      <c r="V71" s="446">
        <v>93411.92</v>
      </c>
      <c r="W71" s="425">
        <v>268</v>
      </c>
      <c r="X71" s="425">
        <v>1687</v>
      </c>
      <c r="Y71" s="425"/>
      <c r="Z71" s="425"/>
      <c r="AA71" s="425"/>
      <c r="AB71" s="425"/>
      <c r="AC71" s="425"/>
      <c r="AD71" s="425"/>
      <c r="AE71" s="425"/>
      <c r="AF71" s="425"/>
      <c r="AG71" s="425">
        <f t="shared" si="11"/>
        <v>6477</v>
      </c>
    </row>
    <row r="72" spans="1:33" x14ac:dyDescent="0.2">
      <c r="A72" s="372">
        <f>'Input - Customer Data'!$B$7-7</f>
        <v>2011</v>
      </c>
      <c r="B72" s="228" t="s">
        <v>74</v>
      </c>
      <c r="C72" s="373">
        <f t="shared" si="10"/>
        <v>8201</v>
      </c>
      <c r="E72" s="425">
        <v>11611512.92</v>
      </c>
      <c r="F72" s="448"/>
      <c r="G72" s="425">
        <v>3265390.87</v>
      </c>
      <c r="H72" s="425">
        <v>5708</v>
      </c>
      <c r="I72" s="426">
        <v>1539748.74</v>
      </c>
      <c r="J72" s="425">
        <v>709</v>
      </c>
      <c r="K72" s="425">
        <v>4906208.38</v>
      </c>
      <c r="L72" s="425">
        <v>12762.95</v>
      </c>
      <c r="M72" s="425">
        <v>59</v>
      </c>
      <c r="N72" s="425">
        <v>1265604</v>
      </c>
      <c r="O72" s="425">
        <v>3816.5</v>
      </c>
      <c r="P72" s="425">
        <v>1</v>
      </c>
      <c r="Q72" s="425">
        <v>41140.32</v>
      </c>
      <c r="R72" s="425">
        <v>6</v>
      </c>
      <c r="S72" s="425">
        <v>3490.86</v>
      </c>
      <c r="T72" s="425">
        <v>9.6999999999999993</v>
      </c>
      <c r="U72" s="425">
        <v>31</v>
      </c>
      <c r="V72" s="446">
        <v>95556.26</v>
      </c>
      <c r="W72" s="425">
        <v>268</v>
      </c>
      <c r="X72" s="425">
        <v>1687</v>
      </c>
      <c r="Y72" s="425"/>
      <c r="Z72" s="425"/>
      <c r="AA72" s="425"/>
      <c r="AB72" s="425"/>
      <c r="AC72" s="425"/>
      <c r="AD72" s="425"/>
      <c r="AE72" s="425"/>
      <c r="AF72" s="425"/>
      <c r="AG72" s="425">
        <f t="shared" si="11"/>
        <v>6478</v>
      </c>
    </row>
    <row r="73" spans="1:33" x14ac:dyDescent="0.2">
      <c r="A73" s="372">
        <f>'Input - Customer Data'!$B$7-7</f>
        <v>2011</v>
      </c>
      <c r="B73" s="228" t="s">
        <v>73</v>
      </c>
      <c r="C73" s="373">
        <f t="shared" si="10"/>
        <v>8204</v>
      </c>
      <c r="E73" s="425">
        <v>12209704.779999999</v>
      </c>
      <c r="F73" s="448"/>
      <c r="G73" s="425">
        <v>3305774.35</v>
      </c>
      <c r="H73" s="425">
        <v>5711</v>
      </c>
      <c r="I73" s="426">
        <v>1578637.0499999998</v>
      </c>
      <c r="J73" s="425">
        <v>709</v>
      </c>
      <c r="K73" s="425">
        <v>5074043.26</v>
      </c>
      <c r="L73" s="425">
        <v>14454.45</v>
      </c>
      <c r="M73" s="425">
        <v>59</v>
      </c>
      <c r="N73" s="425">
        <v>1598295.6</v>
      </c>
      <c r="O73" s="425">
        <v>3608.6</v>
      </c>
      <c r="P73" s="425">
        <v>1</v>
      </c>
      <c r="Q73" s="425">
        <v>41139.68</v>
      </c>
      <c r="R73" s="425">
        <v>6</v>
      </c>
      <c r="S73" s="425">
        <v>3379.8</v>
      </c>
      <c r="T73" s="425">
        <v>9.39</v>
      </c>
      <c r="U73" s="425">
        <v>31</v>
      </c>
      <c r="V73" s="446">
        <v>92473.8</v>
      </c>
      <c r="W73" s="425">
        <v>268</v>
      </c>
      <c r="X73" s="425">
        <v>1687</v>
      </c>
      <c r="Y73" s="425"/>
      <c r="Z73" s="425"/>
      <c r="AA73" s="425"/>
      <c r="AB73" s="425"/>
      <c r="AC73" s="425"/>
      <c r="AD73" s="425"/>
      <c r="AE73" s="425"/>
      <c r="AF73" s="425"/>
      <c r="AG73" s="425">
        <f t="shared" si="11"/>
        <v>6481</v>
      </c>
    </row>
    <row r="74" spans="1:33" x14ac:dyDescent="0.2">
      <c r="A74" s="372">
        <f>'Input - Customer Data'!$B$7-7</f>
        <v>2011</v>
      </c>
      <c r="B74" s="228" t="s">
        <v>72</v>
      </c>
      <c r="C74" s="373">
        <f t="shared" si="10"/>
        <v>8203</v>
      </c>
      <c r="E74" s="425">
        <v>13541155.949999999</v>
      </c>
      <c r="F74" s="448"/>
      <c r="G74" s="425">
        <v>4396831.2</v>
      </c>
      <c r="H74" s="425">
        <v>5710</v>
      </c>
      <c r="I74" s="426">
        <v>1949364.71</v>
      </c>
      <c r="J74" s="425">
        <v>709</v>
      </c>
      <c r="K74" s="425">
        <v>5134785.51</v>
      </c>
      <c r="L74" s="425">
        <v>14231.03</v>
      </c>
      <c r="M74" s="425">
        <v>59</v>
      </c>
      <c r="N74" s="425">
        <v>1401618</v>
      </c>
      <c r="O74" s="425">
        <v>3779.6</v>
      </c>
      <c r="P74" s="425">
        <v>1</v>
      </c>
      <c r="Q74" s="425">
        <v>41140.32</v>
      </c>
      <c r="R74" s="425">
        <v>6</v>
      </c>
      <c r="S74" s="425">
        <v>3490.86</v>
      </c>
      <c r="T74" s="425">
        <v>9.6999999999999993</v>
      </c>
      <c r="U74" s="425">
        <v>31</v>
      </c>
      <c r="V74" s="446">
        <v>73442.66</v>
      </c>
      <c r="W74" s="425">
        <v>268</v>
      </c>
      <c r="X74" s="425">
        <v>1687</v>
      </c>
      <c r="Y74" s="425"/>
      <c r="Z74" s="425"/>
      <c r="AA74" s="425"/>
      <c r="AB74" s="425"/>
      <c r="AC74" s="425"/>
      <c r="AD74" s="425"/>
      <c r="AE74" s="425"/>
      <c r="AF74" s="425"/>
      <c r="AG74" s="425">
        <f t="shared" si="11"/>
        <v>6480</v>
      </c>
    </row>
    <row r="75" spans="1:33" x14ac:dyDescent="0.2">
      <c r="A75" s="372">
        <f>'Input - Customer Data'!$B$7-7</f>
        <v>2011</v>
      </c>
      <c r="B75" s="228" t="s">
        <v>71</v>
      </c>
      <c r="C75" s="373">
        <f t="shared" si="10"/>
        <v>8211</v>
      </c>
      <c r="E75" s="425">
        <v>12787062.35</v>
      </c>
      <c r="F75" s="448"/>
      <c r="G75" s="425">
        <v>3783202.83</v>
      </c>
      <c r="H75" s="425">
        <v>5716</v>
      </c>
      <c r="I75" s="426">
        <v>1741457.6199999999</v>
      </c>
      <c r="J75" s="425">
        <v>711</v>
      </c>
      <c r="K75" s="425">
        <v>5283195.8</v>
      </c>
      <c r="L75" s="425">
        <v>13286.34</v>
      </c>
      <c r="M75" s="425">
        <v>59</v>
      </c>
      <c r="N75" s="425">
        <v>1276164</v>
      </c>
      <c r="O75" s="425">
        <v>3565.9</v>
      </c>
      <c r="P75" s="425">
        <v>1</v>
      </c>
      <c r="Q75" s="425">
        <v>41140</v>
      </c>
      <c r="R75" s="425">
        <v>6</v>
      </c>
      <c r="S75" s="425">
        <v>3581.02</v>
      </c>
      <c r="T75" s="425">
        <v>9.9499999999999993</v>
      </c>
      <c r="U75" s="425">
        <v>31</v>
      </c>
      <c r="V75" s="446">
        <v>72705.539999999994</v>
      </c>
      <c r="W75" s="425">
        <v>268</v>
      </c>
      <c r="X75" s="425">
        <v>1687</v>
      </c>
      <c r="Y75" s="425"/>
      <c r="Z75" s="425"/>
      <c r="AA75" s="425"/>
      <c r="AB75" s="425"/>
      <c r="AC75" s="425"/>
      <c r="AD75" s="425"/>
      <c r="AE75" s="425"/>
      <c r="AF75" s="425"/>
      <c r="AG75" s="425">
        <f t="shared" si="11"/>
        <v>6488</v>
      </c>
    </row>
    <row r="76" spans="1:33" x14ac:dyDescent="0.2">
      <c r="A76" s="372">
        <f>'Input - Customer Data'!$B$7-7</f>
        <v>2011</v>
      </c>
      <c r="B76" s="228" t="s">
        <v>70</v>
      </c>
      <c r="C76" s="373">
        <f t="shared" si="10"/>
        <v>8215</v>
      </c>
      <c r="E76" s="425">
        <v>12157224.200000001</v>
      </c>
      <c r="F76" s="448"/>
      <c r="G76" s="425">
        <v>3265013.1</v>
      </c>
      <c r="H76" s="425">
        <v>5718</v>
      </c>
      <c r="I76" s="426">
        <v>1555752.74</v>
      </c>
      <c r="J76" s="425">
        <v>713</v>
      </c>
      <c r="K76" s="425">
        <v>5127913.71</v>
      </c>
      <c r="L76" s="425">
        <v>13513.34</v>
      </c>
      <c r="M76" s="425">
        <v>59</v>
      </c>
      <c r="N76" s="425">
        <v>1540466.4</v>
      </c>
      <c r="O76" s="425">
        <v>3540.5</v>
      </c>
      <c r="P76" s="425">
        <v>1</v>
      </c>
      <c r="Q76" s="425">
        <v>41139.68</v>
      </c>
      <c r="R76" s="425">
        <v>6</v>
      </c>
      <c r="S76" s="425">
        <v>3379.8</v>
      </c>
      <c r="T76" s="425">
        <v>9.39</v>
      </c>
      <c r="U76" s="425">
        <v>31</v>
      </c>
      <c r="V76" s="446">
        <v>70360.2</v>
      </c>
      <c r="W76" s="425">
        <v>268</v>
      </c>
      <c r="X76" s="425">
        <v>1687</v>
      </c>
      <c r="Y76" s="425"/>
      <c r="Z76" s="425"/>
      <c r="AA76" s="425"/>
      <c r="AB76" s="425"/>
      <c r="AC76" s="425"/>
      <c r="AD76" s="425"/>
      <c r="AE76" s="425"/>
      <c r="AF76" s="425"/>
      <c r="AG76" s="425">
        <f t="shared" si="11"/>
        <v>6492</v>
      </c>
    </row>
    <row r="77" spans="1:33" x14ac:dyDescent="0.2">
      <c r="A77" s="372">
        <f>'Input - Customer Data'!$B$7-7</f>
        <v>2011</v>
      </c>
      <c r="B77" s="228" t="s">
        <v>69</v>
      </c>
      <c r="C77" s="373">
        <f t="shared" si="10"/>
        <v>8217</v>
      </c>
      <c r="E77" s="425">
        <v>12479238.459999999</v>
      </c>
      <c r="F77" s="448"/>
      <c r="G77" s="425">
        <v>3483584.13</v>
      </c>
      <c r="H77" s="425">
        <v>5720</v>
      </c>
      <c r="I77" s="426">
        <v>1557032.37</v>
      </c>
      <c r="J77" s="425">
        <v>713</v>
      </c>
      <c r="K77" s="425">
        <v>5157725.91</v>
      </c>
      <c r="L77" s="425">
        <v>13958.14</v>
      </c>
      <c r="M77" s="425">
        <v>59</v>
      </c>
      <c r="N77" s="425">
        <v>1525582.8</v>
      </c>
      <c r="O77" s="425">
        <v>3568.3</v>
      </c>
      <c r="P77" s="425">
        <v>1</v>
      </c>
      <c r="Q77" s="425">
        <v>41140.32</v>
      </c>
      <c r="R77" s="425">
        <v>6</v>
      </c>
      <c r="S77" s="425">
        <v>3490.86</v>
      </c>
      <c r="T77" s="425">
        <v>9.6999999999999993</v>
      </c>
      <c r="U77" s="425">
        <v>31</v>
      </c>
      <c r="V77" s="446">
        <v>102859.74</v>
      </c>
      <c r="W77" s="425">
        <v>268</v>
      </c>
      <c r="X77" s="425">
        <v>1687</v>
      </c>
      <c r="Y77" s="425"/>
      <c r="Z77" s="425"/>
      <c r="AA77" s="425"/>
      <c r="AB77" s="425"/>
      <c r="AC77" s="425"/>
      <c r="AD77" s="425"/>
      <c r="AE77" s="425"/>
      <c r="AF77" s="425"/>
      <c r="AG77" s="425">
        <f t="shared" si="11"/>
        <v>6494</v>
      </c>
    </row>
    <row r="78" spans="1:33" x14ac:dyDescent="0.2">
      <c r="A78" s="372">
        <f>'Input - Customer Data'!$B$7-7</f>
        <v>2011</v>
      </c>
      <c r="B78" s="228" t="s">
        <v>68</v>
      </c>
      <c r="C78" s="373">
        <f t="shared" si="10"/>
        <v>8217</v>
      </c>
      <c r="E78" s="425">
        <v>12750868.540000001</v>
      </c>
      <c r="F78" s="448"/>
      <c r="G78" s="425">
        <v>3615837.32</v>
      </c>
      <c r="H78" s="425">
        <v>5722</v>
      </c>
      <c r="I78" s="426">
        <v>1617684.07</v>
      </c>
      <c r="J78" s="425">
        <v>710</v>
      </c>
      <c r="K78" s="425">
        <v>5190993.6900000004</v>
      </c>
      <c r="L78" s="425">
        <v>13742.54</v>
      </c>
      <c r="M78" s="425">
        <v>60</v>
      </c>
      <c r="N78" s="425">
        <v>1720832.4</v>
      </c>
      <c r="O78" s="425">
        <v>3614</v>
      </c>
      <c r="P78" s="425">
        <v>1</v>
      </c>
      <c r="Q78" s="425">
        <v>41139.68</v>
      </c>
      <c r="R78" s="425">
        <v>6</v>
      </c>
      <c r="S78" s="425">
        <v>3379.8</v>
      </c>
      <c r="T78" s="425">
        <v>9.39</v>
      </c>
      <c r="U78" s="425">
        <v>31</v>
      </c>
      <c r="V78" s="446">
        <v>99202.8</v>
      </c>
      <c r="W78" s="425">
        <v>268</v>
      </c>
      <c r="X78" s="425">
        <v>1687</v>
      </c>
      <c r="Y78" s="425"/>
      <c r="Z78" s="425"/>
      <c r="AA78" s="425"/>
      <c r="AB78" s="425"/>
      <c r="AC78" s="425"/>
      <c r="AD78" s="425"/>
      <c r="AE78" s="425"/>
      <c r="AF78" s="425"/>
      <c r="AG78" s="425">
        <f t="shared" si="11"/>
        <v>6494</v>
      </c>
    </row>
    <row r="79" spans="1:33" x14ac:dyDescent="0.2">
      <c r="A79" s="372">
        <f>'Input - Customer Data'!$B$7-7</f>
        <v>2011</v>
      </c>
      <c r="B79" s="228" t="s">
        <v>67</v>
      </c>
      <c r="C79" s="373">
        <f t="shared" si="10"/>
        <v>8220</v>
      </c>
      <c r="E79" s="425">
        <v>13525392.880000001</v>
      </c>
      <c r="F79" s="448"/>
      <c r="G79" s="425">
        <v>4423539.9000000004</v>
      </c>
      <c r="H79" s="425">
        <v>5725</v>
      </c>
      <c r="I79" s="426">
        <v>1833115.85</v>
      </c>
      <c r="J79" s="425">
        <v>710</v>
      </c>
      <c r="K79" s="425">
        <v>5094019.5199999996</v>
      </c>
      <c r="L79" s="425">
        <v>12715.04</v>
      </c>
      <c r="M79" s="425">
        <v>60</v>
      </c>
      <c r="N79" s="425">
        <v>1347376.8</v>
      </c>
      <c r="O79" s="425">
        <v>3794.2</v>
      </c>
      <c r="P79" s="425">
        <v>1</v>
      </c>
      <c r="Q79" s="425">
        <v>41466.32</v>
      </c>
      <c r="R79" s="425">
        <v>6</v>
      </c>
      <c r="S79" s="425">
        <v>3490.86</v>
      </c>
      <c r="T79" s="425">
        <v>9.6999999999999993</v>
      </c>
      <c r="U79" s="425">
        <v>31</v>
      </c>
      <c r="V79" s="446">
        <v>102509.56</v>
      </c>
      <c r="W79" s="425">
        <v>267.5</v>
      </c>
      <c r="X79" s="425">
        <v>1687</v>
      </c>
      <c r="Y79" s="425"/>
      <c r="Z79" s="425"/>
      <c r="AA79" s="425"/>
      <c r="AB79" s="425"/>
      <c r="AC79" s="425"/>
      <c r="AD79" s="425"/>
      <c r="AE79" s="425"/>
      <c r="AF79" s="425"/>
      <c r="AG79" s="425">
        <f t="shared" si="11"/>
        <v>6497</v>
      </c>
    </row>
    <row r="80" spans="1:33" x14ac:dyDescent="0.2">
      <c r="A80" s="372">
        <f>'Input - Customer Data'!$B$7-6</f>
        <v>2012</v>
      </c>
      <c r="B80" s="228" t="s">
        <v>78</v>
      </c>
      <c r="C80" s="373">
        <f t="shared" si="10"/>
        <v>8218</v>
      </c>
      <c r="E80" s="425">
        <v>14585568.310000001</v>
      </c>
      <c r="F80" s="448"/>
      <c r="G80" s="425">
        <f>2997341+1422012</f>
        <v>4419353</v>
      </c>
      <c r="H80" s="425">
        <v>5727</v>
      </c>
      <c r="I80" s="425">
        <v>1912724</v>
      </c>
      <c r="J80" s="425">
        <v>710</v>
      </c>
      <c r="K80" s="425">
        <v>5591096</v>
      </c>
      <c r="L80" s="426">
        <v>13152.5</v>
      </c>
      <c r="M80" s="425">
        <v>61</v>
      </c>
      <c r="N80" s="425">
        <v>1866014</v>
      </c>
      <c r="O80" s="426">
        <v>4008</v>
      </c>
      <c r="P80" s="425">
        <v>1</v>
      </c>
      <c r="Q80" s="425">
        <v>41466</v>
      </c>
      <c r="R80" s="426">
        <v>6</v>
      </c>
      <c r="S80" s="425">
        <v>3491</v>
      </c>
      <c r="T80" s="425">
        <v>9.6999999999999993</v>
      </c>
      <c r="U80" s="426">
        <v>27</v>
      </c>
      <c r="V80" s="446">
        <v>30754</v>
      </c>
      <c r="W80" s="425">
        <v>214.9</v>
      </c>
      <c r="X80" s="425">
        <v>1686</v>
      </c>
      <c r="Y80" s="425"/>
      <c r="Z80" s="425"/>
      <c r="AA80" s="425"/>
      <c r="AB80" s="425"/>
      <c r="AC80" s="425"/>
      <c r="AD80" s="425"/>
      <c r="AE80" s="425"/>
      <c r="AF80" s="425"/>
      <c r="AG80" s="425">
        <f t="shared" si="11"/>
        <v>6500</v>
      </c>
    </row>
    <row r="81" spans="1:33" x14ac:dyDescent="0.2">
      <c r="A81" s="372">
        <f>'Input - Customer Data'!$B$7-6</f>
        <v>2012</v>
      </c>
      <c r="B81" s="228" t="s">
        <v>77</v>
      </c>
      <c r="C81" s="373">
        <f t="shared" si="10"/>
        <v>8277</v>
      </c>
      <c r="E81" s="425">
        <v>13424711.959999999</v>
      </c>
      <c r="F81" s="448"/>
      <c r="G81" s="425">
        <f>2655303+1239756</f>
        <v>3895059</v>
      </c>
      <c r="H81" s="425">
        <v>5785</v>
      </c>
      <c r="I81" s="425">
        <v>1724114</v>
      </c>
      <c r="J81" s="425">
        <v>711</v>
      </c>
      <c r="K81" s="425">
        <v>5270789</v>
      </c>
      <c r="L81" s="426">
        <v>12849</v>
      </c>
      <c r="M81" s="425">
        <v>61</v>
      </c>
      <c r="N81" s="425">
        <v>1820326</v>
      </c>
      <c r="O81" s="426">
        <v>4153.8</v>
      </c>
      <c r="P81" s="425">
        <v>1</v>
      </c>
      <c r="Q81" s="425">
        <v>41466</v>
      </c>
      <c r="R81" s="426">
        <v>6</v>
      </c>
      <c r="S81" s="425">
        <v>3269</v>
      </c>
      <c r="T81" s="425">
        <v>9.08</v>
      </c>
      <c r="U81" s="426">
        <v>27</v>
      </c>
      <c r="V81" s="446">
        <v>115075</v>
      </c>
      <c r="W81" s="425">
        <v>264.5</v>
      </c>
      <c r="X81" s="425">
        <v>1686</v>
      </c>
      <c r="Y81" s="425"/>
      <c r="Z81" s="425"/>
      <c r="AA81" s="425"/>
      <c r="AB81" s="425"/>
      <c r="AC81" s="425"/>
      <c r="AD81" s="425"/>
      <c r="AE81" s="425"/>
      <c r="AF81" s="425"/>
      <c r="AG81" s="425">
        <f t="shared" si="11"/>
        <v>6559</v>
      </c>
    </row>
    <row r="82" spans="1:33" x14ac:dyDescent="0.2">
      <c r="A82" s="372">
        <f>'Input - Customer Data'!$B$7-6</f>
        <v>2012</v>
      </c>
      <c r="B82" s="228" t="s">
        <v>76</v>
      </c>
      <c r="C82" s="373">
        <f t="shared" si="10"/>
        <v>8303</v>
      </c>
      <c r="E82" s="425">
        <v>13395036.780000001</v>
      </c>
      <c r="F82" s="448"/>
      <c r="G82" s="425">
        <f>2442295+1121384</f>
        <v>3563679</v>
      </c>
      <c r="H82" s="425">
        <v>5812</v>
      </c>
      <c r="I82" s="425">
        <v>1708502</v>
      </c>
      <c r="J82" s="425">
        <v>710</v>
      </c>
      <c r="K82" s="425">
        <v>5582065</v>
      </c>
      <c r="L82" s="426">
        <v>14099.900000000001</v>
      </c>
      <c r="M82" s="425">
        <v>61</v>
      </c>
      <c r="N82" s="425">
        <v>1809110</v>
      </c>
      <c r="O82" s="426">
        <v>3902.4</v>
      </c>
      <c r="P82" s="425">
        <v>1</v>
      </c>
      <c r="Q82" s="425">
        <v>41466</v>
      </c>
      <c r="R82" s="426">
        <v>6</v>
      </c>
      <c r="S82" s="425">
        <v>3491</v>
      </c>
      <c r="T82" s="425">
        <v>9.6999999999999993</v>
      </c>
      <c r="U82" s="426">
        <v>27</v>
      </c>
      <c r="V82" s="446">
        <v>123012</v>
      </c>
      <c r="W82" s="425">
        <v>264.5</v>
      </c>
      <c r="X82" s="425">
        <v>1686</v>
      </c>
      <c r="Y82" s="425"/>
      <c r="Z82" s="425"/>
      <c r="AA82" s="425"/>
      <c r="AB82" s="425"/>
      <c r="AC82" s="425"/>
      <c r="AD82" s="425"/>
      <c r="AE82" s="425"/>
      <c r="AF82" s="425"/>
      <c r="AG82" s="425">
        <f t="shared" si="11"/>
        <v>6585</v>
      </c>
    </row>
    <row r="83" spans="1:33" x14ac:dyDescent="0.2">
      <c r="A83" s="372">
        <f>'Input - Customer Data'!$B$7-6</f>
        <v>2012</v>
      </c>
      <c r="B83" s="228" t="s">
        <v>75</v>
      </c>
      <c r="C83" s="373">
        <f t="shared" si="10"/>
        <v>8315</v>
      </c>
      <c r="E83" s="425">
        <v>12290763.689999999</v>
      </c>
      <c r="F83" s="448"/>
      <c r="G83" s="425">
        <f>2279298+1056711</f>
        <v>3336009</v>
      </c>
      <c r="H83" s="425">
        <v>5823</v>
      </c>
      <c r="I83" s="425">
        <v>1547266</v>
      </c>
      <c r="J83" s="425">
        <v>714</v>
      </c>
      <c r="K83" s="425">
        <v>5004111</v>
      </c>
      <c r="L83" s="426">
        <v>13148</v>
      </c>
      <c r="M83" s="425">
        <v>58</v>
      </c>
      <c r="N83" s="425">
        <v>1731923</v>
      </c>
      <c r="O83" s="426">
        <v>3821.6</v>
      </c>
      <c r="P83" s="425">
        <v>1</v>
      </c>
      <c r="Q83" s="425">
        <v>43227</v>
      </c>
      <c r="R83" s="426">
        <v>6</v>
      </c>
      <c r="S83" s="425">
        <v>3380</v>
      </c>
      <c r="T83" s="425">
        <v>9.39</v>
      </c>
      <c r="U83" s="426">
        <v>27</v>
      </c>
      <c r="V83" s="446">
        <v>92192</v>
      </c>
      <c r="W83" s="425">
        <v>264.5</v>
      </c>
      <c r="X83" s="425">
        <v>1686</v>
      </c>
      <c r="Y83" s="425"/>
      <c r="Z83" s="425"/>
      <c r="AA83" s="425"/>
      <c r="AB83" s="425"/>
      <c r="AC83" s="425"/>
      <c r="AD83" s="425"/>
      <c r="AE83" s="425"/>
      <c r="AF83" s="425"/>
      <c r="AG83" s="425">
        <f t="shared" si="11"/>
        <v>6597</v>
      </c>
    </row>
    <row r="84" spans="1:33" x14ac:dyDescent="0.2">
      <c r="A84" s="372">
        <f>'Input - Customer Data'!$B$7-6</f>
        <v>2012</v>
      </c>
      <c r="B84" s="228" t="s">
        <v>74</v>
      </c>
      <c r="C84" s="373">
        <f t="shared" si="10"/>
        <v>8312</v>
      </c>
      <c r="E84" s="425">
        <v>12220935.48</v>
      </c>
      <c r="F84" s="448"/>
      <c r="G84" s="425">
        <f>2162151+1023630</f>
        <v>3185781</v>
      </c>
      <c r="H84" s="425">
        <v>5823</v>
      </c>
      <c r="I84" s="425">
        <v>1623842</v>
      </c>
      <c r="J84" s="425">
        <v>704</v>
      </c>
      <c r="K84" s="425">
        <v>5454714</v>
      </c>
      <c r="L84" s="426">
        <v>14105.2</v>
      </c>
      <c r="M84" s="425">
        <v>58</v>
      </c>
      <c r="N84" s="425">
        <v>1336238</v>
      </c>
      <c r="O84" s="426">
        <v>3725.2</v>
      </c>
      <c r="P84" s="425">
        <v>1</v>
      </c>
      <c r="Q84" s="425">
        <v>43227</v>
      </c>
      <c r="R84" s="426">
        <v>13</v>
      </c>
      <c r="S84" s="425">
        <v>3491</v>
      </c>
      <c r="T84" s="425">
        <v>9.6999999999999993</v>
      </c>
      <c r="U84" s="426">
        <v>27</v>
      </c>
      <c r="V84" s="446">
        <v>94308</v>
      </c>
      <c r="W84" s="425">
        <v>264.5</v>
      </c>
      <c r="X84" s="425">
        <v>1686</v>
      </c>
      <c r="Y84" s="425"/>
      <c r="Z84" s="425"/>
      <c r="AA84" s="425"/>
      <c r="AB84" s="425"/>
      <c r="AC84" s="425"/>
      <c r="AD84" s="425"/>
      <c r="AE84" s="425"/>
      <c r="AF84" s="425"/>
      <c r="AG84" s="425">
        <f t="shared" si="11"/>
        <v>6587</v>
      </c>
    </row>
    <row r="85" spans="1:33" x14ac:dyDescent="0.2">
      <c r="A85" s="372">
        <f>'Input - Customer Data'!$B$7-6</f>
        <v>2012</v>
      </c>
      <c r="B85" s="228" t="s">
        <v>73</v>
      </c>
      <c r="C85" s="373">
        <f t="shared" si="10"/>
        <v>8318</v>
      </c>
      <c r="E85" s="425">
        <v>12944227.84</v>
      </c>
      <c r="F85" s="448"/>
      <c r="G85" s="425">
        <f>2467820+1174143</f>
        <v>3641963</v>
      </c>
      <c r="H85" s="425">
        <v>5829</v>
      </c>
      <c r="I85" s="425">
        <v>1651880</v>
      </c>
      <c r="J85" s="425">
        <v>705</v>
      </c>
      <c r="K85" s="425">
        <v>5416226</v>
      </c>
      <c r="L85" s="426">
        <v>14353.8</v>
      </c>
      <c r="M85" s="425">
        <v>57</v>
      </c>
      <c r="N85" s="425">
        <v>1552922</v>
      </c>
      <c r="O85" s="426">
        <v>3511.2</v>
      </c>
      <c r="P85" s="425">
        <v>1</v>
      </c>
      <c r="Q85" s="425">
        <v>43227</v>
      </c>
      <c r="R85" s="426">
        <v>13</v>
      </c>
      <c r="S85" s="425">
        <v>3380</v>
      </c>
      <c r="T85" s="425">
        <v>9.39</v>
      </c>
      <c r="U85" s="426">
        <v>27</v>
      </c>
      <c r="V85" s="446">
        <v>91266</v>
      </c>
      <c r="W85" s="425">
        <v>264.5</v>
      </c>
      <c r="X85" s="425">
        <v>1686</v>
      </c>
      <c r="Y85" s="425"/>
      <c r="Z85" s="425"/>
      <c r="AA85" s="425"/>
      <c r="AB85" s="425"/>
      <c r="AC85" s="425"/>
      <c r="AD85" s="425"/>
      <c r="AE85" s="425"/>
      <c r="AF85" s="425"/>
      <c r="AG85" s="425">
        <f t="shared" si="11"/>
        <v>6593</v>
      </c>
    </row>
    <row r="86" spans="1:33" x14ac:dyDescent="0.2">
      <c r="A86" s="372">
        <f>'Input - Customer Data'!$B$7-6</f>
        <v>2012</v>
      </c>
      <c r="B86" s="228" t="s">
        <v>72</v>
      </c>
      <c r="C86" s="373">
        <f t="shared" si="10"/>
        <v>8327</v>
      </c>
      <c r="E86" s="425">
        <v>14085492.18</v>
      </c>
      <c r="F86" s="448"/>
      <c r="G86" s="425">
        <f>2999878+1410566</f>
        <v>4410444</v>
      </c>
      <c r="H86" s="425">
        <v>5831</v>
      </c>
      <c r="I86" s="425">
        <v>1843020</v>
      </c>
      <c r="J86" s="425">
        <v>703</v>
      </c>
      <c r="K86" s="425">
        <v>5479020</v>
      </c>
      <c r="L86" s="426">
        <v>14145.7</v>
      </c>
      <c r="M86" s="425">
        <v>57</v>
      </c>
      <c r="N86" s="425">
        <v>1598484</v>
      </c>
      <c r="O86" s="426">
        <v>3519.5</v>
      </c>
      <c r="P86" s="425">
        <v>1</v>
      </c>
      <c r="Q86" s="425">
        <v>43227</v>
      </c>
      <c r="R86" s="426">
        <v>13</v>
      </c>
      <c r="S86" s="425">
        <v>3491</v>
      </c>
      <c r="T86" s="425">
        <v>9.6999999999999993</v>
      </c>
      <c r="U86" s="426">
        <v>31</v>
      </c>
      <c r="V86" s="446">
        <v>72484</v>
      </c>
      <c r="W86" s="425">
        <v>264.5</v>
      </c>
      <c r="X86" s="425">
        <v>1691</v>
      </c>
      <c r="Y86" s="425"/>
      <c r="Z86" s="425"/>
      <c r="AA86" s="425"/>
      <c r="AB86" s="425"/>
      <c r="AC86" s="425"/>
      <c r="AD86" s="425"/>
      <c r="AE86" s="425"/>
      <c r="AF86" s="425"/>
      <c r="AG86" s="425">
        <f t="shared" si="11"/>
        <v>6593</v>
      </c>
    </row>
    <row r="87" spans="1:33" x14ac:dyDescent="0.2">
      <c r="A87" s="372">
        <f>'Input - Customer Data'!$B$7-6</f>
        <v>2012</v>
      </c>
      <c r="B87" s="228" t="s">
        <v>71</v>
      </c>
      <c r="C87" s="373">
        <f t="shared" si="10"/>
        <v>8328</v>
      </c>
      <c r="E87" s="425">
        <v>12866836.789999999</v>
      </c>
      <c r="F87" s="448"/>
      <c r="G87" s="425">
        <f>2577415+1209835</f>
        <v>3787250</v>
      </c>
      <c r="H87" s="425">
        <v>5831</v>
      </c>
      <c r="I87" s="425">
        <v>1735295</v>
      </c>
      <c r="J87" s="425">
        <v>704</v>
      </c>
      <c r="K87" s="425">
        <v>5351732</v>
      </c>
      <c r="L87" s="426">
        <v>14096.699999999999</v>
      </c>
      <c r="M87" s="425">
        <v>57</v>
      </c>
      <c r="N87" s="425">
        <v>1294134</v>
      </c>
      <c r="O87" s="426">
        <v>3475</v>
      </c>
      <c r="P87" s="425">
        <v>1</v>
      </c>
      <c r="Q87" s="425">
        <v>43227</v>
      </c>
      <c r="R87" s="426">
        <v>13</v>
      </c>
      <c r="S87" s="425">
        <v>3491</v>
      </c>
      <c r="T87" s="425">
        <v>9.6999999999999993</v>
      </c>
      <c r="U87" s="426">
        <v>31</v>
      </c>
      <c r="V87" s="446">
        <v>71757</v>
      </c>
      <c r="W87" s="425">
        <v>264.5</v>
      </c>
      <c r="X87" s="425">
        <v>1691</v>
      </c>
      <c r="Y87" s="425"/>
      <c r="Z87" s="425"/>
      <c r="AA87" s="425"/>
      <c r="AB87" s="425"/>
      <c r="AC87" s="425"/>
      <c r="AD87" s="425"/>
      <c r="AE87" s="425"/>
      <c r="AF87" s="425"/>
      <c r="AG87" s="425">
        <f t="shared" si="11"/>
        <v>6594</v>
      </c>
    </row>
    <row r="88" spans="1:33" x14ac:dyDescent="0.2">
      <c r="A88" s="372">
        <f>'Input - Customer Data'!$B$7-6</f>
        <v>2012</v>
      </c>
      <c r="B88" s="228" t="s">
        <v>70</v>
      </c>
      <c r="C88" s="373">
        <f t="shared" si="10"/>
        <v>8332</v>
      </c>
      <c r="E88" s="425">
        <v>11419289.079999998</v>
      </c>
      <c r="F88" s="448"/>
      <c r="G88" s="425">
        <f>2223367+1062225</f>
        <v>3285592</v>
      </c>
      <c r="H88" s="425">
        <v>5834</v>
      </c>
      <c r="I88" s="425">
        <v>1521959</v>
      </c>
      <c r="J88" s="425">
        <v>705</v>
      </c>
      <c r="K88" s="425">
        <v>4881535</v>
      </c>
      <c r="L88" s="426">
        <v>14057.5</v>
      </c>
      <c r="M88" s="425">
        <v>57</v>
      </c>
      <c r="N88" s="425">
        <v>1671482</v>
      </c>
      <c r="O88" s="426">
        <v>3686.5</v>
      </c>
      <c r="P88" s="425">
        <v>1</v>
      </c>
      <c r="Q88" s="425">
        <v>43227</v>
      </c>
      <c r="R88" s="426">
        <v>13</v>
      </c>
      <c r="S88" s="425">
        <v>3380</v>
      </c>
      <c r="T88" s="425">
        <v>9.39</v>
      </c>
      <c r="U88" s="426">
        <v>31</v>
      </c>
      <c r="V88" s="446">
        <v>69442</v>
      </c>
      <c r="W88" s="425">
        <v>264.5</v>
      </c>
      <c r="X88" s="425">
        <v>1691</v>
      </c>
      <c r="Y88" s="425"/>
      <c r="Z88" s="425"/>
      <c r="AA88" s="425"/>
      <c r="AB88" s="425"/>
      <c r="AC88" s="425"/>
      <c r="AD88" s="425"/>
      <c r="AE88" s="425"/>
      <c r="AF88" s="425"/>
      <c r="AG88" s="425">
        <f t="shared" si="11"/>
        <v>6598</v>
      </c>
    </row>
    <row r="89" spans="1:33" x14ac:dyDescent="0.2">
      <c r="A89" s="372">
        <f>'Input - Customer Data'!$B$7-6</f>
        <v>2012</v>
      </c>
      <c r="B89" s="228" t="s">
        <v>69</v>
      </c>
      <c r="C89" s="373">
        <f t="shared" si="10"/>
        <v>8331</v>
      </c>
      <c r="E89" s="425">
        <v>12504352.99</v>
      </c>
      <c r="F89" s="448"/>
      <c r="G89" s="425">
        <f>2348000+1125010</f>
        <v>3473010</v>
      </c>
      <c r="H89" s="425">
        <v>5832</v>
      </c>
      <c r="I89" s="425">
        <v>1599314</v>
      </c>
      <c r="J89" s="425">
        <v>706</v>
      </c>
      <c r="K89" s="425">
        <v>5176983</v>
      </c>
      <c r="L89" s="426">
        <v>13607.5</v>
      </c>
      <c r="M89" s="425">
        <v>57</v>
      </c>
      <c r="N89" s="425">
        <v>1946608</v>
      </c>
      <c r="O89" s="426">
        <v>3763.2</v>
      </c>
      <c r="P89" s="425">
        <v>1</v>
      </c>
      <c r="Q89" s="425">
        <v>43227</v>
      </c>
      <c r="R89" s="426">
        <v>13</v>
      </c>
      <c r="S89" s="425">
        <v>3491</v>
      </c>
      <c r="T89" s="425">
        <v>9.6999999999999993</v>
      </c>
      <c r="U89" s="426">
        <v>31</v>
      </c>
      <c r="V89" s="446">
        <v>101518</v>
      </c>
      <c r="W89" s="425">
        <v>264.5</v>
      </c>
      <c r="X89" s="425">
        <v>1691</v>
      </c>
      <c r="Y89" s="425"/>
      <c r="Z89" s="425"/>
      <c r="AA89" s="425"/>
      <c r="AB89" s="425"/>
      <c r="AC89" s="425"/>
      <c r="AD89" s="425"/>
      <c r="AE89" s="425"/>
      <c r="AF89" s="425"/>
      <c r="AG89" s="425">
        <f t="shared" si="11"/>
        <v>6597</v>
      </c>
    </row>
    <row r="90" spans="1:33" x14ac:dyDescent="0.2">
      <c r="A90" s="372">
        <f>'Input - Customer Data'!$B$7-6</f>
        <v>2012</v>
      </c>
      <c r="B90" s="228" t="s">
        <v>68</v>
      </c>
      <c r="C90" s="373">
        <f t="shared" si="10"/>
        <v>8333</v>
      </c>
      <c r="E90" s="425">
        <v>13335727.779999999</v>
      </c>
      <c r="F90" s="448"/>
      <c r="G90" s="425">
        <f>2557338+1218899</f>
        <v>3776237</v>
      </c>
      <c r="H90" s="425">
        <v>5834</v>
      </c>
      <c r="I90" s="425">
        <v>1674468</v>
      </c>
      <c r="J90" s="425">
        <v>705</v>
      </c>
      <c r="K90" s="425">
        <v>5130586</v>
      </c>
      <c r="L90" s="426">
        <v>13167.3</v>
      </c>
      <c r="M90" s="425">
        <v>58</v>
      </c>
      <c r="N90" s="425">
        <v>1881726</v>
      </c>
      <c r="O90" s="426">
        <v>3885.3</v>
      </c>
      <c r="P90" s="425">
        <v>1</v>
      </c>
      <c r="Q90" s="425">
        <v>43227</v>
      </c>
      <c r="R90" s="426">
        <v>13</v>
      </c>
      <c r="S90" s="425">
        <v>3380</v>
      </c>
      <c r="T90" s="425">
        <v>9.39</v>
      </c>
      <c r="U90" s="426">
        <v>31</v>
      </c>
      <c r="V90" s="446">
        <v>99203</v>
      </c>
      <c r="W90" s="425">
        <v>264.5</v>
      </c>
      <c r="X90" s="425">
        <v>1691</v>
      </c>
      <c r="Y90" s="425"/>
      <c r="Z90" s="425"/>
      <c r="AA90" s="425"/>
      <c r="AB90" s="425"/>
      <c r="AC90" s="425"/>
      <c r="AD90" s="425"/>
      <c r="AE90" s="425"/>
      <c r="AF90" s="425"/>
      <c r="AG90" s="425">
        <f t="shared" si="11"/>
        <v>6599</v>
      </c>
    </row>
    <row r="91" spans="1:33" x14ac:dyDescent="0.2">
      <c r="A91" s="372">
        <f>'Input - Customer Data'!$B$7-6</f>
        <v>2012</v>
      </c>
      <c r="B91" s="228" t="s">
        <v>67</v>
      </c>
      <c r="C91" s="373">
        <f t="shared" si="10"/>
        <v>8381</v>
      </c>
      <c r="E91" s="425">
        <v>13423622.510000002</v>
      </c>
      <c r="F91" s="448"/>
      <c r="G91" s="425">
        <f>1435328+3014081</f>
        <v>4449409</v>
      </c>
      <c r="H91" s="425">
        <v>5883</v>
      </c>
      <c r="I91" s="425">
        <v>1761746</v>
      </c>
      <c r="J91" s="425">
        <v>705</v>
      </c>
      <c r="K91" s="425">
        <v>4947753</v>
      </c>
      <c r="L91" s="426">
        <v>13300.7</v>
      </c>
      <c r="M91" s="425">
        <v>58</v>
      </c>
      <c r="N91" s="425">
        <v>1441357</v>
      </c>
      <c r="O91" s="426">
        <v>3818</v>
      </c>
      <c r="P91" s="425">
        <v>1</v>
      </c>
      <c r="Q91" s="425">
        <v>45167</v>
      </c>
      <c r="R91" s="426">
        <v>13</v>
      </c>
      <c r="S91" s="425">
        <v>3491</v>
      </c>
      <c r="T91" s="425">
        <v>9.6999999999999993</v>
      </c>
      <c r="U91" s="426">
        <v>31</v>
      </c>
      <c r="V91" s="446">
        <v>102510</v>
      </c>
      <c r="W91" s="425">
        <v>264.5</v>
      </c>
      <c r="X91" s="425">
        <v>1690</v>
      </c>
      <c r="Y91" s="425"/>
      <c r="Z91" s="425"/>
      <c r="AA91" s="425"/>
      <c r="AB91" s="425"/>
      <c r="AC91" s="425"/>
      <c r="AD91" s="425"/>
      <c r="AE91" s="425"/>
      <c r="AF91" s="425"/>
      <c r="AG91" s="425">
        <f t="shared" si="11"/>
        <v>6648</v>
      </c>
    </row>
    <row r="92" spans="1:33" x14ac:dyDescent="0.2">
      <c r="A92" s="372">
        <f>'Input - Customer Data'!$B$7-5</f>
        <v>2013</v>
      </c>
      <c r="B92" s="228" t="s">
        <v>78</v>
      </c>
      <c r="C92" s="373">
        <f t="shared" si="10"/>
        <v>8385</v>
      </c>
      <c r="E92" s="425">
        <v>14721308.310000001</v>
      </c>
      <c r="F92" s="448"/>
      <c r="G92" s="425">
        <f>1422564+3040248</f>
        <v>4462812</v>
      </c>
      <c r="H92" s="425">
        <v>5884</v>
      </c>
      <c r="I92" s="425">
        <v>1901528</v>
      </c>
      <c r="J92" s="425">
        <v>708</v>
      </c>
      <c r="K92" s="425">
        <v>5654548</v>
      </c>
      <c r="L92" s="425">
        <v>13817.400000000001</v>
      </c>
      <c r="M92" s="425">
        <v>58</v>
      </c>
      <c r="N92" s="425">
        <v>1904154</v>
      </c>
      <c r="O92" s="425">
        <v>3657.6</v>
      </c>
      <c r="P92" s="425">
        <v>1</v>
      </c>
      <c r="Q92" s="425">
        <v>45115</v>
      </c>
      <c r="R92" s="425">
        <v>13</v>
      </c>
      <c r="S92" s="425">
        <v>3491</v>
      </c>
      <c r="T92" s="425">
        <v>9.6999999999999993</v>
      </c>
      <c r="U92" s="425">
        <v>31</v>
      </c>
      <c r="V92" s="446">
        <v>123012</v>
      </c>
      <c r="W92" s="425">
        <v>264.5</v>
      </c>
      <c r="X92" s="425">
        <v>1690</v>
      </c>
      <c r="Y92" s="425"/>
      <c r="Z92" s="425"/>
      <c r="AA92" s="425"/>
      <c r="AB92" s="425"/>
      <c r="AC92" s="425"/>
      <c r="AD92" s="425"/>
      <c r="AE92" s="425"/>
      <c r="AF92" s="425"/>
      <c r="AG92" s="425">
        <f t="shared" si="11"/>
        <v>6652</v>
      </c>
    </row>
    <row r="93" spans="1:33" x14ac:dyDescent="0.2">
      <c r="A93" s="372">
        <f>'Input - Customer Data'!$B$7-5</f>
        <v>2013</v>
      </c>
      <c r="B93" s="228" t="s">
        <v>77</v>
      </c>
      <c r="C93" s="373">
        <f t="shared" si="10"/>
        <v>8392</v>
      </c>
      <c r="E93" s="425">
        <v>13334088.129999999</v>
      </c>
      <c r="F93" s="448"/>
      <c r="G93" s="425">
        <f>1275649+2771784</f>
        <v>4047433</v>
      </c>
      <c r="H93" s="425">
        <v>5891</v>
      </c>
      <c r="I93" s="425">
        <v>1750872</v>
      </c>
      <c r="J93" s="425">
        <v>708</v>
      </c>
      <c r="K93" s="425">
        <v>5122661</v>
      </c>
      <c r="L93" s="425">
        <v>13557.900000000001</v>
      </c>
      <c r="M93" s="425">
        <v>58</v>
      </c>
      <c r="N93" s="425">
        <v>1668988</v>
      </c>
      <c r="O93" s="425">
        <v>3825.6</v>
      </c>
      <c r="P93" s="425">
        <v>1</v>
      </c>
      <c r="Q93" s="425">
        <v>45115</v>
      </c>
      <c r="R93" s="425">
        <v>13</v>
      </c>
      <c r="S93" s="425">
        <v>3158</v>
      </c>
      <c r="T93" s="425">
        <v>8.77</v>
      </c>
      <c r="U93" s="425">
        <v>31</v>
      </c>
      <c r="V93" s="446">
        <v>111107</v>
      </c>
      <c r="W93" s="425">
        <v>264.5</v>
      </c>
      <c r="X93" s="425">
        <v>1690</v>
      </c>
      <c r="Y93" s="425"/>
      <c r="Z93" s="425"/>
      <c r="AA93" s="425"/>
      <c r="AB93" s="425"/>
      <c r="AC93" s="425"/>
      <c r="AD93" s="425"/>
      <c r="AE93" s="425"/>
      <c r="AF93" s="425"/>
      <c r="AG93" s="425">
        <f t="shared" si="11"/>
        <v>6659</v>
      </c>
    </row>
    <row r="94" spans="1:33" x14ac:dyDescent="0.2">
      <c r="A94" s="372">
        <f>'Input - Customer Data'!$B$7-5</f>
        <v>2013</v>
      </c>
      <c r="B94" s="228" t="s">
        <v>76</v>
      </c>
      <c r="C94" s="373">
        <f t="shared" si="10"/>
        <v>8401</v>
      </c>
      <c r="E94" s="425">
        <v>13602922.4</v>
      </c>
      <c r="F94" s="448"/>
      <c r="G94" s="425">
        <f>1281260+2771372</f>
        <v>4052632</v>
      </c>
      <c r="H94" s="425">
        <v>5899</v>
      </c>
      <c r="I94" s="425">
        <v>1817845</v>
      </c>
      <c r="J94" s="425">
        <v>709</v>
      </c>
      <c r="K94" s="425">
        <v>5396916</v>
      </c>
      <c r="L94" s="425">
        <v>13533.2</v>
      </c>
      <c r="M94" s="425">
        <v>58</v>
      </c>
      <c r="N94" s="425">
        <v>1596826</v>
      </c>
      <c r="O94" s="425">
        <v>3561.6</v>
      </c>
      <c r="P94" s="425">
        <v>1</v>
      </c>
      <c r="Q94" s="425">
        <v>45115</v>
      </c>
      <c r="R94" s="425">
        <v>13</v>
      </c>
      <c r="S94" s="425">
        <v>3491</v>
      </c>
      <c r="T94" s="425">
        <v>9.6999999999999993</v>
      </c>
      <c r="U94" s="425">
        <v>31</v>
      </c>
      <c r="V94" s="446">
        <v>123012</v>
      </c>
      <c r="W94" s="425">
        <v>264.5</v>
      </c>
      <c r="X94" s="425">
        <v>1690</v>
      </c>
      <c r="Y94" s="425"/>
      <c r="Z94" s="425"/>
      <c r="AA94" s="425"/>
      <c r="AB94" s="425"/>
      <c r="AC94" s="425"/>
      <c r="AD94" s="425"/>
      <c r="AE94" s="425"/>
      <c r="AF94" s="425"/>
      <c r="AG94" s="425">
        <f t="shared" si="11"/>
        <v>6668</v>
      </c>
    </row>
    <row r="95" spans="1:33" x14ac:dyDescent="0.2">
      <c r="A95" s="372">
        <f>'Input - Customer Data'!$B$7-5</f>
        <v>2013</v>
      </c>
      <c r="B95" s="228" t="s">
        <v>75</v>
      </c>
      <c r="C95" s="373">
        <f t="shared" si="10"/>
        <v>8406</v>
      </c>
      <c r="E95" s="425">
        <v>12506882.4</v>
      </c>
      <c r="F95" s="448"/>
      <c r="G95" s="425">
        <f>1122996+2418784</f>
        <v>3541780</v>
      </c>
      <c r="H95" s="425">
        <v>5904</v>
      </c>
      <c r="I95" s="425">
        <v>1634353</v>
      </c>
      <c r="J95" s="425">
        <v>709</v>
      </c>
      <c r="K95" s="425">
        <v>5166799</v>
      </c>
      <c r="L95" s="425">
        <v>13791.099999999999</v>
      </c>
      <c r="M95" s="425">
        <v>58</v>
      </c>
      <c r="N95" s="425">
        <v>1480166</v>
      </c>
      <c r="O95" s="425">
        <v>3331.2</v>
      </c>
      <c r="P95" s="425">
        <v>1</v>
      </c>
      <c r="Q95" s="425">
        <v>44935</v>
      </c>
      <c r="R95" s="425">
        <v>13</v>
      </c>
      <c r="S95" s="425">
        <v>3380</v>
      </c>
      <c r="T95" s="425">
        <v>9.39</v>
      </c>
      <c r="U95" s="425">
        <v>31</v>
      </c>
      <c r="V95" s="446">
        <v>92192</v>
      </c>
      <c r="W95" s="425">
        <v>264.5</v>
      </c>
      <c r="X95" s="425">
        <v>1690</v>
      </c>
      <c r="Y95" s="425"/>
      <c r="Z95" s="425"/>
      <c r="AA95" s="425"/>
      <c r="AB95" s="425"/>
      <c r="AC95" s="425"/>
      <c r="AD95" s="425"/>
      <c r="AE95" s="425"/>
      <c r="AF95" s="425"/>
      <c r="AG95" s="425">
        <f t="shared" si="11"/>
        <v>6673</v>
      </c>
    </row>
    <row r="96" spans="1:33" x14ac:dyDescent="0.2">
      <c r="A96" s="372">
        <f>'Input - Customer Data'!$B$7-5</f>
        <v>2013</v>
      </c>
      <c r="B96" s="228" t="s">
        <v>74</v>
      </c>
      <c r="C96" s="373">
        <f t="shared" si="10"/>
        <v>8406</v>
      </c>
      <c r="E96" s="425">
        <v>12028746.640000001</v>
      </c>
      <c r="F96" s="448"/>
      <c r="G96" s="425">
        <f>1026713+2202296</f>
        <v>3229009</v>
      </c>
      <c r="H96" s="425">
        <v>5906</v>
      </c>
      <c r="I96" s="425">
        <v>1549094</v>
      </c>
      <c r="J96" s="425">
        <v>707</v>
      </c>
      <c r="K96" s="425">
        <v>5255584</v>
      </c>
      <c r="L96" s="425">
        <v>14752.2</v>
      </c>
      <c r="M96" s="425">
        <v>58</v>
      </c>
      <c r="N96" s="425">
        <v>1325677</v>
      </c>
      <c r="O96" s="425">
        <v>3431.9</v>
      </c>
      <c r="P96" s="425">
        <v>1</v>
      </c>
      <c r="Q96" s="425">
        <v>44935</v>
      </c>
      <c r="R96" s="425">
        <v>13</v>
      </c>
      <c r="S96" s="425">
        <v>3491</v>
      </c>
      <c r="T96" s="425">
        <v>9.6999999999999993</v>
      </c>
      <c r="U96" s="425">
        <v>31</v>
      </c>
      <c r="V96" s="446">
        <v>94308</v>
      </c>
      <c r="W96" s="425">
        <v>264.5</v>
      </c>
      <c r="X96" s="425">
        <v>1690</v>
      </c>
      <c r="Y96" s="425"/>
      <c r="Z96" s="425"/>
      <c r="AA96" s="425"/>
      <c r="AB96" s="425"/>
      <c r="AC96" s="425"/>
      <c r="AD96" s="425"/>
      <c r="AE96" s="425"/>
      <c r="AF96" s="425"/>
      <c r="AG96" s="425">
        <f t="shared" si="11"/>
        <v>6673</v>
      </c>
    </row>
    <row r="97" spans="1:33" x14ac:dyDescent="0.2">
      <c r="A97" s="372">
        <f>'Input - Customer Data'!$B$7-5</f>
        <v>2013</v>
      </c>
      <c r="B97" s="228" t="s">
        <v>73</v>
      </c>
      <c r="C97" s="373">
        <f t="shared" ref="C97:C151" si="12">H97+J97+M97+P97+R97+U97+X97</f>
        <v>8406</v>
      </c>
      <c r="E97" s="425">
        <v>12310607.66</v>
      </c>
      <c r="F97" s="448"/>
      <c r="G97" s="425">
        <f>1133098+2409287</f>
        <v>3542385</v>
      </c>
      <c r="H97" s="425">
        <v>5906</v>
      </c>
      <c r="I97" s="425">
        <v>1562556</v>
      </c>
      <c r="J97" s="425">
        <v>707</v>
      </c>
      <c r="K97" s="425">
        <v>5059236</v>
      </c>
      <c r="L97" s="425">
        <v>14715.7</v>
      </c>
      <c r="M97" s="425">
        <v>58</v>
      </c>
      <c r="N97" s="425">
        <v>1461647</v>
      </c>
      <c r="O97" s="425">
        <v>3206.4</v>
      </c>
      <c r="P97" s="425">
        <v>1</v>
      </c>
      <c r="Q97" s="425">
        <v>44935</v>
      </c>
      <c r="R97" s="425">
        <v>13</v>
      </c>
      <c r="S97" s="425">
        <v>3380</v>
      </c>
      <c r="T97" s="425">
        <v>9.39</v>
      </c>
      <c r="U97" s="425">
        <v>31</v>
      </c>
      <c r="V97" s="446">
        <v>91266</v>
      </c>
      <c r="W97" s="425">
        <v>264.5</v>
      </c>
      <c r="X97" s="425">
        <v>1690</v>
      </c>
      <c r="Y97" s="425"/>
      <c r="Z97" s="425"/>
      <c r="AA97" s="425"/>
      <c r="AB97" s="425"/>
      <c r="AC97" s="425"/>
      <c r="AD97" s="425"/>
      <c r="AE97" s="425"/>
      <c r="AF97" s="425"/>
      <c r="AG97" s="425">
        <f t="shared" ref="AG97:AG150" si="13">H97+J97+M97+1+1</f>
        <v>6673</v>
      </c>
    </row>
    <row r="98" spans="1:33" x14ac:dyDescent="0.2">
      <c r="A98" s="372">
        <f>'Input - Customer Data'!$B$7-5</f>
        <v>2013</v>
      </c>
      <c r="B98" s="228" t="s">
        <v>72</v>
      </c>
      <c r="C98" s="373">
        <f t="shared" si="12"/>
        <v>8407</v>
      </c>
      <c r="E98" s="425">
        <v>13491261.029999999</v>
      </c>
      <c r="F98" s="448"/>
      <c r="G98" s="425">
        <f>1349473+2914254</f>
        <v>4263727</v>
      </c>
      <c r="H98" s="425">
        <v>5907</v>
      </c>
      <c r="I98" s="425">
        <v>1766065</v>
      </c>
      <c r="J98" s="425">
        <v>708</v>
      </c>
      <c r="K98" s="425">
        <v>5059586</v>
      </c>
      <c r="L98" s="425">
        <v>14607.599999999999</v>
      </c>
      <c r="M98" s="425">
        <v>57</v>
      </c>
      <c r="N98" s="425">
        <v>1646185</v>
      </c>
      <c r="O98" s="425">
        <v>3532.8</v>
      </c>
      <c r="P98" s="425">
        <v>1</v>
      </c>
      <c r="Q98" s="425">
        <v>44935</v>
      </c>
      <c r="R98" s="425">
        <v>13</v>
      </c>
      <c r="S98" s="425">
        <v>3491</v>
      </c>
      <c r="T98" s="425">
        <v>9.6999999999999993</v>
      </c>
      <c r="U98" s="425">
        <v>31</v>
      </c>
      <c r="V98" s="446">
        <v>72484</v>
      </c>
      <c r="W98" s="425">
        <v>264.5</v>
      </c>
      <c r="X98" s="425">
        <v>1690</v>
      </c>
      <c r="Y98" s="425"/>
      <c r="Z98" s="425"/>
      <c r="AA98" s="425"/>
      <c r="AB98" s="425"/>
      <c r="AC98" s="425"/>
      <c r="AD98" s="425"/>
      <c r="AE98" s="425"/>
      <c r="AF98" s="425"/>
      <c r="AG98" s="425">
        <f t="shared" si="13"/>
        <v>6674</v>
      </c>
    </row>
    <row r="99" spans="1:33" x14ac:dyDescent="0.2">
      <c r="A99" s="372">
        <f>'Input - Customer Data'!$B$7-5</f>
        <v>2013</v>
      </c>
      <c r="B99" s="228" t="s">
        <v>71</v>
      </c>
      <c r="C99" s="373">
        <f t="shared" si="12"/>
        <v>8411</v>
      </c>
      <c r="E99" s="425">
        <v>12274415.560000001</v>
      </c>
      <c r="F99" s="448"/>
      <c r="G99" s="425">
        <f>1180768+2560134</f>
        <v>3740902</v>
      </c>
      <c r="H99" s="425">
        <v>5910</v>
      </c>
      <c r="I99" s="425">
        <v>1659838</v>
      </c>
      <c r="J99" s="425">
        <v>709</v>
      </c>
      <c r="K99" s="425">
        <v>4888312</v>
      </c>
      <c r="L99" s="425">
        <v>13813.599999999999</v>
      </c>
      <c r="M99" s="425">
        <v>57</v>
      </c>
      <c r="N99" s="425">
        <v>1289952</v>
      </c>
      <c r="O99" s="425">
        <v>3803.4</v>
      </c>
      <c r="P99" s="425">
        <v>1</v>
      </c>
      <c r="Q99" s="425">
        <v>46663</v>
      </c>
      <c r="R99" s="425">
        <v>13</v>
      </c>
      <c r="S99" s="425">
        <v>3503</v>
      </c>
      <c r="T99" s="425">
        <v>9.73</v>
      </c>
      <c r="U99" s="425">
        <v>31</v>
      </c>
      <c r="V99" s="446">
        <v>71757</v>
      </c>
      <c r="W99" s="425">
        <v>264.5</v>
      </c>
      <c r="X99" s="425">
        <v>1690</v>
      </c>
      <c r="Y99" s="425"/>
      <c r="Z99" s="425"/>
      <c r="AA99" s="425"/>
      <c r="AB99" s="425"/>
      <c r="AC99" s="425"/>
      <c r="AD99" s="425"/>
      <c r="AE99" s="425"/>
      <c r="AF99" s="425"/>
      <c r="AG99" s="425">
        <f t="shared" si="13"/>
        <v>6678</v>
      </c>
    </row>
    <row r="100" spans="1:33" x14ac:dyDescent="0.2">
      <c r="A100" s="372">
        <f>'Input - Customer Data'!$B$7-5</f>
        <v>2013</v>
      </c>
      <c r="B100" s="228" t="s">
        <v>70</v>
      </c>
      <c r="C100" s="373">
        <f t="shared" si="12"/>
        <v>8412</v>
      </c>
      <c r="E100" s="425">
        <v>11911110.810000001</v>
      </c>
      <c r="F100" s="448"/>
      <c r="G100" s="425">
        <f>1068524+2294416</f>
        <v>3362940</v>
      </c>
      <c r="H100" s="425">
        <v>5911</v>
      </c>
      <c r="I100" s="425">
        <v>1499681</v>
      </c>
      <c r="J100" s="425">
        <v>710</v>
      </c>
      <c r="K100" s="425">
        <v>4743822</v>
      </c>
      <c r="L100" s="425">
        <v>14337.6</v>
      </c>
      <c r="M100" s="425">
        <v>56</v>
      </c>
      <c r="N100" s="425">
        <v>1626941</v>
      </c>
      <c r="O100" s="425">
        <v>3747.6</v>
      </c>
      <c r="P100" s="425">
        <v>1</v>
      </c>
      <c r="Q100" s="425">
        <v>46663</v>
      </c>
      <c r="R100" s="425">
        <v>13</v>
      </c>
      <c r="S100" s="425">
        <v>3392</v>
      </c>
      <c r="T100" s="425">
        <v>9.42</v>
      </c>
      <c r="U100" s="425">
        <v>31</v>
      </c>
      <c r="V100" s="446">
        <v>69442</v>
      </c>
      <c r="W100" s="425">
        <v>264.5</v>
      </c>
      <c r="X100" s="425">
        <v>1690</v>
      </c>
      <c r="Y100" s="425"/>
      <c r="Z100" s="425"/>
      <c r="AA100" s="425"/>
      <c r="AB100" s="425"/>
      <c r="AC100" s="425"/>
      <c r="AD100" s="425"/>
      <c r="AE100" s="425"/>
      <c r="AF100" s="425"/>
      <c r="AG100" s="425">
        <f t="shared" si="13"/>
        <v>6679</v>
      </c>
    </row>
    <row r="101" spans="1:33" x14ac:dyDescent="0.2">
      <c r="A101" s="372">
        <f>'Input - Customer Data'!$B$7-5</f>
        <v>2013</v>
      </c>
      <c r="B101" s="228" t="s">
        <v>69</v>
      </c>
      <c r="C101" s="373">
        <f t="shared" si="12"/>
        <v>8410</v>
      </c>
      <c r="E101" s="425">
        <v>12332005.879999999</v>
      </c>
      <c r="F101" s="448"/>
      <c r="G101" s="425">
        <f>1121104+2380389</f>
        <v>3501493</v>
      </c>
      <c r="H101" s="425">
        <v>5912</v>
      </c>
      <c r="I101" s="425">
        <v>1584167</v>
      </c>
      <c r="J101" s="425">
        <v>707</v>
      </c>
      <c r="K101" s="425">
        <v>4851543</v>
      </c>
      <c r="L101" s="425">
        <v>13468.1</v>
      </c>
      <c r="M101" s="425">
        <v>56</v>
      </c>
      <c r="N101" s="425">
        <v>1689839</v>
      </c>
      <c r="O101" s="425">
        <v>3566.4</v>
      </c>
      <c r="P101" s="425">
        <v>1</v>
      </c>
      <c r="Q101" s="425">
        <v>46663</v>
      </c>
      <c r="R101" s="425">
        <v>13</v>
      </c>
      <c r="S101" s="425">
        <v>3335</v>
      </c>
      <c r="T101" s="425">
        <v>9.26</v>
      </c>
      <c r="U101" s="425">
        <v>31</v>
      </c>
      <c r="V101" s="446">
        <v>101518</v>
      </c>
      <c r="W101" s="425">
        <v>264.5</v>
      </c>
      <c r="X101" s="425">
        <v>1690</v>
      </c>
      <c r="Y101" s="425"/>
      <c r="Z101" s="425"/>
      <c r="AA101" s="425"/>
      <c r="AB101" s="425"/>
      <c r="AC101" s="425"/>
      <c r="AD101" s="425"/>
      <c r="AE101" s="425"/>
      <c r="AF101" s="425"/>
      <c r="AG101" s="425">
        <f t="shared" si="13"/>
        <v>6677</v>
      </c>
    </row>
    <row r="102" spans="1:33" x14ac:dyDescent="0.2">
      <c r="A102" s="372">
        <f>'Input - Customer Data'!$B$7-5</f>
        <v>2013</v>
      </c>
      <c r="B102" s="228" t="s">
        <v>68</v>
      </c>
      <c r="C102" s="373">
        <f t="shared" si="12"/>
        <v>8443</v>
      </c>
      <c r="E102" s="425">
        <v>12760586.09</v>
      </c>
      <c r="F102" s="448"/>
      <c r="G102" s="425">
        <f>1255791+2715221</f>
        <v>3971012</v>
      </c>
      <c r="H102" s="425">
        <v>5940</v>
      </c>
      <c r="I102" s="425">
        <v>1718403</v>
      </c>
      <c r="J102" s="425">
        <v>712</v>
      </c>
      <c r="K102" s="425">
        <v>4782728</v>
      </c>
      <c r="L102" s="425">
        <v>12486.300000000001</v>
      </c>
      <c r="M102" s="425">
        <v>56</v>
      </c>
      <c r="N102" s="425">
        <v>1535861</v>
      </c>
      <c r="O102" s="425">
        <v>3523.2</v>
      </c>
      <c r="P102" s="425">
        <v>1</v>
      </c>
      <c r="Q102" s="425">
        <v>46663</v>
      </c>
      <c r="R102" s="425">
        <v>13</v>
      </c>
      <c r="S102" s="425">
        <v>3229</v>
      </c>
      <c r="T102" s="425">
        <v>8.9700000000000006</v>
      </c>
      <c r="U102" s="425">
        <v>31</v>
      </c>
      <c r="V102" s="446">
        <v>99203</v>
      </c>
      <c r="W102" s="425">
        <v>264.5</v>
      </c>
      <c r="X102" s="425">
        <v>1690</v>
      </c>
      <c r="Y102" s="425"/>
      <c r="Z102" s="425"/>
      <c r="AA102" s="425"/>
      <c r="AB102" s="425"/>
      <c r="AC102" s="425"/>
      <c r="AD102" s="425"/>
      <c r="AE102" s="425"/>
      <c r="AF102" s="425"/>
      <c r="AG102" s="425">
        <f t="shared" si="13"/>
        <v>6710</v>
      </c>
    </row>
    <row r="103" spans="1:33" x14ac:dyDescent="0.2">
      <c r="A103" s="372">
        <f>'Input - Customer Data'!$B$7-5</f>
        <v>2013</v>
      </c>
      <c r="B103" s="228" t="s">
        <v>67</v>
      </c>
      <c r="C103" s="373">
        <f t="shared" si="12"/>
        <v>8456</v>
      </c>
      <c r="E103" s="425">
        <v>13566672.9</v>
      </c>
      <c r="F103" s="448"/>
      <c r="G103" s="425">
        <f>1496380+3265304</f>
        <v>4761684</v>
      </c>
      <c r="H103" s="425">
        <v>5939</v>
      </c>
      <c r="I103" s="425">
        <v>1898000</v>
      </c>
      <c r="J103" s="425">
        <v>714</v>
      </c>
      <c r="K103" s="425">
        <v>4681772</v>
      </c>
      <c r="L103" s="425">
        <v>12492.6</v>
      </c>
      <c r="M103" s="425">
        <v>56</v>
      </c>
      <c r="N103" s="425">
        <v>1382750</v>
      </c>
      <c r="O103" s="425">
        <v>3627.7</v>
      </c>
      <c r="P103" s="425">
        <v>1</v>
      </c>
      <c r="Q103" s="425">
        <v>46663</v>
      </c>
      <c r="R103" s="425">
        <v>13</v>
      </c>
      <c r="S103" s="425">
        <v>3335</v>
      </c>
      <c r="T103" s="425">
        <v>9.26</v>
      </c>
      <c r="U103" s="425">
        <v>31</v>
      </c>
      <c r="V103" s="446">
        <v>102510</v>
      </c>
      <c r="W103" s="425">
        <v>264.5</v>
      </c>
      <c r="X103" s="425">
        <v>1702</v>
      </c>
      <c r="Y103" s="425"/>
      <c r="Z103" s="425"/>
      <c r="AA103" s="425"/>
      <c r="AB103" s="425"/>
      <c r="AC103" s="425"/>
      <c r="AD103" s="425"/>
      <c r="AE103" s="425"/>
      <c r="AF103" s="425"/>
      <c r="AG103" s="425">
        <f t="shared" si="13"/>
        <v>6711</v>
      </c>
    </row>
    <row r="104" spans="1:33" x14ac:dyDescent="0.2">
      <c r="A104" s="372">
        <f>'Input - Customer Data'!$B$7-4</f>
        <v>2014</v>
      </c>
      <c r="B104" s="228" t="s">
        <v>78</v>
      </c>
      <c r="C104" s="373">
        <f t="shared" si="12"/>
        <v>8455</v>
      </c>
      <c r="E104" s="426">
        <v>14721918.530000001</v>
      </c>
      <c r="F104" s="448"/>
      <c r="G104" s="426">
        <f>3373033+1554971</f>
        <v>4928004</v>
      </c>
      <c r="H104" s="425">
        <v>5938</v>
      </c>
      <c r="I104" s="426">
        <v>2079002</v>
      </c>
      <c r="J104" s="425">
        <v>714</v>
      </c>
      <c r="K104" s="425">
        <v>5115352</v>
      </c>
      <c r="L104" s="425">
        <v>12624</v>
      </c>
      <c r="M104" s="425">
        <v>56</v>
      </c>
      <c r="N104" s="425">
        <v>1743521</v>
      </c>
      <c r="O104" s="425">
        <v>4000.6</v>
      </c>
      <c r="P104" s="425">
        <v>1</v>
      </c>
      <c r="Q104" s="425">
        <v>47217</v>
      </c>
      <c r="R104" s="425">
        <v>13</v>
      </c>
      <c r="S104" s="425">
        <v>3335</v>
      </c>
      <c r="T104" s="425">
        <v>9.26</v>
      </c>
      <c r="U104" s="425">
        <v>31</v>
      </c>
      <c r="V104" s="446">
        <v>121654</v>
      </c>
      <c r="W104" s="426">
        <v>264.39999999999998</v>
      </c>
      <c r="X104" s="425">
        <v>1702</v>
      </c>
      <c r="Y104" s="426"/>
      <c r="Z104" s="425"/>
      <c r="AA104" s="426"/>
      <c r="AB104" s="425"/>
      <c r="AC104" s="426"/>
      <c r="AD104" s="425"/>
      <c r="AE104" s="426"/>
      <c r="AF104" s="425"/>
      <c r="AG104" s="425">
        <f t="shared" si="13"/>
        <v>6710</v>
      </c>
    </row>
    <row r="105" spans="1:33" x14ac:dyDescent="0.2">
      <c r="A105" s="372">
        <f>'Input - Customer Data'!$B$7-4</f>
        <v>2014</v>
      </c>
      <c r="B105" s="228" t="s">
        <v>77</v>
      </c>
      <c r="C105" s="373">
        <f t="shared" si="12"/>
        <v>8457</v>
      </c>
      <c r="E105" s="426">
        <v>12985802.09</v>
      </c>
      <c r="F105" s="448"/>
      <c r="G105" s="426">
        <f>2889284+1344418</f>
        <v>4233702</v>
      </c>
      <c r="H105" s="425">
        <v>5940</v>
      </c>
      <c r="I105" s="426">
        <v>1842925</v>
      </c>
      <c r="J105" s="425">
        <v>713</v>
      </c>
      <c r="K105" s="425">
        <v>4573986</v>
      </c>
      <c r="L105" s="425">
        <v>12392.7</v>
      </c>
      <c r="M105" s="425">
        <v>57</v>
      </c>
      <c r="N105" s="425">
        <v>1550201</v>
      </c>
      <c r="O105" s="425">
        <v>3499.2</v>
      </c>
      <c r="P105" s="425">
        <v>1</v>
      </c>
      <c r="Q105" s="425">
        <v>47860</v>
      </c>
      <c r="R105" s="425">
        <v>13</v>
      </c>
      <c r="S105" s="425">
        <v>3004</v>
      </c>
      <c r="T105" s="425">
        <v>8.34</v>
      </c>
      <c r="U105" s="425">
        <v>31</v>
      </c>
      <c r="V105" s="446">
        <v>109880</v>
      </c>
      <c r="W105" s="426">
        <v>261.7</v>
      </c>
      <c r="X105" s="425">
        <v>1702</v>
      </c>
      <c r="Y105" s="426"/>
      <c r="Z105" s="425"/>
      <c r="AA105" s="426"/>
      <c r="AB105" s="425"/>
      <c r="AC105" s="426"/>
      <c r="AD105" s="425"/>
      <c r="AE105" s="426"/>
      <c r="AF105" s="425"/>
      <c r="AG105" s="425">
        <f t="shared" si="13"/>
        <v>6712</v>
      </c>
    </row>
    <row r="106" spans="1:33" x14ac:dyDescent="0.2">
      <c r="A106" s="372">
        <f>'Input - Customer Data'!$B$7-4</f>
        <v>2014</v>
      </c>
      <c r="B106" s="228" t="s">
        <v>76</v>
      </c>
      <c r="C106" s="373">
        <f t="shared" si="12"/>
        <v>8463</v>
      </c>
      <c r="E106" s="426">
        <v>13614018.57</v>
      </c>
      <c r="F106" s="448"/>
      <c r="G106" s="426">
        <f>2969960+1354214</f>
        <v>4324174</v>
      </c>
      <c r="H106" s="425">
        <v>5941</v>
      </c>
      <c r="I106" s="426">
        <v>1942018</v>
      </c>
      <c r="J106" s="425">
        <v>712</v>
      </c>
      <c r="K106" s="425">
        <v>4918109</v>
      </c>
      <c r="L106" s="425">
        <v>12326.8</v>
      </c>
      <c r="M106" s="425">
        <v>57</v>
      </c>
      <c r="N106" s="425">
        <v>1658465</v>
      </c>
      <c r="O106" s="425">
        <v>3619.2</v>
      </c>
      <c r="P106" s="425">
        <v>1</v>
      </c>
      <c r="Q106" s="425">
        <v>47729</v>
      </c>
      <c r="R106" s="425">
        <v>13</v>
      </c>
      <c r="S106" s="425">
        <v>3347</v>
      </c>
      <c r="T106" s="425">
        <v>9.3000000000000007</v>
      </c>
      <c r="U106" s="425">
        <v>31</v>
      </c>
      <c r="V106" s="446">
        <v>121654</v>
      </c>
      <c r="W106" s="426">
        <v>261.7</v>
      </c>
      <c r="X106" s="425">
        <v>1708</v>
      </c>
      <c r="Y106" s="426"/>
      <c r="Z106" s="425"/>
      <c r="AA106" s="426"/>
      <c r="AB106" s="425"/>
      <c r="AC106" s="426"/>
      <c r="AD106" s="425"/>
      <c r="AE106" s="426"/>
      <c r="AF106" s="425"/>
      <c r="AG106" s="425">
        <f t="shared" si="13"/>
        <v>6712</v>
      </c>
    </row>
    <row r="107" spans="1:33" x14ac:dyDescent="0.2">
      <c r="A107" s="372">
        <f>'Input - Customer Data'!$B$7-4</f>
        <v>2014</v>
      </c>
      <c r="B107" s="228" t="s">
        <v>75</v>
      </c>
      <c r="C107" s="373">
        <f t="shared" si="12"/>
        <v>8468</v>
      </c>
      <c r="E107" s="426">
        <v>11649899.119999999</v>
      </c>
      <c r="F107" s="448"/>
      <c r="G107" s="426">
        <f>2409565+1089898</f>
        <v>3499463</v>
      </c>
      <c r="H107" s="425">
        <v>5941</v>
      </c>
      <c r="I107" s="426">
        <v>1606804</v>
      </c>
      <c r="J107" s="425">
        <v>717</v>
      </c>
      <c r="K107" s="425">
        <v>4404504</v>
      </c>
      <c r="L107" s="425">
        <v>12347.4</v>
      </c>
      <c r="M107" s="425">
        <v>57</v>
      </c>
      <c r="N107" s="425">
        <v>1482428</v>
      </c>
      <c r="O107" s="425">
        <v>3271.7</v>
      </c>
      <c r="P107" s="425">
        <v>1</v>
      </c>
      <c r="Q107" s="425">
        <v>47286</v>
      </c>
      <c r="R107" s="425">
        <v>13</v>
      </c>
      <c r="S107" s="425">
        <v>3229</v>
      </c>
      <c r="T107" s="425">
        <v>8.9700000000000006</v>
      </c>
      <c r="U107" s="425">
        <v>31</v>
      </c>
      <c r="V107" s="446">
        <v>91488</v>
      </c>
      <c r="W107" s="426">
        <v>262.60000000000002</v>
      </c>
      <c r="X107" s="425">
        <v>1708</v>
      </c>
      <c r="Y107" s="426"/>
      <c r="Z107" s="425"/>
      <c r="AA107" s="426"/>
      <c r="AB107" s="425"/>
      <c r="AC107" s="426"/>
      <c r="AD107" s="425"/>
      <c r="AE107" s="426"/>
      <c r="AF107" s="425"/>
      <c r="AG107" s="425">
        <f t="shared" si="13"/>
        <v>6717</v>
      </c>
    </row>
    <row r="108" spans="1:33" x14ac:dyDescent="0.2">
      <c r="A108" s="372">
        <f>'Input - Customer Data'!$B$7-4</f>
        <v>2014</v>
      </c>
      <c r="B108" s="228" t="s">
        <v>74</v>
      </c>
      <c r="C108" s="373">
        <f t="shared" si="12"/>
        <v>8468</v>
      </c>
      <c r="E108" s="426">
        <v>11257042.020000001</v>
      </c>
      <c r="F108" s="448"/>
      <c r="G108" s="426">
        <f>2213490+1011972</f>
        <v>3225462</v>
      </c>
      <c r="H108" s="425">
        <v>5942</v>
      </c>
      <c r="I108" s="426">
        <v>1590397</v>
      </c>
      <c r="J108" s="425">
        <v>717</v>
      </c>
      <c r="K108" s="425">
        <v>4573431</v>
      </c>
      <c r="L108" s="425">
        <v>13298.7</v>
      </c>
      <c r="M108" s="425">
        <v>56</v>
      </c>
      <c r="N108" s="425">
        <v>1265899</v>
      </c>
      <c r="O108" s="425">
        <v>3523.2</v>
      </c>
      <c r="P108" s="425">
        <v>1</v>
      </c>
      <c r="Q108" s="425">
        <v>46663</v>
      </c>
      <c r="R108" s="425">
        <v>13</v>
      </c>
      <c r="S108" s="425">
        <v>3335</v>
      </c>
      <c r="T108" s="425">
        <v>9.26</v>
      </c>
      <c r="U108" s="425">
        <v>31</v>
      </c>
      <c r="V108" s="446">
        <v>93588</v>
      </c>
      <c r="W108" s="426">
        <v>262.60000000000002</v>
      </c>
      <c r="X108" s="425">
        <v>1708</v>
      </c>
      <c r="Y108" s="426"/>
      <c r="Z108" s="425"/>
      <c r="AA108" s="426"/>
      <c r="AB108" s="425"/>
      <c r="AC108" s="426"/>
      <c r="AD108" s="425"/>
      <c r="AE108" s="426"/>
      <c r="AF108" s="425"/>
      <c r="AG108" s="425">
        <f t="shared" si="13"/>
        <v>6717</v>
      </c>
    </row>
    <row r="109" spans="1:33" x14ac:dyDescent="0.2">
      <c r="A109" s="372">
        <f>'Input - Customer Data'!$B$7-4</f>
        <v>2014</v>
      </c>
      <c r="B109" s="228" t="s">
        <v>73</v>
      </c>
      <c r="C109" s="373">
        <f t="shared" si="12"/>
        <v>8469</v>
      </c>
      <c r="E109" s="426">
        <v>11926426.470000001</v>
      </c>
      <c r="F109" s="448"/>
      <c r="G109" s="426">
        <f>2410032+1114206</f>
        <v>3524238</v>
      </c>
      <c r="H109" s="425">
        <v>5943</v>
      </c>
      <c r="I109" s="425">
        <v>1605700</v>
      </c>
      <c r="J109" s="425">
        <v>717</v>
      </c>
      <c r="K109" s="425">
        <v>4630312</v>
      </c>
      <c r="L109" s="425">
        <v>13689</v>
      </c>
      <c r="M109" s="425">
        <v>56</v>
      </c>
      <c r="N109" s="425">
        <v>1549817</v>
      </c>
      <c r="O109" s="425">
        <v>3484.8</v>
      </c>
      <c r="P109" s="425">
        <v>1</v>
      </c>
      <c r="Q109" s="425">
        <v>46663</v>
      </c>
      <c r="R109" s="425">
        <v>13</v>
      </c>
      <c r="S109" s="425">
        <v>3229</v>
      </c>
      <c r="T109" s="425">
        <v>8.9700000000000006</v>
      </c>
      <c r="U109" s="425">
        <v>31</v>
      </c>
      <c r="V109" s="446">
        <v>90570</v>
      </c>
      <c r="W109" s="426">
        <v>262.60000000000002</v>
      </c>
      <c r="X109" s="425">
        <v>1708</v>
      </c>
      <c r="Y109" s="426"/>
      <c r="Z109" s="425"/>
      <c r="AA109" s="426"/>
      <c r="AB109" s="425"/>
      <c r="AC109" s="426"/>
      <c r="AD109" s="425"/>
      <c r="AE109" s="426"/>
      <c r="AF109" s="425"/>
      <c r="AG109" s="425">
        <f t="shared" si="13"/>
        <v>6718</v>
      </c>
    </row>
    <row r="110" spans="1:33" x14ac:dyDescent="0.2">
      <c r="A110" s="372">
        <f>'Input - Customer Data'!$B$7-4</f>
        <v>2014</v>
      </c>
      <c r="B110" s="228" t="s">
        <v>72</v>
      </c>
      <c r="C110" s="373">
        <f t="shared" si="12"/>
        <v>8470</v>
      </c>
      <c r="E110" s="426">
        <v>12057150.84</v>
      </c>
      <c r="F110" s="448"/>
      <c r="G110" s="426">
        <f>2489639+1137235</f>
        <v>3626874</v>
      </c>
      <c r="H110" s="425">
        <v>5944</v>
      </c>
      <c r="I110" s="425">
        <v>1645059</v>
      </c>
      <c r="J110" s="425">
        <v>717</v>
      </c>
      <c r="K110" s="425">
        <v>4448565</v>
      </c>
      <c r="L110" s="425">
        <v>13280.8</v>
      </c>
      <c r="M110" s="425">
        <v>56</v>
      </c>
      <c r="N110" s="425">
        <v>1667756</v>
      </c>
      <c r="O110" s="425">
        <v>3484.8</v>
      </c>
      <c r="P110" s="425">
        <v>1</v>
      </c>
      <c r="Q110" s="425">
        <v>46663</v>
      </c>
      <c r="R110" s="425">
        <v>13</v>
      </c>
      <c r="S110" s="425">
        <v>3335</v>
      </c>
      <c r="T110" s="425">
        <v>9.26</v>
      </c>
      <c r="U110" s="425">
        <v>31</v>
      </c>
      <c r="V110" s="446">
        <v>71930</v>
      </c>
      <c r="W110" s="426">
        <v>262.60000000000002</v>
      </c>
      <c r="X110" s="425">
        <v>1708</v>
      </c>
      <c r="Y110" s="426"/>
      <c r="Z110" s="425"/>
      <c r="AA110" s="426"/>
      <c r="AB110" s="425"/>
      <c r="AC110" s="426"/>
      <c r="AD110" s="425"/>
      <c r="AE110" s="426"/>
      <c r="AF110" s="425"/>
      <c r="AG110" s="425">
        <f t="shared" si="13"/>
        <v>6719</v>
      </c>
    </row>
    <row r="111" spans="1:33" x14ac:dyDescent="0.2">
      <c r="A111" s="372">
        <f>'Input - Customer Data'!$B$7-4</f>
        <v>2014</v>
      </c>
      <c r="B111" s="228" t="s">
        <v>71</v>
      </c>
      <c r="C111" s="373">
        <f t="shared" si="12"/>
        <v>8476</v>
      </c>
      <c r="E111" s="426">
        <v>11607472.4</v>
      </c>
      <c r="F111" s="448"/>
      <c r="G111" s="426">
        <f>2477362+1138810</f>
        <v>3616172</v>
      </c>
      <c r="H111" s="425">
        <v>5950</v>
      </c>
      <c r="I111" s="425">
        <v>1619420</v>
      </c>
      <c r="J111" s="425">
        <v>717</v>
      </c>
      <c r="K111" s="425">
        <v>4505004</v>
      </c>
      <c r="L111" s="425">
        <v>13523.2</v>
      </c>
      <c r="M111" s="425">
        <v>56</v>
      </c>
      <c r="N111" s="425">
        <v>1202902</v>
      </c>
      <c r="O111" s="425">
        <v>3345.6</v>
      </c>
      <c r="P111" s="425">
        <v>1</v>
      </c>
      <c r="Q111" s="425">
        <v>46663</v>
      </c>
      <c r="R111" s="425">
        <v>13</v>
      </c>
      <c r="S111" s="425">
        <v>3335</v>
      </c>
      <c r="T111" s="425">
        <v>9.26</v>
      </c>
      <c r="U111" s="425">
        <v>31</v>
      </c>
      <c r="V111" s="446">
        <v>71208</v>
      </c>
      <c r="W111" s="426">
        <v>262.60000000000002</v>
      </c>
      <c r="X111" s="425">
        <v>1708</v>
      </c>
      <c r="Y111" s="426"/>
      <c r="Z111" s="425"/>
      <c r="AA111" s="426"/>
      <c r="AB111" s="425"/>
      <c r="AC111" s="426"/>
      <c r="AD111" s="425"/>
      <c r="AE111" s="426"/>
      <c r="AF111" s="425"/>
      <c r="AG111" s="425">
        <f t="shared" si="13"/>
        <v>6725</v>
      </c>
    </row>
    <row r="112" spans="1:33" x14ac:dyDescent="0.2">
      <c r="A112" s="372">
        <f>'Input - Customer Data'!$B$7-4</f>
        <v>2014</v>
      </c>
      <c r="B112" s="228" t="s">
        <v>70</v>
      </c>
      <c r="C112" s="373">
        <f t="shared" si="12"/>
        <v>8481</v>
      </c>
      <c r="E112" s="426">
        <v>11603450.52</v>
      </c>
      <c r="F112" s="448"/>
      <c r="G112" s="426">
        <f>2285699+1058583</f>
        <v>3344282</v>
      </c>
      <c r="H112" s="425">
        <v>5954</v>
      </c>
      <c r="I112" s="426">
        <v>1531331</v>
      </c>
      <c r="J112" s="425">
        <v>718</v>
      </c>
      <c r="K112" s="425">
        <v>4503785</v>
      </c>
      <c r="L112" s="425">
        <v>13847.599999999999</v>
      </c>
      <c r="M112" s="425">
        <v>56</v>
      </c>
      <c r="N112" s="425">
        <v>1568161</v>
      </c>
      <c r="O112" s="425">
        <v>3451.2</v>
      </c>
      <c r="P112" s="425">
        <v>1</v>
      </c>
      <c r="Q112" s="425">
        <v>46663</v>
      </c>
      <c r="R112" s="425">
        <v>13</v>
      </c>
      <c r="S112" s="425">
        <v>3229</v>
      </c>
      <c r="T112" s="425">
        <v>8.9700000000000006</v>
      </c>
      <c r="U112" s="425">
        <v>31</v>
      </c>
      <c r="V112" s="446">
        <v>68911</v>
      </c>
      <c r="W112" s="426">
        <v>262.60000000000002</v>
      </c>
      <c r="X112" s="425">
        <v>1708</v>
      </c>
      <c r="Y112" s="426"/>
      <c r="Z112" s="425"/>
      <c r="AA112" s="426"/>
      <c r="AB112" s="425"/>
      <c r="AC112" s="426"/>
      <c r="AD112" s="425"/>
      <c r="AE112" s="426"/>
      <c r="AF112" s="425"/>
      <c r="AG112" s="425">
        <f t="shared" si="13"/>
        <v>6730</v>
      </c>
    </row>
    <row r="113" spans="1:33" x14ac:dyDescent="0.2">
      <c r="A113" s="372">
        <f>'Input - Customer Data'!$B$7-4</f>
        <v>2014</v>
      </c>
      <c r="B113" s="228" t="s">
        <v>69</v>
      </c>
      <c r="C113" s="373">
        <f t="shared" si="12"/>
        <v>8484</v>
      </c>
      <c r="E113" s="426">
        <v>11860236.59</v>
      </c>
      <c r="F113" s="448"/>
      <c r="G113" s="426">
        <f>2356498+1094231</f>
        <v>3450729</v>
      </c>
      <c r="H113" s="425">
        <v>5958</v>
      </c>
      <c r="I113" s="426">
        <v>1555306</v>
      </c>
      <c r="J113" s="425">
        <v>717</v>
      </c>
      <c r="K113" s="425">
        <v>4513032</v>
      </c>
      <c r="L113" s="425">
        <v>12583.400000000001</v>
      </c>
      <c r="M113" s="425">
        <v>56</v>
      </c>
      <c r="N113" s="425">
        <v>1638184</v>
      </c>
      <c r="O113" s="425">
        <v>4181.6000000000004</v>
      </c>
      <c r="P113" s="425">
        <v>1</v>
      </c>
      <c r="Q113" s="425">
        <v>46663</v>
      </c>
      <c r="R113" s="425">
        <v>13</v>
      </c>
      <c r="S113" s="425">
        <v>3335</v>
      </c>
      <c r="T113" s="425">
        <v>9.26</v>
      </c>
      <c r="U113" s="425">
        <v>31</v>
      </c>
      <c r="V113" s="446">
        <v>100742</v>
      </c>
      <c r="W113" s="426">
        <v>262.60000000000002</v>
      </c>
      <c r="X113" s="425">
        <v>1708</v>
      </c>
      <c r="Y113" s="426"/>
      <c r="Z113" s="425"/>
      <c r="AA113" s="426"/>
      <c r="AB113" s="425"/>
      <c r="AC113" s="426"/>
      <c r="AD113" s="425"/>
      <c r="AE113" s="426"/>
      <c r="AF113" s="425"/>
      <c r="AG113" s="425">
        <f t="shared" si="13"/>
        <v>6733</v>
      </c>
    </row>
    <row r="114" spans="1:33" x14ac:dyDescent="0.2">
      <c r="A114" s="372">
        <f>'Input - Customer Data'!$B$7-4</f>
        <v>2014</v>
      </c>
      <c r="B114" s="228" t="s">
        <v>68</v>
      </c>
      <c r="C114" s="373">
        <f t="shared" si="12"/>
        <v>8486</v>
      </c>
      <c r="E114" s="427">
        <v>12586538.52</v>
      </c>
      <c r="F114" s="448"/>
      <c r="G114" s="427">
        <f>2699408+1257419</f>
        <v>3956827</v>
      </c>
      <c r="H114" s="425">
        <v>5959</v>
      </c>
      <c r="I114" s="426">
        <v>1702573</v>
      </c>
      <c r="J114" s="425">
        <v>717</v>
      </c>
      <c r="K114" s="425">
        <v>4427011</v>
      </c>
      <c r="L114" s="425">
        <v>12184.5</v>
      </c>
      <c r="M114" s="425">
        <v>57</v>
      </c>
      <c r="N114" s="425">
        <v>1757380</v>
      </c>
      <c r="O114" s="425">
        <v>3681.6</v>
      </c>
      <c r="P114" s="425">
        <v>1</v>
      </c>
      <c r="Q114" s="425">
        <v>46663</v>
      </c>
      <c r="R114" s="425">
        <v>13</v>
      </c>
      <c r="S114" s="425">
        <v>3229</v>
      </c>
      <c r="T114" s="425">
        <v>8.9700000000000006</v>
      </c>
      <c r="U114" s="425">
        <v>31</v>
      </c>
      <c r="V114" s="446">
        <v>98445</v>
      </c>
      <c r="W114" s="426">
        <v>262.60000000000002</v>
      </c>
      <c r="X114" s="425">
        <v>1708</v>
      </c>
      <c r="Y114" s="426"/>
      <c r="Z114" s="425"/>
      <c r="AA114" s="426"/>
      <c r="AB114" s="425"/>
      <c r="AC114" s="426"/>
      <c r="AD114" s="425"/>
      <c r="AE114" s="426"/>
      <c r="AF114" s="425"/>
      <c r="AG114" s="425">
        <f t="shared" si="13"/>
        <v>6735</v>
      </c>
    </row>
    <row r="115" spans="1:33" x14ac:dyDescent="0.2">
      <c r="A115" s="372">
        <f>'Input - Customer Data'!$B$7-4</f>
        <v>2014</v>
      </c>
      <c r="B115" s="228" t="s">
        <v>67</v>
      </c>
      <c r="C115" s="373">
        <f t="shared" si="12"/>
        <v>8481</v>
      </c>
      <c r="E115" s="427">
        <v>12891166.51</v>
      </c>
      <c r="F115" s="448"/>
      <c r="G115" s="427">
        <f>1419187+3028500</f>
        <v>4447687</v>
      </c>
      <c r="H115" s="425">
        <v>5955</v>
      </c>
      <c r="I115" s="426">
        <v>1859334</v>
      </c>
      <c r="J115" s="425">
        <v>716</v>
      </c>
      <c r="K115" s="425">
        <v>4400601</v>
      </c>
      <c r="L115" s="425">
        <v>12161.6</v>
      </c>
      <c r="M115" s="425">
        <v>57</v>
      </c>
      <c r="N115" s="425">
        <v>1377109</v>
      </c>
      <c r="O115" s="425">
        <v>3720</v>
      </c>
      <c r="P115" s="425">
        <v>1</v>
      </c>
      <c r="Q115" s="425">
        <v>46663</v>
      </c>
      <c r="R115" s="425">
        <v>13</v>
      </c>
      <c r="S115" s="425">
        <v>3335</v>
      </c>
      <c r="T115" s="425">
        <v>9.26</v>
      </c>
      <c r="U115" s="425">
        <v>31</v>
      </c>
      <c r="V115" s="446">
        <v>101727</v>
      </c>
      <c r="W115" s="426">
        <v>262.60000000000002</v>
      </c>
      <c r="X115" s="425">
        <v>1708</v>
      </c>
      <c r="Y115" s="426"/>
      <c r="Z115" s="425"/>
      <c r="AA115" s="426"/>
      <c r="AB115" s="425"/>
      <c r="AC115" s="426"/>
      <c r="AD115" s="425"/>
      <c r="AE115" s="426"/>
      <c r="AF115" s="425"/>
      <c r="AG115" s="425">
        <f t="shared" si="13"/>
        <v>6730</v>
      </c>
    </row>
    <row r="116" spans="1:33" x14ac:dyDescent="0.2">
      <c r="A116" s="372">
        <f>'Input - Customer Data'!$B$7-3</f>
        <v>2015</v>
      </c>
      <c r="B116" s="228" t="s">
        <v>78</v>
      </c>
      <c r="C116" s="373">
        <f t="shared" si="12"/>
        <v>8483</v>
      </c>
      <c r="E116" s="426">
        <v>13987815.10923077</v>
      </c>
      <c r="F116" s="448"/>
      <c r="G116" s="426">
        <f>1487564+3207806</f>
        <v>4695370</v>
      </c>
      <c r="H116" s="425">
        <v>5955</v>
      </c>
      <c r="I116" s="426">
        <v>2039474</v>
      </c>
      <c r="J116" s="425">
        <v>718</v>
      </c>
      <c r="K116" s="425">
        <v>4824204</v>
      </c>
      <c r="L116" s="425">
        <v>12532</v>
      </c>
      <c r="M116" s="425">
        <v>57</v>
      </c>
      <c r="N116" s="425">
        <v>1613610</v>
      </c>
      <c r="O116" s="425">
        <v>3720</v>
      </c>
      <c r="P116" s="425">
        <v>1</v>
      </c>
      <c r="Q116" s="425">
        <v>48677</v>
      </c>
      <c r="R116" s="425">
        <v>13</v>
      </c>
      <c r="S116" s="425">
        <v>3335</v>
      </c>
      <c r="T116" s="425">
        <v>9.26</v>
      </c>
      <c r="U116" s="425">
        <v>31</v>
      </c>
      <c r="V116" s="446">
        <v>122072</v>
      </c>
      <c r="W116" s="426">
        <v>262.60000000000002</v>
      </c>
      <c r="X116" s="425">
        <v>1708</v>
      </c>
      <c r="Y116" s="426"/>
      <c r="Z116" s="425"/>
      <c r="AA116" s="426"/>
      <c r="AB116" s="425"/>
      <c r="AC116" s="426"/>
      <c r="AD116" s="425"/>
      <c r="AE116" s="426"/>
      <c r="AF116" s="425"/>
      <c r="AG116" s="425">
        <f t="shared" si="13"/>
        <v>6732</v>
      </c>
    </row>
    <row r="117" spans="1:33" x14ac:dyDescent="0.2">
      <c r="A117" s="372">
        <f>'Input - Customer Data'!$B$7-3</f>
        <v>2015</v>
      </c>
      <c r="B117" s="228" t="s">
        <v>77</v>
      </c>
      <c r="C117" s="373">
        <f t="shared" si="12"/>
        <v>8483</v>
      </c>
      <c r="E117" s="426">
        <v>13128236.121538462</v>
      </c>
      <c r="F117" s="448"/>
      <c r="G117" s="426">
        <f>1366765+3008847</f>
        <v>4375612</v>
      </c>
      <c r="H117" s="425">
        <v>5954</v>
      </c>
      <c r="I117" s="426">
        <v>1948384</v>
      </c>
      <c r="J117" s="425">
        <v>719</v>
      </c>
      <c r="K117" s="425">
        <v>4439341</v>
      </c>
      <c r="L117" s="425">
        <v>12315.1</v>
      </c>
      <c r="M117" s="425">
        <v>57</v>
      </c>
      <c r="N117" s="425">
        <v>1627874</v>
      </c>
      <c r="O117" s="425">
        <v>3835.2</v>
      </c>
      <c r="P117" s="425">
        <v>1</v>
      </c>
      <c r="Q117" s="425">
        <v>47286</v>
      </c>
      <c r="R117" s="425">
        <v>13</v>
      </c>
      <c r="S117" s="425">
        <v>3017</v>
      </c>
      <c r="T117" s="425">
        <v>8.3800000000000008</v>
      </c>
      <c r="U117" s="425">
        <v>31</v>
      </c>
      <c r="V117" s="446">
        <v>110258</v>
      </c>
      <c r="W117" s="426">
        <v>262.60000000000002</v>
      </c>
      <c r="X117" s="425">
        <v>1708</v>
      </c>
      <c r="Y117" s="426"/>
      <c r="Z117" s="425"/>
      <c r="AA117" s="426"/>
      <c r="AB117" s="425"/>
      <c r="AC117" s="426"/>
      <c r="AD117" s="425"/>
      <c r="AE117" s="426"/>
      <c r="AF117" s="425"/>
      <c r="AG117" s="425">
        <f t="shared" si="13"/>
        <v>6732</v>
      </c>
    </row>
    <row r="118" spans="1:33" x14ac:dyDescent="0.2">
      <c r="A118" s="372">
        <f>'Input - Customer Data'!$B$7-3</f>
        <v>2015</v>
      </c>
      <c r="B118" s="228" t="s">
        <v>76</v>
      </c>
      <c r="C118" s="373">
        <f t="shared" si="12"/>
        <v>8482</v>
      </c>
      <c r="E118" s="426">
        <v>13204373.219230771</v>
      </c>
      <c r="F118" s="448"/>
      <c r="G118" s="426">
        <f>1263939+2779363</f>
        <v>4043302</v>
      </c>
      <c r="H118" s="425">
        <v>5953</v>
      </c>
      <c r="I118" s="426">
        <v>1928839</v>
      </c>
      <c r="J118" s="425">
        <v>719</v>
      </c>
      <c r="K118" s="425">
        <v>4760817</v>
      </c>
      <c r="L118" s="425">
        <v>12283.800000000001</v>
      </c>
      <c r="M118" s="425">
        <v>57</v>
      </c>
      <c r="N118" s="425">
        <v>1731065</v>
      </c>
      <c r="O118" s="425">
        <v>3556.8</v>
      </c>
      <c r="P118" s="425">
        <v>1</v>
      </c>
      <c r="Q118" s="425">
        <v>47286</v>
      </c>
      <c r="R118" s="425">
        <v>13</v>
      </c>
      <c r="S118" s="425">
        <v>3335</v>
      </c>
      <c r="T118" s="425">
        <v>9.26</v>
      </c>
      <c r="U118" s="425">
        <v>31</v>
      </c>
      <c r="V118" s="446">
        <v>122072</v>
      </c>
      <c r="W118" s="426">
        <v>262.60000000000002</v>
      </c>
      <c r="X118" s="425">
        <v>1708</v>
      </c>
      <c r="Y118" s="426"/>
      <c r="Z118" s="425"/>
      <c r="AA118" s="426"/>
      <c r="AB118" s="425"/>
      <c r="AC118" s="426"/>
      <c r="AD118" s="425"/>
      <c r="AE118" s="426"/>
      <c r="AF118" s="425"/>
      <c r="AG118" s="425">
        <f t="shared" si="13"/>
        <v>6731</v>
      </c>
    </row>
    <row r="119" spans="1:33" x14ac:dyDescent="0.2">
      <c r="A119" s="372">
        <f>'Input - Customer Data'!$B$7-3</f>
        <v>2015</v>
      </c>
      <c r="B119" s="228" t="s">
        <v>75</v>
      </c>
      <c r="C119" s="373">
        <f t="shared" si="12"/>
        <v>8487</v>
      </c>
      <c r="E119" s="426">
        <v>11410552.486153847</v>
      </c>
      <c r="F119" s="448"/>
      <c r="G119" s="426">
        <f>1049130+2279710</f>
        <v>3328840</v>
      </c>
      <c r="H119" s="425">
        <v>5956</v>
      </c>
      <c r="I119" s="426">
        <v>1620657</v>
      </c>
      <c r="J119" s="425">
        <v>721</v>
      </c>
      <c r="K119" s="425">
        <v>4294452</v>
      </c>
      <c r="L119" s="425">
        <v>12120.5</v>
      </c>
      <c r="M119" s="425">
        <v>57</v>
      </c>
      <c r="N119" s="425">
        <v>1539800</v>
      </c>
      <c r="O119" s="425">
        <v>3464.8</v>
      </c>
      <c r="P119" s="425">
        <v>1</v>
      </c>
      <c r="Q119" s="425">
        <v>47286</v>
      </c>
      <c r="R119" s="425">
        <v>13</v>
      </c>
      <c r="S119" s="425">
        <v>3229</v>
      </c>
      <c r="T119" s="425">
        <v>8.9700000000000006</v>
      </c>
      <c r="U119" s="425">
        <v>31</v>
      </c>
      <c r="V119" s="446">
        <v>91488</v>
      </c>
      <c r="W119" s="426">
        <v>262.60000000000002</v>
      </c>
      <c r="X119" s="425">
        <v>1708</v>
      </c>
      <c r="Y119" s="426"/>
      <c r="Z119" s="425"/>
      <c r="AA119" s="426"/>
      <c r="AB119" s="425"/>
      <c r="AC119" s="426"/>
      <c r="AD119" s="425"/>
      <c r="AE119" s="426"/>
      <c r="AF119" s="425"/>
      <c r="AG119" s="425">
        <f t="shared" si="13"/>
        <v>6736</v>
      </c>
    </row>
    <row r="120" spans="1:33" x14ac:dyDescent="0.2">
      <c r="A120" s="372">
        <f>'Input - Customer Data'!$B$7-3</f>
        <v>2015</v>
      </c>
      <c r="B120" s="228" t="s">
        <v>74</v>
      </c>
      <c r="C120" s="373">
        <f t="shared" si="12"/>
        <v>8489</v>
      </c>
      <c r="E120" s="426">
        <v>10958434.445384616</v>
      </c>
      <c r="F120" s="448"/>
      <c r="G120" s="426">
        <f>1034941+2207307</f>
        <v>3242248</v>
      </c>
      <c r="H120" s="425">
        <v>5955</v>
      </c>
      <c r="I120" s="426">
        <v>1596876</v>
      </c>
      <c r="J120" s="425">
        <v>724</v>
      </c>
      <c r="K120" s="425">
        <v>4389894</v>
      </c>
      <c r="L120" s="425">
        <v>12892.7</v>
      </c>
      <c r="M120" s="425">
        <v>57</v>
      </c>
      <c r="N120" s="425">
        <v>1122655</v>
      </c>
      <c r="O120" s="425">
        <v>3312.2</v>
      </c>
      <c r="P120" s="425">
        <v>1</v>
      </c>
      <c r="Q120" s="425">
        <v>46663</v>
      </c>
      <c r="R120" s="425">
        <v>13</v>
      </c>
      <c r="S120" s="425">
        <v>3335</v>
      </c>
      <c r="T120" s="425">
        <v>9.26</v>
      </c>
      <c r="U120" s="425">
        <v>31</v>
      </c>
      <c r="V120" s="446">
        <v>93588</v>
      </c>
      <c r="W120" s="426">
        <v>262.60000000000002</v>
      </c>
      <c r="X120" s="425">
        <v>1708</v>
      </c>
      <c r="Y120" s="426"/>
      <c r="Z120" s="425"/>
      <c r="AA120" s="426"/>
      <c r="AB120" s="425"/>
      <c r="AC120" s="426"/>
      <c r="AD120" s="425"/>
      <c r="AE120" s="426"/>
      <c r="AF120" s="425"/>
      <c r="AG120" s="425">
        <f t="shared" si="13"/>
        <v>6738</v>
      </c>
    </row>
    <row r="121" spans="1:33" x14ac:dyDescent="0.2">
      <c r="A121" s="372">
        <f>'Input - Customer Data'!$B$7-3</f>
        <v>2015</v>
      </c>
      <c r="B121" s="228" t="s">
        <v>73</v>
      </c>
      <c r="C121" s="373">
        <f t="shared" si="12"/>
        <v>8490</v>
      </c>
      <c r="E121" s="426">
        <v>11142226.466923079</v>
      </c>
      <c r="F121" s="448"/>
      <c r="G121" s="426">
        <f>1043330+2234240</f>
        <v>3277570</v>
      </c>
      <c r="H121" s="425">
        <v>5954</v>
      </c>
      <c r="I121" s="426">
        <v>1595148</v>
      </c>
      <c r="J121" s="425">
        <v>725</v>
      </c>
      <c r="K121" s="425">
        <v>4363896</v>
      </c>
      <c r="L121" s="425">
        <v>13017.400000000001</v>
      </c>
      <c r="M121" s="425">
        <v>57</v>
      </c>
      <c r="N121" s="425">
        <v>1319248</v>
      </c>
      <c r="O121" s="425">
        <v>3248.2</v>
      </c>
      <c r="P121" s="425">
        <v>1</v>
      </c>
      <c r="Q121" s="425">
        <v>46663</v>
      </c>
      <c r="R121" s="425">
        <v>13</v>
      </c>
      <c r="S121" s="425">
        <v>3229</v>
      </c>
      <c r="T121" s="425">
        <v>8.9700000000000006</v>
      </c>
      <c r="U121" s="425">
        <v>31</v>
      </c>
      <c r="V121" s="446">
        <v>90253</v>
      </c>
      <c r="W121" s="426">
        <v>262.60000000000002</v>
      </c>
      <c r="X121" s="425">
        <v>1709</v>
      </c>
      <c r="Y121" s="426"/>
      <c r="Z121" s="425"/>
      <c r="AA121" s="426"/>
      <c r="AB121" s="425"/>
      <c r="AC121" s="426"/>
      <c r="AD121" s="425"/>
      <c r="AE121" s="426"/>
      <c r="AF121" s="425"/>
      <c r="AG121" s="425">
        <f t="shared" si="13"/>
        <v>6738</v>
      </c>
    </row>
    <row r="122" spans="1:33" x14ac:dyDescent="0.2">
      <c r="A122" s="372">
        <f>'Input - Customer Data'!$B$7-3</f>
        <v>2015</v>
      </c>
      <c r="B122" s="228" t="s">
        <v>72</v>
      </c>
      <c r="C122" s="373">
        <f t="shared" si="12"/>
        <v>8491</v>
      </c>
      <c r="E122" s="426">
        <v>12019416.241538461</v>
      </c>
      <c r="F122" s="448"/>
      <c r="G122" s="426">
        <f>1247142+2696925</f>
        <v>3944067</v>
      </c>
      <c r="H122" s="425">
        <v>5954</v>
      </c>
      <c r="I122" s="426">
        <v>1760981</v>
      </c>
      <c r="J122" s="425">
        <v>726</v>
      </c>
      <c r="K122" s="425">
        <v>4374186</v>
      </c>
      <c r="L122" s="425">
        <v>12772.6</v>
      </c>
      <c r="M122" s="425">
        <v>57</v>
      </c>
      <c r="N122" s="425">
        <v>1410110</v>
      </c>
      <c r="O122" s="425">
        <v>3225.3</v>
      </c>
      <c r="P122" s="425">
        <v>1</v>
      </c>
      <c r="Q122" s="425">
        <v>46663</v>
      </c>
      <c r="R122" s="425">
        <v>13</v>
      </c>
      <c r="S122" s="425">
        <v>3335</v>
      </c>
      <c r="T122" s="425">
        <v>9.26</v>
      </c>
      <c r="U122" s="425">
        <v>31</v>
      </c>
      <c r="V122" s="446">
        <v>66503</v>
      </c>
      <c r="W122" s="426">
        <v>257.60000000000002</v>
      </c>
      <c r="X122" s="425">
        <v>1709</v>
      </c>
      <c r="Y122" s="426"/>
      <c r="Z122" s="425"/>
      <c r="AA122" s="426"/>
      <c r="AB122" s="425"/>
      <c r="AC122" s="426"/>
      <c r="AD122" s="425"/>
      <c r="AE122" s="426"/>
      <c r="AF122" s="425"/>
      <c r="AG122" s="425">
        <f t="shared" si="13"/>
        <v>6739</v>
      </c>
    </row>
    <row r="123" spans="1:33" x14ac:dyDescent="0.2">
      <c r="A123" s="372">
        <f>'Input - Customer Data'!$B$7-3</f>
        <v>2015</v>
      </c>
      <c r="B123" s="228" t="s">
        <v>71</v>
      </c>
      <c r="C123" s="373">
        <f t="shared" si="12"/>
        <v>8494</v>
      </c>
      <c r="E123" s="426">
        <v>11373887.692307692</v>
      </c>
      <c r="F123" s="448"/>
      <c r="G123" s="426">
        <f>1169650+2530205</f>
        <v>3699855</v>
      </c>
      <c r="H123" s="425">
        <v>5955</v>
      </c>
      <c r="I123" s="426">
        <v>1676344</v>
      </c>
      <c r="J123" s="425">
        <v>728</v>
      </c>
      <c r="K123" s="425">
        <v>4316400</v>
      </c>
      <c r="L123" s="425">
        <v>13007.7</v>
      </c>
      <c r="M123" s="425">
        <v>57</v>
      </c>
      <c r="N123" s="425">
        <v>1066055</v>
      </c>
      <c r="O123" s="425">
        <v>3139.9</v>
      </c>
      <c r="P123" s="425">
        <v>1</v>
      </c>
      <c r="Q123" s="425">
        <v>46663</v>
      </c>
      <c r="R123" s="425">
        <v>13</v>
      </c>
      <c r="S123" s="425">
        <v>3335</v>
      </c>
      <c r="T123" s="425">
        <v>9.26</v>
      </c>
      <c r="U123" s="425">
        <v>31</v>
      </c>
      <c r="V123" s="446">
        <v>60232</v>
      </c>
      <c r="W123" s="426">
        <v>211.4</v>
      </c>
      <c r="X123" s="425">
        <v>1709</v>
      </c>
      <c r="Y123" s="426"/>
      <c r="Z123" s="425"/>
      <c r="AA123" s="426"/>
      <c r="AB123" s="425"/>
      <c r="AC123" s="426"/>
      <c r="AD123" s="425"/>
      <c r="AE123" s="426"/>
      <c r="AF123" s="425"/>
      <c r="AG123" s="425">
        <f t="shared" si="13"/>
        <v>6742</v>
      </c>
    </row>
    <row r="124" spans="1:33" x14ac:dyDescent="0.2">
      <c r="A124" s="372">
        <f>'Input - Customer Data'!$B$7-3</f>
        <v>2015</v>
      </c>
      <c r="B124" s="228" t="s">
        <v>70</v>
      </c>
      <c r="C124" s="373">
        <f t="shared" si="12"/>
        <v>8501</v>
      </c>
      <c r="E124" s="426">
        <v>11797719.496923078</v>
      </c>
      <c r="F124" s="448"/>
      <c r="G124" s="426">
        <f>1125411+2435407</f>
        <v>3560818</v>
      </c>
      <c r="H124" s="425">
        <v>5960</v>
      </c>
      <c r="I124" s="426">
        <v>1810279</v>
      </c>
      <c r="J124" s="425">
        <v>738</v>
      </c>
      <c r="K124" s="425">
        <v>4367528</v>
      </c>
      <c r="L124" s="425">
        <v>13099.8</v>
      </c>
      <c r="M124" s="425">
        <v>47</v>
      </c>
      <c r="N124" s="425">
        <v>1442460</v>
      </c>
      <c r="O124" s="425">
        <v>3211.2</v>
      </c>
      <c r="P124" s="425">
        <v>1</v>
      </c>
      <c r="Q124" s="425">
        <v>46663</v>
      </c>
      <c r="R124" s="425">
        <v>13</v>
      </c>
      <c r="S124" s="425">
        <v>3229</v>
      </c>
      <c r="T124" s="425">
        <v>8.9700000000000006</v>
      </c>
      <c r="U124" s="425">
        <v>31</v>
      </c>
      <c r="V124" s="446">
        <v>50455</v>
      </c>
      <c r="W124" s="426">
        <v>192.6</v>
      </c>
      <c r="X124" s="425">
        <v>1711</v>
      </c>
      <c r="Y124" s="426"/>
      <c r="Z124" s="425"/>
      <c r="AA124" s="426"/>
      <c r="AB124" s="425"/>
      <c r="AC124" s="426"/>
      <c r="AD124" s="425"/>
      <c r="AE124" s="426"/>
      <c r="AF124" s="425"/>
      <c r="AG124" s="425">
        <f t="shared" si="13"/>
        <v>6747</v>
      </c>
    </row>
    <row r="125" spans="1:33" x14ac:dyDescent="0.2">
      <c r="A125" s="372">
        <f>'Input - Customer Data'!$B$7-3</f>
        <v>2015</v>
      </c>
      <c r="B125" s="228" t="s">
        <v>69</v>
      </c>
      <c r="C125" s="373">
        <f t="shared" si="12"/>
        <v>8505</v>
      </c>
      <c r="E125" s="426">
        <v>11426239.485384615</v>
      </c>
      <c r="F125" s="448"/>
      <c r="G125" s="426">
        <f>1068229+2296401</f>
        <v>3364630</v>
      </c>
      <c r="H125" s="425">
        <v>5962</v>
      </c>
      <c r="I125" s="426">
        <v>1718777</v>
      </c>
      <c r="J125" s="425">
        <v>740</v>
      </c>
      <c r="K125" s="425">
        <v>4135945</v>
      </c>
      <c r="L125" s="425">
        <v>11681.7</v>
      </c>
      <c r="M125" s="425">
        <v>47</v>
      </c>
      <c r="N125" s="425">
        <v>1551995</v>
      </c>
      <c r="O125" s="425">
        <v>3388.8</v>
      </c>
      <c r="P125" s="425">
        <v>1</v>
      </c>
      <c r="Q125" s="425">
        <v>46663</v>
      </c>
      <c r="R125" s="425">
        <v>13</v>
      </c>
      <c r="S125" s="425">
        <v>3335</v>
      </c>
      <c r="T125" s="425">
        <v>9.26</v>
      </c>
      <c r="U125" s="425">
        <v>31</v>
      </c>
      <c r="V125" s="446">
        <v>64542</v>
      </c>
      <c r="W125" s="426">
        <v>186.2</v>
      </c>
      <c r="X125" s="425">
        <v>1711</v>
      </c>
      <c r="Y125" s="426"/>
      <c r="Z125" s="425"/>
      <c r="AA125" s="426"/>
      <c r="AB125" s="425"/>
      <c r="AC125" s="426"/>
      <c r="AD125" s="425"/>
      <c r="AE125" s="426"/>
      <c r="AF125" s="425"/>
      <c r="AG125" s="425">
        <f t="shared" si="13"/>
        <v>6751</v>
      </c>
    </row>
    <row r="126" spans="1:33" x14ac:dyDescent="0.2">
      <c r="A126" s="372">
        <f>'Input - Customer Data'!$B$7-3</f>
        <v>2015</v>
      </c>
      <c r="B126" s="228" t="s">
        <v>68</v>
      </c>
      <c r="C126" s="373">
        <f t="shared" si="12"/>
        <v>8508</v>
      </c>
      <c r="E126" s="426">
        <v>11667095.193846155</v>
      </c>
      <c r="F126" s="448"/>
      <c r="G126" s="426">
        <f>1115981+2387907</f>
        <v>3503888</v>
      </c>
      <c r="H126" s="425">
        <v>5964</v>
      </c>
      <c r="I126" s="426">
        <v>1764392</v>
      </c>
      <c r="J126" s="425">
        <v>741</v>
      </c>
      <c r="K126" s="425">
        <v>4142776</v>
      </c>
      <c r="L126" s="425">
        <v>11792.5</v>
      </c>
      <c r="M126" s="425">
        <v>47</v>
      </c>
      <c r="N126" s="425">
        <v>1597193</v>
      </c>
      <c r="O126" s="425">
        <v>3576</v>
      </c>
      <c r="P126" s="425">
        <v>1</v>
      </c>
      <c r="Q126" s="425">
        <v>46663</v>
      </c>
      <c r="R126" s="425">
        <v>13</v>
      </c>
      <c r="S126" s="425">
        <v>3229</v>
      </c>
      <c r="T126" s="425">
        <v>8.9700000000000006</v>
      </c>
      <c r="U126" s="425">
        <v>31</v>
      </c>
      <c r="V126" s="446">
        <v>54461</v>
      </c>
      <c r="W126" s="426">
        <v>162.5</v>
      </c>
      <c r="X126" s="425">
        <v>1711</v>
      </c>
      <c r="Y126" s="426"/>
      <c r="Z126" s="425"/>
      <c r="AA126" s="426"/>
      <c r="AB126" s="425"/>
      <c r="AC126" s="426"/>
      <c r="AD126" s="425"/>
      <c r="AE126" s="426"/>
      <c r="AF126" s="425"/>
      <c r="AG126" s="425">
        <f t="shared" si="13"/>
        <v>6754</v>
      </c>
    </row>
    <row r="127" spans="1:33" x14ac:dyDescent="0.2">
      <c r="A127" s="372">
        <f>'Input - Customer Data'!$B$7-3</f>
        <v>2015</v>
      </c>
      <c r="B127" s="228" t="s">
        <v>67</v>
      </c>
      <c r="C127" s="373">
        <f t="shared" si="12"/>
        <v>8506</v>
      </c>
      <c r="E127" s="426">
        <v>12145135.487692308</v>
      </c>
      <c r="F127" s="448"/>
      <c r="G127" s="426">
        <f>1305508+815+2753620+2016</f>
        <v>4061959</v>
      </c>
      <c r="H127" s="425">
        <v>5967</v>
      </c>
      <c r="I127" s="426">
        <v>1927409</v>
      </c>
      <c r="J127" s="425">
        <v>742</v>
      </c>
      <c r="K127" s="425">
        <v>4038156</v>
      </c>
      <c r="L127" s="425">
        <v>11461.5</v>
      </c>
      <c r="M127" s="425">
        <v>47</v>
      </c>
      <c r="N127" s="425">
        <v>1273547</v>
      </c>
      <c r="O127" s="425">
        <f>3576+178.1</f>
        <v>3754.1</v>
      </c>
      <c r="P127" s="425">
        <v>1</v>
      </c>
      <c r="Q127" s="425">
        <v>46663</v>
      </c>
      <c r="R127" s="425">
        <v>13</v>
      </c>
      <c r="S127" s="425">
        <v>3335</v>
      </c>
      <c r="T127" s="425">
        <v>9.26</v>
      </c>
      <c r="U127" s="425">
        <v>31</v>
      </c>
      <c r="V127" s="446">
        <v>50205</v>
      </c>
      <c r="W127" s="426">
        <v>141.30000000000001</v>
      </c>
      <c r="X127" s="425">
        <v>1705</v>
      </c>
      <c r="Y127" s="426"/>
      <c r="Z127" s="425"/>
      <c r="AA127" s="426"/>
      <c r="AB127" s="425"/>
      <c r="AC127" s="426"/>
      <c r="AD127" s="425"/>
      <c r="AE127" s="426"/>
      <c r="AF127" s="425"/>
      <c r="AG127" s="425">
        <f t="shared" si="13"/>
        <v>6758</v>
      </c>
    </row>
    <row r="128" spans="1:33" x14ac:dyDescent="0.2">
      <c r="A128" s="372">
        <f>'Input - Customer Data'!$B$7-2</f>
        <v>2016</v>
      </c>
      <c r="B128" s="228" t="s">
        <v>78</v>
      </c>
      <c r="C128" s="373">
        <f t="shared" si="12"/>
        <v>8508</v>
      </c>
      <c r="E128" s="426">
        <v>13174537.98</v>
      </c>
      <c r="F128" s="448"/>
      <c r="G128" s="426">
        <f>922+1376973+2701+2965700</f>
        <v>4346296</v>
      </c>
      <c r="H128" s="425">
        <v>5971</v>
      </c>
      <c r="I128" s="426">
        <v>2135941</v>
      </c>
      <c r="J128" s="425">
        <v>740</v>
      </c>
      <c r="K128" s="425">
        <v>4350536</v>
      </c>
      <c r="L128" s="425">
        <v>11439.8</v>
      </c>
      <c r="M128" s="425">
        <v>47</v>
      </c>
      <c r="N128" s="425">
        <v>1613512</v>
      </c>
      <c r="O128" s="425">
        <v>3777.6</v>
      </c>
      <c r="P128" s="425">
        <v>1</v>
      </c>
      <c r="Q128" s="425">
        <v>48234</v>
      </c>
      <c r="R128" s="425">
        <v>13</v>
      </c>
      <c r="S128" s="425">
        <v>3335</v>
      </c>
      <c r="T128" s="425">
        <v>9.26</v>
      </c>
      <c r="U128" s="425">
        <v>31</v>
      </c>
      <c r="V128" s="446">
        <v>60245</v>
      </c>
      <c r="W128" s="425">
        <v>129.6</v>
      </c>
      <c r="X128" s="425">
        <v>1705</v>
      </c>
      <c r="Y128" s="425"/>
      <c r="Z128" s="425"/>
      <c r="AA128" s="425"/>
      <c r="AB128" s="425"/>
      <c r="AC128" s="425"/>
      <c r="AD128" s="425"/>
      <c r="AE128" s="425"/>
      <c r="AF128" s="425"/>
      <c r="AG128" s="425">
        <f t="shared" si="13"/>
        <v>6760</v>
      </c>
    </row>
    <row r="129" spans="1:33" x14ac:dyDescent="0.2">
      <c r="A129" s="372">
        <f>'Input - Customer Data'!$B$7-2</f>
        <v>2016</v>
      </c>
      <c r="B129" s="228" t="s">
        <v>77</v>
      </c>
      <c r="C129" s="373">
        <f t="shared" si="12"/>
        <v>8511</v>
      </c>
      <c r="E129" s="426">
        <v>12284962.16</v>
      </c>
      <c r="F129" s="448"/>
      <c r="G129" s="426">
        <f>1231085+2664115</f>
        <v>3895200</v>
      </c>
      <c r="H129" s="425">
        <v>5971</v>
      </c>
      <c r="I129" s="426">
        <v>1995932</v>
      </c>
      <c r="J129" s="425">
        <v>743</v>
      </c>
      <c r="K129" s="425">
        <v>4182975</v>
      </c>
      <c r="L129" s="425">
        <v>11415.1</v>
      </c>
      <c r="M129" s="425">
        <v>47</v>
      </c>
      <c r="N129" s="425">
        <v>1537088</v>
      </c>
      <c r="O129" s="425">
        <v>3776.7</v>
      </c>
      <c r="P129" s="425">
        <v>1</v>
      </c>
      <c r="Q129" s="425">
        <v>46843</v>
      </c>
      <c r="R129" s="425">
        <v>13</v>
      </c>
      <c r="S129" s="425">
        <v>3123</v>
      </c>
      <c r="T129" s="425">
        <v>8.68</v>
      </c>
      <c r="U129" s="425">
        <v>31</v>
      </c>
      <c r="V129" s="446">
        <v>56359</v>
      </c>
      <c r="W129" s="425">
        <v>129.6</v>
      </c>
      <c r="X129" s="425">
        <v>1705</v>
      </c>
      <c r="Y129" s="425"/>
      <c r="Z129" s="425"/>
      <c r="AA129" s="425"/>
      <c r="AB129" s="425"/>
      <c r="AC129" s="425"/>
      <c r="AD129" s="425"/>
      <c r="AE129" s="425"/>
      <c r="AF129" s="425"/>
      <c r="AG129" s="425">
        <f t="shared" si="13"/>
        <v>6763</v>
      </c>
    </row>
    <row r="130" spans="1:33" x14ac:dyDescent="0.2">
      <c r="A130" s="372">
        <f>'Input - Customer Data'!$B$7-2</f>
        <v>2016</v>
      </c>
      <c r="B130" s="228" t="s">
        <v>76</v>
      </c>
      <c r="C130" s="373">
        <f t="shared" si="12"/>
        <v>8511</v>
      </c>
      <c r="E130" s="426">
        <v>12300226.49</v>
      </c>
      <c r="F130" s="448"/>
      <c r="G130" s="426">
        <f>1155272+2528371</f>
        <v>3683643</v>
      </c>
      <c r="H130" s="425">
        <v>5972</v>
      </c>
      <c r="I130" s="426">
        <v>1964940</v>
      </c>
      <c r="J130" s="425">
        <v>744</v>
      </c>
      <c r="K130" s="425">
        <v>4281759</v>
      </c>
      <c r="L130" s="425">
        <v>11479.7</v>
      </c>
      <c r="M130" s="425">
        <v>46</v>
      </c>
      <c r="N130" s="425">
        <v>1691395</v>
      </c>
      <c r="O130" s="425">
        <v>3861.6</v>
      </c>
      <c r="P130" s="425">
        <v>1</v>
      </c>
      <c r="Q130" s="425">
        <v>46843</v>
      </c>
      <c r="R130" s="425">
        <v>13</v>
      </c>
      <c r="S130" s="425">
        <v>3335</v>
      </c>
      <c r="T130" s="425">
        <v>9.26</v>
      </c>
      <c r="U130" s="425">
        <v>31</v>
      </c>
      <c r="V130" s="446">
        <v>60245</v>
      </c>
      <c r="W130" s="425">
        <v>129.6</v>
      </c>
      <c r="X130" s="425">
        <v>1704</v>
      </c>
      <c r="Y130" s="425"/>
      <c r="Z130" s="425"/>
      <c r="AA130" s="425"/>
      <c r="AB130" s="425"/>
      <c r="AC130" s="425"/>
      <c r="AD130" s="425"/>
      <c r="AE130" s="425"/>
      <c r="AF130" s="425"/>
      <c r="AG130" s="425">
        <f t="shared" si="13"/>
        <v>6764</v>
      </c>
    </row>
    <row r="131" spans="1:33" x14ac:dyDescent="0.2">
      <c r="A131" s="372">
        <f>'Input - Customer Data'!$B$7-2</f>
        <v>2016</v>
      </c>
      <c r="B131" s="228" t="s">
        <v>75</v>
      </c>
      <c r="C131" s="373">
        <f t="shared" si="12"/>
        <v>8514</v>
      </c>
      <c r="E131" s="426">
        <v>11457704.949999999</v>
      </c>
      <c r="F131" s="448"/>
      <c r="G131" s="426">
        <f>1047470+2284913</f>
        <v>3332383</v>
      </c>
      <c r="H131" s="425">
        <v>5975</v>
      </c>
      <c r="I131" s="426">
        <v>1830481</v>
      </c>
      <c r="J131" s="425">
        <v>744</v>
      </c>
      <c r="K131" s="425">
        <v>4086550</v>
      </c>
      <c r="L131" s="425">
        <v>11972.7</v>
      </c>
      <c r="M131" s="425">
        <v>46</v>
      </c>
      <c r="N131" s="425">
        <v>1598728</v>
      </c>
      <c r="O131" s="425">
        <v>3580.7</v>
      </c>
      <c r="P131" s="425">
        <v>1</v>
      </c>
      <c r="Q131" s="425">
        <v>46663</v>
      </c>
      <c r="R131" s="425">
        <v>13</v>
      </c>
      <c r="S131" s="425">
        <v>3229</v>
      </c>
      <c r="T131" s="425">
        <v>8.9700000000000006</v>
      </c>
      <c r="U131" s="425">
        <v>31</v>
      </c>
      <c r="V131" s="446">
        <v>45152</v>
      </c>
      <c r="W131" s="425">
        <v>129.6</v>
      </c>
      <c r="X131" s="425">
        <v>1704</v>
      </c>
      <c r="Y131" s="425"/>
      <c r="Z131" s="425"/>
      <c r="AA131" s="425"/>
      <c r="AB131" s="425"/>
      <c r="AC131" s="425"/>
      <c r="AD131" s="425"/>
      <c r="AE131" s="425"/>
      <c r="AF131" s="425"/>
      <c r="AG131" s="425">
        <f t="shared" si="13"/>
        <v>6767</v>
      </c>
    </row>
    <row r="132" spans="1:33" x14ac:dyDescent="0.2">
      <c r="A132" s="372">
        <f>'Input - Customer Data'!$B$7-2</f>
        <v>2016</v>
      </c>
      <c r="B132" s="228" t="s">
        <v>74</v>
      </c>
      <c r="C132" s="373">
        <f t="shared" si="12"/>
        <v>8518</v>
      </c>
      <c r="E132" s="426">
        <v>11116983.68</v>
      </c>
      <c r="F132" s="448"/>
      <c r="G132" s="426">
        <f>1016790+2204331</f>
        <v>3221121</v>
      </c>
      <c r="H132" s="425">
        <v>5982</v>
      </c>
      <c r="I132" s="426">
        <v>1791236</v>
      </c>
      <c r="J132" s="425">
        <v>741</v>
      </c>
      <c r="K132" s="425">
        <v>4123468</v>
      </c>
      <c r="L132" s="425">
        <v>12457.2</v>
      </c>
      <c r="M132" s="425">
        <v>46</v>
      </c>
      <c r="N132" s="425">
        <v>1345285</v>
      </c>
      <c r="O132" s="425">
        <v>3628.8</v>
      </c>
      <c r="P132" s="425">
        <v>1</v>
      </c>
      <c r="Q132" s="425">
        <v>46663</v>
      </c>
      <c r="R132" s="425">
        <v>13</v>
      </c>
      <c r="S132" s="425">
        <v>3335</v>
      </c>
      <c r="T132" s="425">
        <v>9.26</v>
      </c>
      <c r="U132" s="425">
        <v>31</v>
      </c>
      <c r="V132" s="446">
        <v>46188</v>
      </c>
      <c r="W132" s="425">
        <v>129.6</v>
      </c>
      <c r="X132" s="425">
        <v>1704</v>
      </c>
      <c r="Y132" s="425"/>
      <c r="Z132" s="425"/>
      <c r="AA132" s="425"/>
      <c r="AB132" s="425"/>
      <c r="AC132" s="425"/>
      <c r="AD132" s="425"/>
      <c r="AE132" s="425"/>
      <c r="AF132" s="425"/>
      <c r="AG132" s="425">
        <f t="shared" si="13"/>
        <v>6771</v>
      </c>
    </row>
    <row r="133" spans="1:33" x14ac:dyDescent="0.2">
      <c r="A133" s="372">
        <f>'Input - Customer Data'!$B$7-2</f>
        <v>2016</v>
      </c>
      <c r="B133" s="228" t="s">
        <v>73</v>
      </c>
      <c r="C133" s="373">
        <f t="shared" si="12"/>
        <v>8525</v>
      </c>
      <c r="E133" s="426">
        <v>11688877.680000002</v>
      </c>
      <c r="F133" s="448"/>
      <c r="G133" s="426">
        <f>2350123+1079356</f>
        <v>3429479</v>
      </c>
      <c r="H133" s="425">
        <v>5982</v>
      </c>
      <c r="I133" s="426">
        <v>1835930</v>
      </c>
      <c r="J133" s="425">
        <v>741</v>
      </c>
      <c r="K133" s="425">
        <v>4189759</v>
      </c>
      <c r="L133" s="425">
        <v>12476.4</v>
      </c>
      <c r="M133" s="425">
        <v>46</v>
      </c>
      <c r="N133" s="425">
        <v>1604176</v>
      </c>
      <c r="O133" s="425">
        <v>3484.8</v>
      </c>
      <c r="P133" s="425">
        <v>1</v>
      </c>
      <c r="Q133" s="425">
        <v>46663</v>
      </c>
      <c r="R133" s="425">
        <v>13</v>
      </c>
      <c r="S133" s="425">
        <v>3229</v>
      </c>
      <c r="T133" s="425">
        <v>8.9700000000000006</v>
      </c>
      <c r="U133" s="425">
        <v>31</v>
      </c>
      <c r="V133" s="446">
        <v>44698</v>
      </c>
      <c r="W133" s="425">
        <v>129.6</v>
      </c>
      <c r="X133" s="425">
        <v>1711</v>
      </c>
      <c r="Y133" s="425"/>
      <c r="Z133" s="425"/>
      <c r="AA133" s="425"/>
      <c r="AB133" s="425"/>
      <c r="AC133" s="425"/>
      <c r="AD133" s="425"/>
      <c r="AE133" s="425"/>
      <c r="AF133" s="425"/>
      <c r="AG133" s="425">
        <f t="shared" si="13"/>
        <v>6771</v>
      </c>
    </row>
    <row r="134" spans="1:33" x14ac:dyDescent="0.2">
      <c r="A134" s="372">
        <f>'Input - Customer Data'!$B$7-2</f>
        <v>2016</v>
      </c>
      <c r="B134" s="228" t="s">
        <v>72</v>
      </c>
      <c r="C134" s="373">
        <f t="shared" si="12"/>
        <v>8529</v>
      </c>
      <c r="E134" s="426">
        <v>12484094.970000001</v>
      </c>
      <c r="F134" s="448"/>
      <c r="G134" s="426">
        <f>2900944+1328784</f>
        <v>4229728</v>
      </c>
      <c r="H134" s="425">
        <v>5985</v>
      </c>
      <c r="I134" s="426">
        <v>2046269</v>
      </c>
      <c r="J134" s="425">
        <v>742</v>
      </c>
      <c r="K134" s="425">
        <v>4045907</v>
      </c>
      <c r="L134" s="425">
        <v>12370.2</v>
      </c>
      <c r="M134" s="425">
        <v>46</v>
      </c>
      <c r="N134" s="425">
        <v>1463812</v>
      </c>
      <c r="O134" s="425">
        <v>3591.2</v>
      </c>
      <c r="P134" s="425">
        <v>1</v>
      </c>
      <c r="Q134" s="425">
        <v>46663</v>
      </c>
      <c r="R134" s="425">
        <v>13</v>
      </c>
      <c r="S134" s="425">
        <v>3335</v>
      </c>
      <c r="T134" s="425">
        <v>9.26</v>
      </c>
      <c r="U134" s="425">
        <v>31</v>
      </c>
      <c r="V134" s="446">
        <v>35500</v>
      </c>
      <c r="W134" s="425">
        <v>129.6</v>
      </c>
      <c r="X134" s="425">
        <v>1711</v>
      </c>
      <c r="Y134" s="425"/>
      <c r="Z134" s="425"/>
      <c r="AA134" s="425"/>
      <c r="AB134" s="425"/>
      <c r="AC134" s="425"/>
      <c r="AD134" s="425"/>
      <c r="AE134" s="425"/>
      <c r="AF134" s="425"/>
      <c r="AG134" s="425">
        <f t="shared" si="13"/>
        <v>6775</v>
      </c>
    </row>
    <row r="135" spans="1:33" x14ac:dyDescent="0.2">
      <c r="A135" s="372">
        <f>'Input - Customer Data'!$B$7-2</f>
        <v>2016</v>
      </c>
      <c r="B135" s="228" t="s">
        <v>71</v>
      </c>
      <c r="C135" s="373">
        <f t="shared" si="12"/>
        <v>8534</v>
      </c>
      <c r="E135" s="426">
        <v>13068297.119999999</v>
      </c>
      <c r="F135" s="448"/>
      <c r="G135" s="426">
        <f>3006315+1376092</f>
        <v>4382407</v>
      </c>
      <c r="H135" s="425">
        <v>5990</v>
      </c>
      <c r="I135" s="426">
        <v>2115916</v>
      </c>
      <c r="J135" s="425">
        <v>742</v>
      </c>
      <c r="K135" s="425">
        <v>4575036</v>
      </c>
      <c r="L135" s="425">
        <v>12638.9</v>
      </c>
      <c r="M135" s="425">
        <v>46</v>
      </c>
      <c r="N135" s="425">
        <v>1275841</v>
      </c>
      <c r="O135" s="425">
        <v>3542.4</v>
      </c>
      <c r="P135" s="425">
        <v>1</v>
      </c>
      <c r="Q135" s="425">
        <v>46663</v>
      </c>
      <c r="R135" s="425">
        <v>13</v>
      </c>
      <c r="S135" s="425">
        <v>3335</v>
      </c>
      <c r="T135" s="425">
        <v>9.26</v>
      </c>
      <c r="U135" s="425">
        <v>31</v>
      </c>
      <c r="V135" s="446">
        <v>35143</v>
      </c>
      <c r="W135" s="425">
        <v>129.6</v>
      </c>
      <c r="X135" s="425">
        <v>1711</v>
      </c>
      <c r="Y135" s="425"/>
      <c r="Z135" s="425"/>
      <c r="AA135" s="425"/>
      <c r="AB135" s="425"/>
      <c r="AC135" s="425"/>
      <c r="AD135" s="425"/>
      <c r="AE135" s="425"/>
      <c r="AF135" s="425"/>
      <c r="AG135" s="425">
        <f t="shared" si="13"/>
        <v>6780</v>
      </c>
    </row>
    <row r="136" spans="1:33" x14ac:dyDescent="0.2">
      <c r="A136" s="372">
        <f>'Input - Customer Data'!$B$7-2</f>
        <v>2016</v>
      </c>
      <c r="B136" s="228" t="s">
        <v>70</v>
      </c>
      <c r="C136" s="373">
        <f t="shared" si="12"/>
        <v>8530</v>
      </c>
      <c r="E136" s="426">
        <v>11716455.57</v>
      </c>
      <c r="F136" s="448"/>
      <c r="G136" s="426">
        <f>2291009+1068940</f>
        <v>3359949</v>
      </c>
      <c r="H136" s="425">
        <v>5993</v>
      </c>
      <c r="I136" s="426">
        <v>1837922</v>
      </c>
      <c r="J136" s="425">
        <v>740</v>
      </c>
      <c r="K136" s="425">
        <v>4337834</v>
      </c>
      <c r="L136" s="425">
        <v>13139.3</v>
      </c>
      <c r="M136" s="425">
        <v>48</v>
      </c>
      <c r="N136" s="425">
        <v>1531980</v>
      </c>
      <c r="O136" s="425">
        <v>3633.6</v>
      </c>
      <c r="P136" s="425">
        <v>1</v>
      </c>
      <c r="Q136" s="425">
        <v>46663</v>
      </c>
      <c r="R136" s="425">
        <v>13</v>
      </c>
      <c r="S136" s="425">
        <v>3229</v>
      </c>
      <c r="T136" s="425">
        <v>8.9700000000000006</v>
      </c>
      <c r="U136" s="425">
        <v>31</v>
      </c>
      <c r="V136" s="446">
        <v>34010</v>
      </c>
      <c r="W136" s="425">
        <v>129.6</v>
      </c>
      <c r="X136" s="425">
        <v>1704</v>
      </c>
      <c r="Y136" s="425"/>
      <c r="Z136" s="425"/>
      <c r="AA136" s="425"/>
      <c r="AB136" s="425"/>
      <c r="AC136" s="425"/>
      <c r="AD136" s="425"/>
      <c r="AE136" s="425"/>
      <c r="AF136" s="425"/>
      <c r="AG136" s="425">
        <f t="shared" si="13"/>
        <v>6783</v>
      </c>
    </row>
    <row r="137" spans="1:33" x14ac:dyDescent="0.2">
      <c r="A137" s="372">
        <f>'Input - Customer Data'!$B$7-2</f>
        <v>2016</v>
      </c>
      <c r="B137" s="228" t="s">
        <v>69</v>
      </c>
      <c r="C137" s="373">
        <f t="shared" si="12"/>
        <v>8535</v>
      </c>
      <c r="E137" s="426">
        <v>11516592.26</v>
      </c>
      <c r="F137" s="448"/>
      <c r="G137" s="426">
        <f>2216429+1043308</f>
        <v>3259737</v>
      </c>
      <c r="H137" s="425">
        <v>6000</v>
      </c>
      <c r="I137" s="426">
        <v>1780598</v>
      </c>
      <c r="J137" s="425">
        <v>738</v>
      </c>
      <c r="K137" s="425">
        <v>4208381</v>
      </c>
      <c r="L137" s="425">
        <v>12579.4</v>
      </c>
      <c r="M137" s="425">
        <v>48</v>
      </c>
      <c r="N137" s="425">
        <v>1616351</v>
      </c>
      <c r="O137" s="425">
        <v>3580.8</v>
      </c>
      <c r="P137" s="425">
        <v>1</v>
      </c>
      <c r="Q137" s="425">
        <v>46663</v>
      </c>
      <c r="R137" s="425">
        <v>13</v>
      </c>
      <c r="S137" s="425">
        <v>3335</v>
      </c>
      <c r="T137" s="425">
        <v>9.26</v>
      </c>
      <c r="U137" s="425">
        <v>31</v>
      </c>
      <c r="V137" s="446">
        <v>49719</v>
      </c>
      <c r="W137" s="425">
        <v>129.6</v>
      </c>
      <c r="X137" s="425">
        <v>1704</v>
      </c>
      <c r="Y137" s="425"/>
      <c r="Z137" s="425"/>
      <c r="AA137" s="425"/>
      <c r="AB137" s="425"/>
      <c r="AC137" s="425"/>
      <c r="AD137" s="425"/>
      <c r="AE137" s="425"/>
      <c r="AF137" s="425"/>
      <c r="AG137" s="425">
        <f t="shared" si="13"/>
        <v>6788</v>
      </c>
    </row>
    <row r="138" spans="1:33" x14ac:dyDescent="0.2">
      <c r="A138" s="372">
        <f>'Input - Customer Data'!$B$7-2</f>
        <v>2016</v>
      </c>
      <c r="B138" s="228" t="s">
        <v>68</v>
      </c>
      <c r="C138" s="373">
        <f t="shared" si="12"/>
        <v>8543</v>
      </c>
      <c r="E138" s="426">
        <v>11833726.34</v>
      </c>
      <c r="F138" s="448"/>
      <c r="G138" s="426">
        <f>2338491+1083362</f>
        <v>3421853</v>
      </c>
      <c r="H138" s="425">
        <v>6006</v>
      </c>
      <c r="I138" s="426">
        <v>1841306</v>
      </c>
      <c r="J138" s="425">
        <v>740</v>
      </c>
      <c r="K138" s="425">
        <v>4208840</v>
      </c>
      <c r="L138" s="425">
        <v>11851.3</v>
      </c>
      <c r="M138" s="425">
        <v>48</v>
      </c>
      <c r="N138" s="425">
        <v>1699254</v>
      </c>
      <c r="O138" s="425">
        <v>3600</v>
      </c>
      <c r="P138" s="425">
        <v>1</v>
      </c>
      <c r="Q138" s="425">
        <v>46663</v>
      </c>
      <c r="R138" s="425">
        <v>13</v>
      </c>
      <c r="S138" s="425">
        <v>3188</v>
      </c>
      <c r="T138" s="425">
        <v>8.86</v>
      </c>
      <c r="U138" s="425">
        <v>31</v>
      </c>
      <c r="V138" s="446">
        <v>48585</v>
      </c>
      <c r="W138" s="425">
        <v>129.6</v>
      </c>
      <c r="X138" s="425">
        <v>1704</v>
      </c>
      <c r="Y138" s="425"/>
      <c r="Z138" s="425"/>
      <c r="AA138" s="425"/>
      <c r="AB138" s="425"/>
      <c r="AC138" s="425"/>
      <c r="AD138" s="425"/>
      <c r="AE138" s="425"/>
      <c r="AF138" s="425"/>
      <c r="AG138" s="425">
        <f t="shared" si="13"/>
        <v>6796</v>
      </c>
    </row>
    <row r="139" spans="1:33" x14ac:dyDescent="0.2">
      <c r="A139" s="372">
        <f>'Input - Customer Data'!$B$7-2</f>
        <v>2016</v>
      </c>
      <c r="B139" s="228" t="s">
        <v>67</v>
      </c>
      <c r="C139" s="373">
        <f t="shared" si="12"/>
        <v>8542</v>
      </c>
      <c r="E139" s="426">
        <v>12494116.59</v>
      </c>
      <c r="F139" s="448"/>
      <c r="G139" s="426">
        <f>2970412+1382153</f>
        <v>4352565</v>
      </c>
      <c r="H139" s="425">
        <v>6006</v>
      </c>
      <c r="I139" s="426">
        <v>2094354</v>
      </c>
      <c r="J139" s="425">
        <v>743</v>
      </c>
      <c r="K139" s="425">
        <v>3962945</v>
      </c>
      <c r="L139" s="425">
        <v>11304.2</v>
      </c>
      <c r="M139" s="425">
        <v>48</v>
      </c>
      <c r="N139" s="425">
        <v>1367527</v>
      </c>
      <c r="O139" s="425">
        <v>3532.8</v>
      </c>
      <c r="P139" s="425">
        <v>1</v>
      </c>
      <c r="Q139" s="425">
        <v>46843</v>
      </c>
      <c r="R139" s="425">
        <v>13</v>
      </c>
      <c r="S139" s="425">
        <v>3306</v>
      </c>
      <c r="T139" s="425">
        <v>9.18</v>
      </c>
      <c r="U139" s="425">
        <v>27</v>
      </c>
      <c r="V139" s="446">
        <v>50205</v>
      </c>
      <c r="W139" s="425">
        <v>129.6</v>
      </c>
      <c r="X139" s="425">
        <v>1704</v>
      </c>
      <c r="Y139" s="425"/>
      <c r="Z139" s="425"/>
      <c r="AA139" s="425"/>
      <c r="AB139" s="425"/>
      <c r="AC139" s="425"/>
      <c r="AD139" s="425"/>
      <c r="AE139" s="425"/>
      <c r="AF139" s="425"/>
      <c r="AG139" s="425">
        <f t="shared" si="13"/>
        <v>6799</v>
      </c>
    </row>
    <row r="140" spans="1:33" x14ac:dyDescent="0.2">
      <c r="A140" s="372">
        <f>'Input - Customer Data'!$B$7-1</f>
        <v>2017</v>
      </c>
      <c r="B140" s="228" t="s">
        <v>78</v>
      </c>
      <c r="C140" s="373">
        <f t="shared" si="12"/>
        <v>0</v>
      </c>
      <c r="E140" s="426"/>
      <c r="F140" s="448"/>
      <c r="G140" s="426"/>
      <c r="H140" s="425"/>
      <c r="I140" s="426"/>
      <c r="J140" s="425"/>
      <c r="K140" s="425"/>
      <c r="L140" s="425"/>
      <c r="M140" s="425"/>
      <c r="N140" s="425"/>
      <c r="O140" s="425"/>
      <c r="P140" s="425"/>
      <c r="Q140" s="425"/>
      <c r="R140" s="425"/>
      <c r="S140" s="425"/>
      <c r="T140" s="425"/>
      <c r="U140" s="425"/>
      <c r="V140" s="446"/>
      <c r="W140" s="425"/>
      <c r="X140" s="425"/>
      <c r="Y140" s="425"/>
      <c r="Z140" s="425"/>
      <c r="AA140" s="425"/>
      <c r="AB140" s="425"/>
      <c r="AC140" s="425"/>
      <c r="AD140" s="425"/>
      <c r="AE140" s="425"/>
      <c r="AF140" s="425"/>
      <c r="AG140" s="425">
        <f t="shared" si="13"/>
        <v>2</v>
      </c>
    </row>
    <row r="141" spans="1:33" x14ac:dyDescent="0.2">
      <c r="A141" s="372">
        <f>'Input - Customer Data'!$B$7-1</f>
        <v>2017</v>
      </c>
      <c r="B141" s="228" t="s">
        <v>77</v>
      </c>
      <c r="C141" s="373">
        <f t="shared" si="12"/>
        <v>0</v>
      </c>
      <c r="E141" s="426"/>
      <c r="F141" s="448"/>
      <c r="G141" s="426"/>
      <c r="H141" s="425"/>
      <c r="I141" s="426"/>
      <c r="J141" s="425"/>
      <c r="K141" s="425"/>
      <c r="L141" s="425"/>
      <c r="M141" s="425"/>
      <c r="N141" s="425"/>
      <c r="O141" s="425"/>
      <c r="P141" s="425"/>
      <c r="Q141" s="425"/>
      <c r="R141" s="425"/>
      <c r="S141" s="425"/>
      <c r="T141" s="425"/>
      <c r="U141" s="425"/>
      <c r="V141" s="446"/>
      <c r="W141" s="425"/>
      <c r="X141" s="425"/>
      <c r="Y141" s="425"/>
      <c r="Z141" s="425"/>
      <c r="AA141" s="425"/>
      <c r="AB141" s="425"/>
      <c r="AC141" s="425"/>
      <c r="AD141" s="425"/>
      <c r="AE141" s="425"/>
      <c r="AF141" s="425"/>
      <c r="AG141" s="425">
        <f t="shared" si="13"/>
        <v>2</v>
      </c>
    </row>
    <row r="142" spans="1:33" x14ac:dyDescent="0.2">
      <c r="A142" s="372">
        <f>'Input - Customer Data'!$B$7-1</f>
        <v>2017</v>
      </c>
      <c r="B142" s="228" t="s">
        <v>76</v>
      </c>
      <c r="C142" s="373">
        <f t="shared" si="12"/>
        <v>0</v>
      </c>
      <c r="E142" s="426"/>
      <c r="F142" s="448"/>
      <c r="G142" s="426"/>
      <c r="H142" s="425"/>
      <c r="I142" s="426"/>
      <c r="J142" s="425"/>
      <c r="K142" s="425"/>
      <c r="L142" s="425"/>
      <c r="M142" s="425"/>
      <c r="N142" s="425"/>
      <c r="O142" s="425"/>
      <c r="P142" s="425"/>
      <c r="Q142" s="425"/>
      <c r="R142" s="425"/>
      <c r="S142" s="425"/>
      <c r="T142" s="425"/>
      <c r="U142" s="425"/>
      <c r="V142" s="446"/>
      <c r="W142" s="425"/>
      <c r="X142" s="425"/>
      <c r="Y142" s="425"/>
      <c r="Z142" s="425"/>
      <c r="AA142" s="425"/>
      <c r="AB142" s="425"/>
      <c r="AC142" s="425"/>
      <c r="AD142" s="425"/>
      <c r="AE142" s="425"/>
      <c r="AF142" s="425"/>
      <c r="AG142" s="425">
        <f t="shared" si="13"/>
        <v>2</v>
      </c>
    </row>
    <row r="143" spans="1:33" x14ac:dyDescent="0.2">
      <c r="A143" s="372">
        <f>'Input - Customer Data'!$B$7-1</f>
        <v>2017</v>
      </c>
      <c r="B143" s="228" t="s">
        <v>75</v>
      </c>
      <c r="C143" s="373">
        <f t="shared" si="12"/>
        <v>0</v>
      </c>
      <c r="E143" s="426"/>
      <c r="F143" s="448"/>
      <c r="G143" s="426"/>
      <c r="H143" s="425"/>
      <c r="I143" s="426"/>
      <c r="J143" s="425"/>
      <c r="K143" s="425"/>
      <c r="L143" s="425"/>
      <c r="M143" s="425"/>
      <c r="N143" s="425"/>
      <c r="O143" s="425"/>
      <c r="P143" s="425"/>
      <c r="Q143" s="425"/>
      <c r="R143" s="425"/>
      <c r="S143" s="425"/>
      <c r="T143" s="425"/>
      <c r="U143" s="425"/>
      <c r="V143" s="446"/>
      <c r="W143" s="425"/>
      <c r="X143" s="425"/>
      <c r="Y143" s="425"/>
      <c r="Z143" s="425"/>
      <c r="AA143" s="425"/>
      <c r="AB143" s="425"/>
      <c r="AC143" s="425"/>
      <c r="AD143" s="425"/>
      <c r="AE143" s="425"/>
      <c r="AF143" s="425"/>
      <c r="AG143" s="425">
        <f t="shared" si="13"/>
        <v>2</v>
      </c>
    </row>
    <row r="144" spans="1:33" x14ac:dyDescent="0.2">
      <c r="A144" s="372">
        <f>'Input - Customer Data'!$B$7-1</f>
        <v>2017</v>
      </c>
      <c r="B144" s="228" t="s">
        <v>74</v>
      </c>
      <c r="C144" s="373">
        <f t="shared" si="12"/>
        <v>0</v>
      </c>
      <c r="E144" s="426"/>
      <c r="F144" s="448"/>
      <c r="G144" s="426"/>
      <c r="H144" s="425"/>
      <c r="I144" s="426"/>
      <c r="J144" s="425"/>
      <c r="K144" s="425"/>
      <c r="L144" s="425"/>
      <c r="M144" s="425"/>
      <c r="N144" s="425"/>
      <c r="O144" s="425"/>
      <c r="P144" s="425"/>
      <c r="Q144" s="425"/>
      <c r="R144" s="425"/>
      <c r="S144" s="425"/>
      <c r="T144" s="425"/>
      <c r="U144" s="425"/>
      <c r="V144" s="446"/>
      <c r="W144" s="425"/>
      <c r="X144" s="425"/>
      <c r="Y144" s="425"/>
      <c r="Z144" s="425"/>
      <c r="AA144" s="425"/>
      <c r="AB144" s="425"/>
      <c r="AC144" s="425"/>
      <c r="AD144" s="425"/>
      <c r="AE144" s="425"/>
      <c r="AF144" s="425"/>
      <c r="AG144" s="425">
        <f t="shared" si="13"/>
        <v>2</v>
      </c>
    </row>
    <row r="145" spans="1:33" x14ac:dyDescent="0.2">
      <c r="A145" s="372">
        <f>'Input - Customer Data'!$B$7-1</f>
        <v>2017</v>
      </c>
      <c r="B145" s="228" t="s">
        <v>73</v>
      </c>
      <c r="C145" s="373">
        <f t="shared" si="12"/>
        <v>0</v>
      </c>
      <c r="E145" s="426"/>
      <c r="F145" s="448"/>
      <c r="G145" s="426"/>
      <c r="H145" s="425"/>
      <c r="I145" s="426"/>
      <c r="J145" s="425"/>
      <c r="K145" s="425"/>
      <c r="L145" s="425"/>
      <c r="M145" s="425"/>
      <c r="N145" s="425"/>
      <c r="O145" s="425"/>
      <c r="P145" s="425"/>
      <c r="Q145" s="425"/>
      <c r="R145" s="425"/>
      <c r="S145" s="425"/>
      <c r="T145" s="425"/>
      <c r="U145" s="425"/>
      <c r="V145" s="446"/>
      <c r="W145" s="425"/>
      <c r="X145" s="425"/>
      <c r="Y145" s="425"/>
      <c r="Z145" s="425"/>
      <c r="AA145" s="425"/>
      <c r="AB145" s="425"/>
      <c r="AC145" s="425"/>
      <c r="AD145" s="425"/>
      <c r="AE145" s="425"/>
      <c r="AF145" s="425"/>
      <c r="AG145" s="425">
        <f t="shared" si="13"/>
        <v>2</v>
      </c>
    </row>
    <row r="146" spans="1:33" x14ac:dyDescent="0.2">
      <c r="A146" s="372">
        <f>'Input - Customer Data'!$B$7-1</f>
        <v>2017</v>
      </c>
      <c r="B146" s="228" t="s">
        <v>72</v>
      </c>
      <c r="C146" s="373">
        <f t="shared" si="12"/>
        <v>0</v>
      </c>
      <c r="E146" s="426"/>
      <c r="F146" s="448"/>
      <c r="G146" s="426"/>
      <c r="H146" s="425"/>
      <c r="I146" s="426"/>
      <c r="J146" s="425"/>
      <c r="K146" s="425"/>
      <c r="L146" s="425"/>
      <c r="M146" s="425"/>
      <c r="N146" s="425"/>
      <c r="O146" s="425"/>
      <c r="P146" s="425"/>
      <c r="Q146" s="425"/>
      <c r="R146" s="425"/>
      <c r="S146" s="425"/>
      <c r="T146" s="425"/>
      <c r="U146" s="425"/>
      <c r="V146" s="446"/>
      <c r="W146" s="425"/>
      <c r="X146" s="425"/>
      <c r="Y146" s="425"/>
      <c r="Z146" s="425"/>
      <c r="AA146" s="425"/>
      <c r="AB146" s="425"/>
      <c r="AC146" s="425"/>
      <c r="AD146" s="425"/>
      <c r="AE146" s="425"/>
      <c r="AF146" s="425"/>
      <c r="AG146" s="425">
        <f t="shared" si="13"/>
        <v>2</v>
      </c>
    </row>
    <row r="147" spans="1:33" x14ac:dyDescent="0.2">
      <c r="A147" s="372">
        <f>'Input - Customer Data'!$B$7-1</f>
        <v>2017</v>
      </c>
      <c r="B147" s="228" t="s">
        <v>71</v>
      </c>
      <c r="C147" s="373">
        <f t="shared" si="12"/>
        <v>0</v>
      </c>
      <c r="E147" s="426"/>
      <c r="F147" s="448"/>
      <c r="G147" s="426"/>
      <c r="H147" s="425"/>
      <c r="I147" s="426"/>
      <c r="J147" s="425"/>
      <c r="K147" s="425"/>
      <c r="L147" s="425"/>
      <c r="M147" s="425"/>
      <c r="N147" s="425"/>
      <c r="O147" s="425"/>
      <c r="P147" s="425"/>
      <c r="Q147" s="425"/>
      <c r="R147" s="425"/>
      <c r="S147" s="425"/>
      <c r="T147" s="425"/>
      <c r="U147" s="425"/>
      <c r="V147" s="446"/>
      <c r="W147" s="425"/>
      <c r="X147" s="425"/>
      <c r="Y147" s="425"/>
      <c r="Z147" s="425"/>
      <c r="AA147" s="425"/>
      <c r="AB147" s="425"/>
      <c r="AC147" s="425"/>
      <c r="AD147" s="425"/>
      <c r="AE147" s="425"/>
      <c r="AF147" s="425"/>
      <c r="AG147" s="425">
        <f t="shared" si="13"/>
        <v>2</v>
      </c>
    </row>
    <row r="148" spans="1:33" x14ac:dyDescent="0.2">
      <c r="A148" s="372">
        <f>'Input - Customer Data'!$B$7-1</f>
        <v>2017</v>
      </c>
      <c r="B148" s="228" t="s">
        <v>70</v>
      </c>
      <c r="C148" s="373">
        <f t="shared" si="12"/>
        <v>0</v>
      </c>
      <c r="E148" s="426"/>
      <c r="F148" s="448"/>
      <c r="G148" s="426"/>
      <c r="H148" s="425"/>
      <c r="I148" s="426"/>
      <c r="J148" s="425"/>
      <c r="K148" s="425"/>
      <c r="L148" s="425"/>
      <c r="M148" s="425"/>
      <c r="N148" s="425"/>
      <c r="O148" s="425"/>
      <c r="P148" s="425"/>
      <c r="Q148" s="425"/>
      <c r="R148" s="425"/>
      <c r="S148" s="425"/>
      <c r="T148" s="425"/>
      <c r="U148" s="425"/>
      <c r="V148" s="446"/>
      <c r="W148" s="425"/>
      <c r="X148" s="425"/>
      <c r="Y148" s="425"/>
      <c r="Z148" s="425"/>
      <c r="AA148" s="425"/>
      <c r="AB148" s="425"/>
      <c r="AC148" s="425"/>
      <c r="AD148" s="425"/>
      <c r="AE148" s="425"/>
      <c r="AF148" s="425"/>
      <c r="AG148" s="425">
        <f t="shared" si="13"/>
        <v>2</v>
      </c>
    </row>
    <row r="149" spans="1:33" x14ac:dyDescent="0.2">
      <c r="A149" s="372">
        <f>'Input - Customer Data'!$B$7-1</f>
        <v>2017</v>
      </c>
      <c r="B149" s="228" t="s">
        <v>69</v>
      </c>
      <c r="C149" s="373">
        <f t="shared" si="12"/>
        <v>0</v>
      </c>
      <c r="E149" s="426"/>
      <c r="F149" s="448"/>
      <c r="G149" s="426"/>
      <c r="H149" s="425"/>
      <c r="I149" s="426"/>
      <c r="J149" s="425"/>
      <c r="K149" s="425"/>
      <c r="L149" s="425"/>
      <c r="M149" s="425"/>
      <c r="N149" s="425"/>
      <c r="O149" s="425"/>
      <c r="P149" s="425"/>
      <c r="Q149" s="425"/>
      <c r="R149" s="425"/>
      <c r="S149" s="425"/>
      <c r="T149" s="425"/>
      <c r="U149" s="425"/>
      <c r="V149" s="446"/>
      <c r="W149" s="425"/>
      <c r="X149" s="425"/>
      <c r="Y149" s="425"/>
      <c r="Z149" s="425"/>
      <c r="AA149" s="425"/>
      <c r="AB149" s="425"/>
      <c r="AC149" s="425"/>
      <c r="AD149" s="425"/>
      <c r="AE149" s="425"/>
      <c r="AF149" s="425"/>
      <c r="AG149" s="425">
        <f t="shared" si="13"/>
        <v>2</v>
      </c>
    </row>
    <row r="150" spans="1:33" x14ac:dyDescent="0.2">
      <c r="A150" s="372">
        <f>'Input - Customer Data'!$B$7-1</f>
        <v>2017</v>
      </c>
      <c r="B150" s="228" t="s">
        <v>68</v>
      </c>
      <c r="C150" s="373">
        <f t="shared" si="12"/>
        <v>0</v>
      </c>
      <c r="E150" s="426"/>
      <c r="F150" s="448"/>
      <c r="G150" s="426"/>
      <c r="H150" s="425"/>
      <c r="I150" s="426"/>
      <c r="J150" s="425"/>
      <c r="K150" s="425"/>
      <c r="L150" s="425"/>
      <c r="M150" s="425"/>
      <c r="N150" s="425"/>
      <c r="O150" s="425"/>
      <c r="P150" s="425"/>
      <c r="Q150" s="425"/>
      <c r="R150" s="425"/>
      <c r="S150" s="425"/>
      <c r="T150" s="425"/>
      <c r="U150" s="425"/>
      <c r="V150" s="446"/>
      <c r="W150" s="425"/>
      <c r="X150" s="425"/>
      <c r="Y150" s="425"/>
      <c r="Z150" s="425"/>
      <c r="AA150" s="425"/>
      <c r="AB150" s="425"/>
      <c r="AC150" s="425"/>
      <c r="AD150" s="425"/>
      <c r="AE150" s="425"/>
      <c r="AF150" s="425"/>
      <c r="AG150" s="425">
        <f t="shared" si="13"/>
        <v>2</v>
      </c>
    </row>
    <row r="151" spans="1:33" x14ac:dyDescent="0.2">
      <c r="A151" s="372">
        <f>'Input - Customer Data'!$B$7-1</f>
        <v>2017</v>
      </c>
      <c r="B151" s="228" t="s">
        <v>67</v>
      </c>
      <c r="C151" s="373">
        <f t="shared" si="12"/>
        <v>0</v>
      </c>
      <c r="E151" s="426"/>
      <c r="F151" s="448"/>
      <c r="G151" s="426"/>
      <c r="H151" s="425"/>
      <c r="I151" s="426"/>
      <c r="J151" s="425"/>
      <c r="K151" s="425"/>
      <c r="L151" s="425"/>
      <c r="M151" s="425"/>
      <c r="N151" s="425"/>
      <c r="O151" s="425"/>
      <c r="P151" s="425"/>
      <c r="Q151" s="425"/>
      <c r="R151" s="425"/>
      <c r="S151" s="425"/>
      <c r="T151" s="425"/>
      <c r="U151" s="425"/>
      <c r="V151" s="446"/>
      <c r="W151" s="425"/>
      <c r="X151" s="425"/>
      <c r="Y151" s="425"/>
      <c r="Z151" s="425"/>
      <c r="AA151" s="425"/>
      <c r="AB151" s="425"/>
      <c r="AC151" s="425"/>
      <c r="AD151" s="425"/>
      <c r="AE151" s="425"/>
      <c r="AF151" s="425"/>
      <c r="AG151" s="425">
        <f>H151+J151+M151+1+1</f>
        <v>2</v>
      </c>
    </row>
    <row r="152" spans="1:33" x14ac:dyDescent="0.2">
      <c r="C152" s="240"/>
    </row>
    <row r="153" spans="1:33" ht="14.25" x14ac:dyDescent="0.2">
      <c r="E153" s="153"/>
      <c r="F153" s="153"/>
      <c r="G153" s="153"/>
      <c r="H153" s="153"/>
      <c r="I153" s="153"/>
      <c r="J153" s="153"/>
      <c r="K153" s="153"/>
      <c r="L153" s="153"/>
      <c r="M153" s="153"/>
      <c r="N153" s="153"/>
      <c r="O153" s="153"/>
      <c r="P153" s="153"/>
      <c r="Q153" s="151"/>
    </row>
    <row r="154" spans="1:33" ht="15" x14ac:dyDescent="0.2">
      <c r="A154" s="156" t="s">
        <v>87</v>
      </c>
      <c r="B154" s="239"/>
      <c r="C154" s="239"/>
      <c r="D154" s="153"/>
      <c r="E154" s="154"/>
      <c r="F154" s="154"/>
      <c r="G154" s="153"/>
      <c r="H154" s="153"/>
      <c r="I154" s="153"/>
      <c r="J154" s="153"/>
      <c r="K154" s="153"/>
      <c r="L154" s="153"/>
      <c r="M154" s="153"/>
      <c r="N154" s="153"/>
      <c r="O154" s="153"/>
      <c r="P154" s="153"/>
      <c r="Q154" s="151"/>
    </row>
    <row r="155" spans="1:33" ht="14.25" x14ac:dyDescent="0.2">
      <c r="A155" s="154" t="s">
        <v>86</v>
      </c>
      <c r="B155" s="154"/>
      <c r="C155" s="154"/>
      <c r="D155" s="154"/>
      <c r="E155" s="154"/>
      <c r="F155" s="154"/>
      <c r="G155" s="153"/>
      <c r="H155" s="153"/>
      <c r="I155" s="153"/>
      <c r="J155" s="153"/>
      <c r="K155" s="153"/>
      <c r="L155" s="153"/>
      <c r="M155" s="153"/>
      <c r="N155" s="153"/>
      <c r="O155" s="153"/>
      <c r="P155" s="153"/>
      <c r="Q155" s="151"/>
    </row>
    <row r="156" spans="1:33" ht="14.25" x14ac:dyDescent="0.2">
      <c r="A156" s="154" t="s">
        <v>85</v>
      </c>
      <c r="B156" s="154"/>
      <c r="C156" s="154"/>
      <c r="D156" s="154"/>
      <c r="E156" s="154"/>
      <c r="F156" s="154"/>
      <c r="G156" s="153"/>
      <c r="H156" s="153"/>
      <c r="I156" s="153"/>
      <c r="J156" s="153"/>
      <c r="K156" s="153"/>
      <c r="L156" s="153"/>
      <c r="M156" s="153"/>
      <c r="N156" s="153"/>
      <c r="O156" s="153"/>
      <c r="P156" s="153"/>
      <c r="Q156" s="151"/>
    </row>
    <row r="157" spans="1:33" ht="14.25" x14ac:dyDescent="0.2">
      <c r="A157" s="154"/>
      <c r="B157" s="154"/>
      <c r="C157" s="154"/>
      <c r="D157" s="154"/>
      <c r="E157" s="154"/>
      <c r="F157" s="154"/>
      <c r="G157" s="153"/>
      <c r="H157" s="153"/>
      <c r="I157" s="153"/>
      <c r="J157" s="153"/>
      <c r="K157" s="153"/>
      <c r="L157" s="153"/>
      <c r="M157" s="153"/>
      <c r="N157" s="153"/>
      <c r="O157" s="153"/>
      <c r="P157" s="153"/>
      <c r="Q157" s="151"/>
    </row>
    <row r="158" spans="1:33" ht="15" x14ac:dyDescent="0.25">
      <c r="A158" s="155" t="s">
        <v>84</v>
      </c>
      <c r="B158" s="155"/>
      <c r="C158" s="155"/>
      <c r="D158" s="155"/>
      <c r="E158" s="150"/>
      <c r="F158" s="151"/>
      <c r="G158" s="150"/>
      <c r="H158" s="151"/>
      <c r="I158" s="151"/>
      <c r="J158" s="150"/>
      <c r="K158" s="151"/>
      <c r="L158" s="151"/>
      <c r="M158" s="150"/>
      <c r="N158" s="151"/>
      <c r="O158" s="151"/>
      <c r="P158" s="150"/>
      <c r="Q158" s="151"/>
    </row>
    <row r="159" spans="1:33" x14ac:dyDescent="0.2">
      <c r="A159" s="151"/>
      <c r="B159" s="151"/>
      <c r="C159" s="151"/>
      <c r="D159" s="151"/>
    </row>
  </sheetData>
  <sheetProtection selectLockedCells="1" selectUnlockedCells="1"/>
  <mergeCells count="22">
    <mergeCell ref="A24:B24"/>
    <mergeCell ref="A25:B25"/>
    <mergeCell ref="E28:F28"/>
    <mergeCell ref="E3:W3"/>
    <mergeCell ref="B8:C8"/>
    <mergeCell ref="B4:C4"/>
    <mergeCell ref="B5:C5"/>
    <mergeCell ref="A3:C3"/>
    <mergeCell ref="B6:C6"/>
    <mergeCell ref="B7:C7"/>
    <mergeCell ref="A19:B19"/>
    <mergeCell ref="A20:B20"/>
    <mergeCell ref="A21:B21"/>
    <mergeCell ref="A22:B22"/>
    <mergeCell ref="A23:B23"/>
    <mergeCell ref="G29:H29"/>
    <mergeCell ref="I29:J29"/>
    <mergeCell ref="S29:U29"/>
    <mergeCell ref="V29:X29"/>
    <mergeCell ref="K29:M29"/>
    <mergeCell ref="Q29:R29"/>
    <mergeCell ref="N29:P29"/>
  </mergeCell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92D050"/>
    <pageSetUpPr fitToPage="1"/>
  </sheetPr>
  <dimension ref="B3:P39"/>
  <sheetViews>
    <sheetView showGridLines="0" topLeftCell="A13" zoomScaleNormal="100" workbookViewId="0">
      <selection activeCell="D31" sqref="D31"/>
    </sheetView>
  </sheetViews>
  <sheetFormatPr defaultColWidth="10.5" defaultRowHeight="12.75" x14ac:dyDescent="0.2"/>
  <cols>
    <col min="1" max="1" width="10.5" style="144"/>
    <col min="2" max="2" width="36.5" style="144" bestFit="1" customWidth="1"/>
    <col min="3" max="3" width="12.5" style="144" bestFit="1" customWidth="1"/>
    <col min="4" max="4" width="20.5" style="144" customWidth="1"/>
    <col min="5" max="5" width="19.6640625" style="144" customWidth="1"/>
    <col min="6" max="6" width="20.1640625" style="144" customWidth="1"/>
    <col min="7" max="7" width="19.6640625" style="144" customWidth="1"/>
    <col min="8" max="8" width="20.1640625" style="144" bestFit="1" customWidth="1"/>
    <col min="9" max="9" width="19.33203125" style="144" bestFit="1" customWidth="1"/>
    <col min="10" max="10" width="4.5" style="144" customWidth="1"/>
    <col min="11" max="11" width="14.33203125" style="144" customWidth="1"/>
    <col min="12" max="12" width="15.1640625" style="144" bestFit="1" customWidth="1"/>
    <col min="13" max="13" width="21" style="144" bestFit="1" customWidth="1"/>
    <col min="14" max="15" width="13.5" style="144" bestFit="1" customWidth="1"/>
    <col min="16" max="16" width="13.5" style="144" hidden="1" customWidth="1"/>
    <col min="17" max="17" width="10.5" style="144"/>
    <col min="18" max="22" width="14.83203125" style="144" customWidth="1"/>
    <col min="23" max="23" width="10.5" style="144" customWidth="1"/>
    <col min="24" max="16384" width="10.5" style="144"/>
  </cols>
  <sheetData>
    <row r="3" spans="2:13" ht="16.5" customHeight="1" x14ac:dyDescent="0.2">
      <c r="B3" s="852" t="s">
        <v>113</v>
      </c>
      <c r="C3" s="853"/>
      <c r="D3" s="853"/>
      <c r="E3" s="853"/>
      <c r="F3" s="853"/>
      <c r="G3" s="853"/>
      <c r="H3" s="853"/>
      <c r="I3" s="853"/>
      <c r="K3" s="854" t="s">
        <v>113</v>
      </c>
      <c r="L3" s="805"/>
      <c r="M3" s="805"/>
    </row>
    <row r="4" spans="2:13" ht="40.5" customHeight="1" x14ac:dyDescent="0.2">
      <c r="B4" s="266"/>
      <c r="C4" s="266" t="s">
        <v>80</v>
      </c>
      <c r="D4" s="266">
        <f>'Input - Customer Data'!$E$11</f>
        <v>2013</v>
      </c>
      <c r="E4" s="266">
        <f>'Input - Customer Data'!$E$12</f>
        <v>2014</v>
      </c>
      <c r="F4" s="266">
        <f>'Input - Customer Data'!$E$13</f>
        <v>2015</v>
      </c>
      <c r="G4" s="266">
        <f>'Input - Customer Data'!$E$14</f>
        <v>2016</v>
      </c>
      <c r="H4" s="266">
        <f>'Input - Customer Data'!$E$19</f>
        <v>2017</v>
      </c>
      <c r="I4" s="266">
        <f>'Input - Customer Data'!E20</f>
        <v>2018</v>
      </c>
      <c r="K4" s="272" t="s">
        <v>115</v>
      </c>
      <c r="L4" s="272" t="s">
        <v>114</v>
      </c>
      <c r="M4" s="272" t="s">
        <v>193</v>
      </c>
    </row>
    <row r="5" spans="2:13" x14ac:dyDescent="0.2">
      <c r="B5" s="257" t="str">
        <f>'Input - Customer Data'!A13</f>
        <v>Residential</v>
      </c>
      <c r="C5" s="167" t="s">
        <v>112</v>
      </c>
      <c r="D5" s="339">
        <f>'Input - Customer Data'!$F11</f>
        <v>5911.5</v>
      </c>
      <c r="E5" s="339">
        <f>'Input - Customer Data'!$F12</f>
        <v>5946.5</v>
      </c>
      <c r="F5" s="339">
        <f>'Input - Customer Data'!$F13</f>
        <v>5961</v>
      </c>
      <c r="G5" s="339">
        <f>'Input - Customer Data'!F14</f>
        <v>5988.5</v>
      </c>
      <c r="H5" s="339">
        <f>'Input - Customer Data'!$F19</f>
        <v>6047.4668331756211</v>
      </c>
      <c r="I5" s="339">
        <f>'Input - Customer Data'!$F20</f>
        <v>6107.0142937896262</v>
      </c>
      <c r="K5" s="167"/>
      <c r="L5" s="167"/>
      <c r="M5" s="167"/>
    </row>
    <row r="6" spans="2:13" x14ac:dyDescent="0.2">
      <c r="B6" s="257"/>
      <c r="C6" s="167" t="s">
        <v>81</v>
      </c>
      <c r="D6" s="339">
        <f>'Bridge&amp;Test Year Class Forecast'!F10</f>
        <v>45782444.498456918</v>
      </c>
      <c r="E6" s="339">
        <f>'Bridge&amp;Test Year Class Forecast'!F11</f>
        <v>45855881.363355793</v>
      </c>
      <c r="F6" s="339">
        <f>'Bridge&amp;Test Year Class Forecast'!F12</f>
        <v>45491149.951531768</v>
      </c>
      <c r="G6" s="339">
        <f>'Bridge&amp;Test Year Class Forecast'!F13</f>
        <v>45102913.851007625</v>
      </c>
      <c r="H6" s="339">
        <f>'Bridge&amp;Test Year Class Forecast'!F14</f>
        <v>45507125.129285187</v>
      </c>
      <c r="I6" s="339">
        <f>'Bridge&amp;Test Year Class Forecast'!F15</f>
        <v>45602321.008068956</v>
      </c>
      <c r="K6" s="327">
        <f>I6/$I$35</f>
        <v>0.30974566809044718</v>
      </c>
      <c r="L6" s="354">
        <f>K6*$L$36</f>
        <v>1160337.860051539</v>
      </c>
      <c r="M6" s="357">
        <f>I6-L6</f>
        <v>44441983.148017414</v>
      </c>
    </row>
    <row r="7" spans="2:13" x14ac:dyDescent="0.2">
      <c r="B7" s="257"/>
      <c r="C7" s="167" t="s">
        <v>82</v>
      </c>
      <c r="D7" s="167"/>
      <c r="E7" s="167"/>
      <c r="F7" s="167"/>
      <c r="G7" s="167"/>
      <c r="H7" s="339"/>
      <c r="I7" s="340"/>
      <c r="K7" s="356"/>
      <c r="L7" s="167"/>
      <c r="M7" s="358"/>
    </row>
    <row r="8" spans="2:13" x14ac:dyDescent="0.2">
      <c r="B8" s="257"/>
      <c r="C8" s="167"/>
      <c r="D8" s="167"/>
      <c r="E8" s="167"/>
      <c r="F8" s="167"/>
      <c r="G8" s="167"/>
      <c r="H8" s="339"/>
      <c r="I8" s="340"/>
      <c r="K8" s="356"/>
      <c r="L8" s="167"/>
      <c r="M8" s="358"/>
    </row>
    <row r="9" spans="2:13" x14ac:dyDescent="0.2">
      <c r="B9" s="257" t="str">
        <f>'Input - Customer Data'!A14</f>
        <v>General Service &lt; 50 kW</v>
      </c>
      <c r="C9" s="167" t="s">
        <v>112</v>
      </c>
      <c r="D9" s="339">
        <f>'Input - Customer Data'!$H11</f>
        <v>711</v>
      </c>
      <c r="E9" s="339">
        <f>'Input - Customer Data'!$H12</f>
        <v>715</v>
      </c>
      <c r="F9" s="339">
        <f>'Input - Customer Data'!$H13</f>
        <v>730</v>
      </c>
      <c r="G9" s="339">
        <f>'Input - Customer Data'!$H14</f>
        <v>741.5</v>
      </c>
      <c r="H9" s="339">
        <f>'Input - Customer Data'!$H19</f>
        <v>749.77562632069578</v>
      </c>
      <c r="I9" s="339">
        <f>'Input - Customer Data'!$H20</f>
        <v>758.14361405878844</v>
      </c>
      <c r="K9" s="356"/>
      <c r="L9" s="167"/>
      <c r="M9" s="358"/>
    </row>
    <row r="10" spans="2:13" x14ac:dyDescent="0.2">
      <c r="B10" s="257"/>
      <c r="C10" s="167" t="s">
        <v>81</v>
      </c>
      <c r="D10" s="339">
        <f>'Bridge&amp;Test Year Class Forecast'!F37</f>
        <v>20038054.946400315</v>
      </c>
      <c r="E10" s="339">
        <f>'Bridge&amp;Test Year Class Forecast'!F38</f>
        <v>20436483.169905741</v>
      </c>
      <c r="F10" s="339">
        <f>'Bridge&amp;Test Year Class Forecast'!F39</f>
        <v>21573933.850767229</v>
      </c>
      <c r="G10" s="339">
        <f>'Bridge&amp;Test Year Class Forecast'!F40</f>
        <v>23368517.147931248</v>
      </c>
      <c r="H10" s="339">
        <f>'Bridge&amp;Test Year Class Forecast'!F$41</f>
        <v>20960878.592927814</v>
      </c>
      <c r="I10" s="339">
        <f>'Bridge&amp;Test Year Class Forecast'!F$42</f>
        <v>21004726.435481369</v>
      </c>
      <c r="K10" s="327">
        <f>I10/$I$35</f>
        <v>0.14267087461763292</v>
      </c>
      <c r="L10" s="354">
        <f>K10*$L$36</f>
        <v>534459.1850665214</v>
      </c>
      <c r="M10" s="357">
        <f>I10-L10</f>
        <v>20470267.250414848</v>
      </c>
    </row>
    <row r="11" spans="2:13" x14ac:dyDescent="0.2">
      <c r="B11" s="257"/>
      <c r="C11" s="167" t="s">
        <v>82</v>
      </c>
      <c r="D11" s="167"/>
      <c r="E11" s="167"/>
      <c r="F11" s="167"/>
      <c r="G11" s="167"/>
      <c r="H11" s="339"/>
      <c r="I11" s="340"/>
      <c r="K11" s="356"/>
      <c r="L11" s="167"/>
      <c r="M11" s="358"/>
    </row>
    <row r="12" spans="2:13" x14ac:dyDescent="0.2">
      <c r="B12" s="257"/>
      <c r="C12" s="167"/>
      <c r="D12" s="167"/>
      <c r="E12" s="167"/>
      <c r="F12" s="167"/>
      <c r="G12" s="167"/>
      <c r="H12" s="339"/>
      <c r="I12" s="340"/>
      <c r="K12" s="356"/>
      <c r="L12" s="167"/>
      <c r="M12" s="358"/>
    </row>
    <row r="13" spans="2:13" x14ac:dyDescent="0.2">
      <c r="B13" s="257" t="str">
        <f>'Input - Customer Data'!A15</f>
        <v>General Service &gt; 50 to 2999 kW</v>
      </c>
      <c r="C13" s="167" t="s">
        <v>112</v>
      </c>
      <c r="D13" s="339">
        <f>'Input - Customer Data'!$J11</f>
        <v>57</v>
      </c>
      <c r="E13" s="339">
        <f>'Input - Customer Data'!$J12</f>
        <v>56.5</v>
      </c>
      <c r="F13" s="339">
        <f>'Input - Customer Data'!$J13</f>
        <v>52</v>
      </c>
      <c r="G13" s="339">
        <f>'Input - Customer Data'!$J14</f>
        <v>47.5</v>
      </c>
      <c r="H13" s="339">
        <f>'Input - Customer Data'!$J19</f>
        <v>46.429708160951243</v>
      </c>
      <c r="I13" s="339">
        <f>'Input - Customer Data'!$J20</f>
        <v>45.383532629707418</v>
      </c>
      <c r="K13" s="356"/>
      <c r="L13" s="167"/>
      <c r="M13" s="358"/>
    </row>
    <row r="14" spans="2:13" x14ac:dyDescent="0.2">
      <c r="B14" s="257"/>
      <c r="C14" s="167" t="s">
        <v>81</v>
      </c>
      <c r="D14" s="339">
        <f>'Bridge&amp;Test Year Class Forecast'!$F64</f>
        <v>59755907.218200684</v>
      </c>
      <c r="E14" s="339">
        <f>'Bridge&amp;Test Year Class Forecast'!$F65</f>
        <v>54630395.882130146</v>
      </c>
      <c r="F14" s="339">
        <f>'Bridge&amp;Test Year Class Forecast'!$F66</f>
        <v>52904629.84846472</v>
      </c>
      <c r="G14" s="339">
        <f>'Bridge&amp;Test Year Class Forecast'!$F67</f>
        <v>50766218.310323983</v>
      </c>
      <c r="H14" s="339">
        <f>'Bridge&amp;Test Year Class Forecast'!$F68</f>
        <v>60321817.186956406</v>
      </c>
      <c r="I14" s="339">
        <f>'Bridge&amp;Test Year Class Forecast'!F$69</f>
        <v>60448003.765006162</v>
      </c>
      <c r="K14" s="327">
        <f>I14/$I$35</f>
        <v>0.41058233214955719</v>
      </c>
      <c r="L14" s="354">
        <f>K14*$L$36</f>
        <v>1538081.9612375409</v>
      </c>
      <c r="M14" s="357">
        <f>I14-L14</f>
        <v>58909921.80376862</v>
      </c>
    </row>
    <row r="15" spans="2:13" x14ac:dyDescent="0.2">
      <c r="B15" s="257"/>
      <c r="C15" s="167" t="s">
        <v>82</v>
      </c>
      <c r="D15" s="339">
        <f>'Bridge&amp;Test Year Class Forecast'!$M10</f>
        <v>165373.30000000002</v>
      </c>
      <c r="E15" s="339">
        <f>'Bridge&amp;Test Year Class Forecast'!$M11</f>
        <v>154259.70000000001</v>
      </c>
      <c r="F15" s="339">
        <f>'Bridge&amp;Test Year Class Forecast'!$M12</f>
        <v>148977.29999999999</v>
      </c>
      <c r="G15" s="339">
        <f>'Bridge&amp;Test Year Class Forecast'!$M13</f>
        <v>145124.19999999998</v>
      </c>
      <c r="H15" s="339">
        <f>'Bridge&amp;Test Year Class Forecast'!$M14</f>
        <v>163126.16966948824</v>
      </c>
      <c r="I15" s="339">
        <f>'Bridge&amp;Test Year Class Forecast'!$M15</f>
        <v>163467.41159655352</v>
      </c>
      <c r="K15" s="356"/>
      <c r="L15" s="355"/>
      <c r="M15" s="358">
        <f>(M14/I14)*I15</f>
        <v>159308.03061841102</v>
      </c>
    </row>
    <row r="16" spans="2:13" x14ac:dyDescent="0.2">
      <c r="B16" s="257"/>
      <c r="C16" s="167"/>
      <c r="D16" s="167"/>
      <c r="E16" s="167"/>
      <c r="F16" s="167"/>
      <c r="G16" s="167"/>
      <c r="H16" s="339"/>
      <c r="I16" s="340"/>
      <c r="K16" s="356"/>
      <c r="L16" s="167"/>
      <c r="M16" s="358"/>
    </row>
    <row r="17" spans="2:13" x14ac:dyDescent="0.2">
      <c r="B17" s="257" t="str">
        <f>'Input - Customer Data'!A16</f>
        <v>General Service &gt; 3000 to 4999 kW</v>
      </c>
      <c r="C17" s="167" t="s">
        <v>112</v>
      </c>
      <c r="D17" s="339">
        <f>'Input - Customer Data'!$L19</f>
        <v>1</v>
      </c>
      <c r="E17" s="339">
        <f>'Input - Customer Data'!$L19</f>
        <v>1</v>
      </c>
      <c r="F17" s="339">
        <f>'Input - Customer Data'!$L19</f>
        <v>1</v>
      </c>
      <c r="G17" s="339">
        <f>'Input - Customer Data'!$L19</f>
        <v>1</v>
      </c>
      <c r="H17" s="339">
        <f>'Input - Customer Data'!$L19</f>
        <v>1</v>
      </c>
      <c r="I17" s="339">
        <f>'Input - Customer Data'!$L20</f>
        <v>1</v>
      </c>
      <c r="K17" s="356"/>
      <c r="L17" s="167"/>
      <c r="M17" s="358"/>
    </row>
    <row r="18" spans="2:13" x14ac:dyDescent="0.2">
      <c r="B18" s="257"/>
      <c r="C18" s="167" t="s">
        <v>81</v>
      </c>
      <c r="D18" s="339">
        <f>'Bridge&amp;Test Year Class Forecast'!$F92</f>
        <v>18330572.956172734</v>
      </c>
      <c r="E18" s="339">
        <f>'Bridge&amp;Test Year Class Forecast'!$F93</f>
        <v>18333194.201832805</v>
      </c>
      <c r="F18" s="339">
        <f>'Bridge&amp;Test Year Class Forecast'!$F94</f>
        <v>17446328.108327266</v>
      </c>
      <c r="G18" s="339">
        <f>'Bridge&amp;Test Year Class Forecast'!$F95</f>
        <v>18421962.061268747</v>
      </c>
      <c r="H18" s="339">
        <f>'Bridge&amp;Test Year Class Forecast'!$F96</f>
        <v>18961919.497176804</v>
      </c>
      <c r="I18" s="339">
        <f>'Bridge&amp;Test Year Class Forecast'!F$97</f>
        <v>19001585.738118909</v>
      </c>
      <c r="K18" s="327">
        <f>I18/$I$35</f>
        <v>0.12906489711762995</v>
      </c>
      <c r="L18" s="354">
        <f>K18*$L$36</f>
        <v>483489.84976123215</v>
      </c>
      <c r="M18" s="357">
        <f>I18-L18</f>
        <v>18518095.888357677</v>
      </c>
    </row>
    <row r="19" spans="2:13" x14ac:dyDescent="0.2">
      <c r="B19" s="257"/>
      <c r="C19" s="167" t="s">
        <v>82</v>
      </c>
      <c r="D19" s="339">
        <f>'Bridge&amp;Test Year Class Forecast'!$M29</f>
        <v>42815.399999999994</v>
      </c>
      <c r="E19" s="339">
        <f>'Bridge&amp;Test Year Class Forecast'!$M30</f>
        <v>43263.5</v>
      </c>
      <c r="F19" s="339">
        <f>'Bridge&amp;Test Year Class Forecast'!$M31</f>
        <v>41432.5</v>
      </c>
      <c r="G19" s="339">
        <f>'Bridge&amp;Test Year Class Forecast'!$M32</f>
        <v>43591.000000000007</v>
      </c>
      <c r="H19" s="339">
        <f>'Bridge&amp;Test Year Class Forecast'!$M33</f>
        <v>44307.588443321561</v>
      </c>
      <c r="I19" s="339">
        <f>'Bridge&amp;Test Year Class Forecast'!M$34</f>
        <v>44400.275023866219</v>
      </c>
      <c r="K19" s="356"/>
      <c r="L19" s="355"/>
      <c r="M19" s="358">
        <f>(M18/I18)*I19</f>
        <v>43270.522875992501</v>
      </c>
    </row>
    <row r="20" spans="2:13" x14ac:dyDescent="0.2">
      <c r="B20" s="257"/>
      <c r="C20" s="167"/>
      <c r="D20" s="167"/>
      <c r="E20" s="167"/>
      <c r="F20" s="167"/>
      <c r="G20" s="167"/>
      <c r="H20" s="339"/>
      <c r="I20" s="340"/>
      <c r="K20" s="356"/>
      <c r="L20" s="167"/>
      <c r="M20" s="358"/>
    </row>
    <row r="21" spans="2:13" x14ac:dyDescent="0.2">
      <c r="B21" s="257" t="str">
        <f>'Input - Customer Data'!A17</f>
        <v>USL</v>
      </c>
      <c r="C21" s="167" t="s">
        <v>112</v>
      </c>
      <c r="D21" s="339">
        <f>'Input - Customer Data'!$N11</f>
        <v>13</v>
      </c>
      <c r="E21" s="339">
        <f>'Input - Customer Data'!$N12</f>
        <v>13</v>
      </c>
      <c r="F21" s="339">
        <f>'Input - Customer Data'!$N13</f>
        <v>13</v>
      </c>
      <c r="G21" s="339">
        <f>'Input - Customer Data'!$N14</f>
        <v>13</v>
      </c>
      <c r="H21" s="339">
        <f>'Input - Customer Data'!$N24</f>
        <v>13</v>
      </c>
      <c r="I21" s="339">
        <f>'Input - Customer Data'!$N25</f>
        <v>13</v>
      </c>
      <c r="K21" s="356"/>
      <c r="L21" s="167"/>
      <c r="M21" s="358"/>
    </row>
    <row r="22" spans="2:13" x14ac:dyDescent="0.2">
      <c r="B22" s="257"/>
      <c r="C22" s="167" t="s">
        <v>81</v>
      </c>
      <c r="D22" s="339">
        <f>'Bridge&amp;Test Year Class Forecast'!$L51</f>
        <v>548400</v>
      </c>
      <c r="E22" s="339">
        <f>'Bridge&amp;Test Year Class Forecast'!$L52</f>
        <v>563396</v>
      </c>
      <c r="F22" s="339">
        <f>'Bridge&amp;Test Year Class Forecast'!$L53</f>
        <v>563839</v>
      </c>
      <c r="G22" s="339">
        <f>'Bridge&amp;Test Year Class Forecast'!$L54</f>
        <v>562067</v>
      </c>
      <c r="H22" s="339">
        <f>'Bridge&amp;Test Year Class Forecast'!$L55</f>
        <v>559425.5</v>
      </c>
      <c r="I22" s="339">
        <f>'Bridge&amp;Test Year Class Forecast'!$L56</f>
        <v>559425.5</v>
      </c>
      <c r="K22" s="327">
        <f>I22/$I$35</f>
        <v>3.7997983745974694E-3</v>
      </c>
      <c r="L22" s="354">
        <f>K22*$L$36</f>
        <v>14234.419941331613</v>
      </c>
      <c r="M22" s="357">
        <f>I22-L22</f>
        <v>545191.08005866839</v>
      </c>
    </row>
    <row r="23" spans="2:13" x14ac:dyDescent="0.2">
      <c r="B23" s="257"/>
      <c r="C23" s="167"/>
      <c r="D23" s="167"/>
      <c r="E23" s="167"/>
      <c r="F23" s="167"/>
      <c r="G23" s="167"/>
      <c r="H23" s="339"/>
      <c r="I23" s="339"/>
      <c r="K23" s="356"/>
      <c r="L23" s="355"/>
      <c r="M23" s="358">
        <f>(M22/I22)*I23</f>
        <v>0</v>
      </c>
    </row>
    <row r="24" spans="2:13" x14ac:dyDescent="0.2">
      <c r="B24" s="257"/>
      <c r="C24" s="167"/>
      <c r="D24" s="167"/>
      <c r="E24" s="167"/>
      <c r="F24" s="167"/>
      <c r="G24" s="167"/>
      <c r="H24" s="339"/>
      <c r="I24" s="340"/>
      <c r="K24" s="356"/>
      <c r="L24" s="167"/>
      <c r="M24" s="358"/>
    </row>
    <row r="25" spans="2:13" x14ac:dyDescent="0.2">
      <c r="B25" s="496" t="str">
        <f>'Input - Customer Data'!A18</f>
        <v>Sentinel</v>
      </c>
      <c r="C25" s="167" t="s">
        <v>112</v>
      </c>
      <c r="D25" s="339">
        <f>'Input - Customer Data'!$P11</f>
        <v>31</v>
      </c>
      <c r="E25" s="339">
        <f>'Input - Customer Data'!$P12</f>
        <v>31</v>
      </c>
      <c r="F25" s="339">
        <f>'Input - Customer Data'!$P13</f>
        <v>31</v>
      </c>
      <c r="G25" s="339">
        <f>'Input - Customer Data'!$P14</f>
        <v>29</v>
      </c>
      <c r="H25" s="339">
        <f>'Input - Customer Data'!$P19</f>
        <v>28.759248664054667</v>
      </c>
      <c r="I25" s="339">
        <f>'Input - Customer Data'!$P20</f>
        <v>28.520495990376901</v>
      </c>
      <c r="K25" s="356"/>
      <c r="L25" s="167"/>
      <c r="M25" s="358"/>
    </row>
    <row r="26" spans="2:13" x14ac:dyDescent="0.2">
      <c r="B26" s="257"/>
      <c r="C26" s="167" t="s">
        <v>81</v>
      </c>
      <c r="D26" s="339">
        <f>'Bridge&amp;Test Year Class Forecast'!$L71</f>
        <v>40676</v>
      </c>
      <c r="E26" s="339">
        <f>'Bridge&amp;Test Year Class Forecast'!$L72</f>
        <v>39277</v>
      </c>
      <c r="F26" s="339">
        <f>'Bridge&amp;Test Year Class Forecast'!$L73</f>
        <v>39278</v>
      </c>
      <c r="G26" s="339">
        <f>'Bridge&amp;Test Year Class Forecast'!$L74</f>
        <v>39314</v>
      </c>
      <c r="H26" s="339">
        <f>'Bridge&amp;Test Year Class Forecast'!$L75</f>
        <v>39335.85434764708</v>
      </c>
      <c r="I26" s="339">
        <f>'Bridge&amp;Test Year Class Forecast'!$L76</f>
        <v>39009.297124035111</v>
      </c>
      <c r="K26" s="327">
        <f>I26/$I$35</f>
        <v>2.6496372404564744E-4</v>
      </c>
      <c r="L26" s="354">
        <f>K26*$L$36</f>
        <v>992.58027544274478</v>
      </c>
      <c r="M26" s="357">
        <f>I26-L26</f>
        <v>38016.716848592368</v>
      </c>
    </row>
    <row r="27" spans="2:13" x14ac:dyDescent="0.2">
      <c r="B27" s="257"/>
      <c r="C27" s="167" t="s">
        <v>82</v>
      </c>
      <c r="D27" s="339">
        <f>'Bridge&amp;Test Year Class Forecast'!$M71</f>
        <v>112.99000000000002</v>
      </c>
      <c r="E27" s="339">
        <f>'Bridge&amp;Test Year Class Forecast'!$M72</f>
        <v>109.08000000000001</v>
      </c>
      <c r="F27" s="339">
        <f>'Bridge&amp;Test Year Class Forecast'!$M73</f>
        <v>109.08</v>
      </c>
      <c r="G27" s="339">
        <f>'Bridge&amp;Test Year Class Forecast'!$M74</f>
        <v>109.19</v>
      </c>
      <c r="H27" s="339">
        <f>'Bridge&amp;Test Year Class Forecast'!$M75</f>
        <v>109.2644934298052</v>
      </c>
      <c r="I27" s="339">
        <f>'Bridge&amp;Test Year Class Forecast'!$M76</f>
        <v>108.35740471378396</v>
      </c>
      <c r="K27" s="356"/>
      <c r="L27" s="355"/>
      <c r="M27" s="358">
        <f>(M26/I26)*I27</f>
        <v>105.60028191110725</v>
      </c>
    </row>
    <row r="28" spans="2:13" x14ac:dyDescent="0.2">
      <c r="B28" s="257"/>
      <c r="C28" s="167"/>
      <c r="D28" s="167"/>
      <c r="E28" s="167"/>
      <c r="F28" s="167"/>
      <c r="G28" s="167"/>
      <c r="H28" s="339"/>
      <c r="I28" s="339"/>
      <c r="K28" s="356"/>
      <c r="L28" s="355"/>
      <c r="M28" s="358"/>
    </row>
    <row r="29" spans="2:13" x14ac:dyDescent="0.2">
      <c r="B29" s="257" t="s">
        <v>220</v>
      </c>
      <c r="C29" s="167" t="s">
        <v>112</v>
      </c>
      <c r="D29" s="339">
        <f>'Input - Customer Data'!$R11</f>
        <v>1696</v>
      </c>
      <c r="E29" s="339">
        <f>'Input - Customer Data'!$R12</f>
        <v>1705</v>
      </c>
      <c r="F29" s="339">
        <f>'Input - Customer Data'!$R13</f>
        <v>1706.5</v>
      </c>
      <c r="G29" s="339">
        <f>'Input - Customer Data'!$R14</f>
        <v>1704.5</v>
      </c>
      <c r="H29" s="339">
        <f>'Input - Customer Data'!$R19</f>
        <v>1710.403456367013</v>
      </c>
      <c r="I29" s="339">
        <f>'Input - Customer Data'!$R20</f>
        <v>1716.3273590802137</v>
      </c>
      <c r="K29" s="356"/>
      <c r="L29" s="355"/>
      <c r="M29" s="358"/>
    </row>
    <row r="30" spans="2:13" x14ac:dyDescent="0.2">
      <c r="B30" s="257"/>
      <c r="C30" s="167" t="s">
        <v>81</v>
      </c>
      <c r="D30" s="339">
        <f>'Bridge&amp;Test Year Class Forecast'!$L91</f>
        <v>1151811</v>
      </c>
      <c r="E30" s="339">
        <f>'Bridge&amp;Test Year Class Forecast'!$L92</f>
        <v>1141797</v>
      </c>
      <c r="F30" s="339">
        <f>'Bridge&amp;Test Year Class Forecast'!$L93</f>
        <v>976129</v>
      </c>
      <c r="G30" s="339">
        <f>'Bridge&amp;Test Year Class Forecast'!$L94</f>
        <v>566049</v>
      </c>
      <c r="H30" s="339">
        <f>'Bridge&amp;Test Year Class Forecast'!$L95</f>
        <v>568009.48434912961</v>
      </c>
      <c r="I30" s="339">
        <f>'Bridge&amp;Test Year Class Forecast'!$L96</f>
        <v>569976.75874449743</v>
      </c>
      <c r="K30" s="327">
        <f>I30/$I$35</f>
        <v>3.8714659260896673E-3</v>
      </c>
      <c r="L30" s="354">
        <f>K30*$L$36</f>
        <v>14502.893666392096</v>
      </c>
      <c r="M30" s="357">
        <f>I30-L30</f>
        <v>555473.86507810536</v>
      </c>
    </row>
    <row r="31" spans="2:13" x14ac:dyDescent="0.2">
      <c r="B31" s="257"/>
      <c r="C31" s="167" t="s">
        <v>82</v>
      </c>
      <c r="D31" s="339">
        <f>'Bridge&amp;Test Year Class Forecast'!$M91</f>
        <v>3174</v>
      </c>
      <c r="E31" s="339">
        <f>'Bridge&amp;Test Year Class Forecast'!$M92</f>
        <v>3151.1999999999994</v>
      </c>
      <c r="F31" s="339">
        <f>'Bridge&amp;Test Year Class Forecast'!$M93</f>
        <v>2727.2</v>
      </c>
      <c r="G31" s="339">
        <f>'Bridge&amp;Test Year Class Forecast'!$M94</f>
        <v>1555.1999999999996</v>
      </c>
      <c r="H31" s="339">
        <f>'Bridge&amp;Test Year Class Forecast'!$M95</f>
        <v>1560.5863627703009</v>
      </c>
      <c r="I31" s="339">
        <f>'Bridge&amp;Test Year Class Forecast'!$M96</f>
        <v>1565.9913809572001</v>
      </c>
      <c r="K31" s="356"/>
      <c r="L31" s="167"/>
      <c r="M31" s="358">
        <f>(M30/I30)*I31</f>
        <v>1526.1451834902443</v>
      </c>
    </row>
    <row r="32" spans="2:13" x14ac:dyDescent="0.2">
      <c r="B32" s="257"/>
      <c r="C32" s="167"/>
      <c r="D32" s="167"/>
      <c r="E32" s="167"/>
      <c r="F32" s="167"/>
      <c r="G32" s="167"/>
      <c r="H32" s="339"/>
      <c r="I32" s="340"/>
      <c r="K32" s="356"/>
      <c r="L32" s="167"/>
      <c r="M32" s="358"/>
    </row>
    <row r="33" spans="2:13" x14ac:dyDescent="0.2">
      <c r="B33" s="257"/>
      <c r="C33" s="167"/>
      <c r="D33" s="167"/>
      <c r="E33" s="167"/>
      <c r="F33" s="167"/>
      <c r="G33" s="167"/>
      <c r="H33" s="339"/>
      <c r="I33" s="340"/>
      <c r="K33" s="356"/>
      <c r="L33" s="167"/>
      <c r="M33" s="167"/>
    </row>
    <row r="34" spans="2:13" x14ac:dyDescent="0.2">
      <c r="B34" s="257" t="s">
        <v>83</v>
      </c>
      <c r="C34" s="257" t="s">
        <v>112</v>
      </c>
      <c r="D34" s="341">
        <f>D5+D9+D13+D17+D21+D25+D29</f>
        <v>8420.5</v>
      </c>
      <c r="E34" s="341">
        <f t="shared" ref="E34:H36" si="0">E5+E9+E13+E17+E21+E25+E29</f>
        <v>8468</v>
      </c>
      <c r="F34" s="341">
        <f t="shared" si="0"/>
        <v>8494.5</v>
      </c>
      <c r="G34" s="341">
        <f t="shared" si="0"/>
        <v>8525</v>
      </c>
      <c r="H34" s="341">
        <f t="shared" si="0"/>
        <v>8596.8348726883341</v>
      </c>
      <c r="I34" s="341">
        <f>I5+I9+I13+I17+I21+I25+I29</f>
        <v>8669.3892955487136</v>
      </c>
      <c r="K34" s="356"/>
      <c r="L34" s="167"/>
      <c r="M34" s="341">
        <f>M5+M9+M13+M17+M21+M25+M29</f>
        <v>0</v>
      </c>
    </row>
    <row r="35" spans="2:13" ht="13.5" thickBot="1" x14ac:dyDescent="0.25">
      <c r="B35" s="257"/>
      <c r="C35" s="257" t="s">
        <v>81</v>
      </c>
      <c r="D35" s="341">
        <f>D6+D10+D14+D18+D22+D26+D30</f>
        <v>145647866.61923066</v>
      </c>
      <c r="E35" s="341">
        <f t="shared" si="0"/>
        <v>141000424.61722448</v>
      </c>
      <c r="F35" s="341">
        <f t="shared" si="0"/>
        <v>138995287.75909099</v>
      </c>
      <c r="G35" s="341">
        <f t="shared" si="0"/>
        <v>138827041.37053162</v>
      </c>
      <c r="H35" s="341">
        <f t="shared" si="0"/>
        <v>146918511.24504298</v>
      </c>
      <c r="I35" s="341">
        <f>I6+I10+I14+I18+I22+I26+I30</f>
        <v>147225048.50254393</v>
      </c>
      <c r="K35" s="356"/>
      <c r="L35" s="167"/>
      <c r="M35" s="341">
        <f>M6+M10+M14+M18+M22+M26+M30</f>
        <v>143478949.7525439</v>
      </c>
    </row>
    <row r="36" spans="2:13" ht="13.5" thickTop="1" x14ac:dyDescent="0.2">
      <c r="B36" s="257"/>
      <c r="C36" s="257" t="s">
        <v>82</v>
      </c>
      <c r="D36" s="341">
        <f>D7+D11+D15+D19+D23+D27+D31</f>
        <v>211475.69</v>
      </c>
      <c r="E36" s="341">
        <f t="shared" si="0"/>
        <v>200783.48</v>
      </c>
      <c r="F36" s="341">
        <f t="shared" si="0"/>
        <v>193246.07999999999</v>
      </c>
      <c r="G36" s="341">
        <f t="shared" si="0"/>
        <v>190379.59</v>
      </c>
      <c r="H36" s="341">
        <f t="shared" si="0"/>
        <v>209103.60896900989</v>
      </c>
      <c r="I36" s="341">
        <f>I7+I11+I15+I19+I23+I27+I31</f>
        <v>209542.0354060907</v>
      </c>
      <c r="K36" s="356">
        <f>SUM(K5:K33)</f>
        <v>0.99999999999999989</v>
      </c>
      <c r="L36" s="326">
        <f>'CDM Adjustment'!Q42</f>
        <v>3746098.75</v>
      </c>
      <c r="M36" s="341">
        <f>M7+M11+M15+M19+M23+M27+M31</f>
        <v>204210.29895980487</v>
      </c>
    </row>
    <row r="39" spans="2:13" ht="15.75" customHeight="1" x14ac:dyDescent="0.2"/>
  </sheetData>
  <sheetProtection selectLockedCells="1" selectUnlockedCells="1"/>
  <mergeCells count="2">
    <mergeCell ref="B3:I3"/>
    <mergeCell ref="K3:M3"/>
  </mergeCells>
  <pageMargins left="0.7" right="0.7" top="0.75" bottom="0.75" header="0.3" footer="0.3"/>
  <pageSetup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sheetPr>
  <dimension ref="B3:J36"/>
  <sheetViews>
    <sheetView showGridLines="0" zoomScaleNormal="100" workbookViewId="0">
      <selection activeCell="B30" sqref="B30"/>
    </sheetView>
  </sheetViews>
  <sheetFormatPr defaultColWidth="10.5" defaultRowHeight="12.75" x14ac:dyDescent="0.2"/>
  <cols>
    <col min="1" max="1" width="10.5" style="144"/>
    <col min="2" max="2" width="36.5" style="144" bestFit="1" customWidth="1"/>
    <col min="3" max="3" width="12.5" style="144" bestFit="1" customWidth="1"/>
    <col min="4" max="4" width="14.83203125" style="144" customWidth="1"/>
    <col min="5" max="5" width="14.5" style="144" customWidth="1"/>
    <col min="6" max="6" width="15" style="144" customWidth="1"/>
    <col min="7" max="8" width="14.5" style="144" bestFit="1" customWidth="1"/>
    <col min="9" max="9" width="14.5" style="144" customWidth="1"/>
    <col min="10" max="10" width="14.5" style="144" bestFit="1" customWidth="1"/>
    <col min="11" max="11" width="10.6640625" style="144" customWidth="1"/>
    <col min="12" max="16384" width="10.5" style="144"/>
  </cols>
  <sheetData>
    <row r="3" spans="2:10" ht="15" customHeight="1" x14ac:dyDescent="0.2">
      <c r="B3" s="852" t="s">
        <v>113</v>
      </c>
      <c r="C3" s="853"/>
      <c r="D3" s="853"/>
      <c r="E3" s="853"/>
      <c r="F3" s="853"/>
      <c r="G3" s="853"/>
      <c r="H3" s="853"/>
      <c r="I3" s="539"/>
      <c r="J3" s="519"/>
    </row>
    <row r="4" spans="2:10" ht="38.25" x14ac:dyDescent="0.2">
      <c r="B4" s="266"/>
      <c r="C4" s="266" t="s">
        <v>80</v>
      </c>
      <c r="D4" s="266">
        <f>'Input - Customer Data'!$E$11</f>
        <v>2013</v>
      </c>
      <c r="E4" s="266">
        <f>'Input - Customer Data'!$E$12</f>
        <v>2014</v>
      </c>
      <c r="F4" s="266">
        <f>'Input - Customer Data'!$E$13</f>
        <v>2015</v>
      </c>
      <c r="G4" s="266">
        <f>'Input - Customer Data'!$E$14</f>
        <v>2016</v>
      </c>
      <c r="H4" s="266">
        <f>'Input - Customer Data'!$E$19</f>
        <v>2017</v>
      </c>
      <c r="I4" s="266">
        <f>'Input - Customer Data'!$E$20</f>
        <v>2018</v>
      </c>
      <c r="J4" s="272" t="s">
        <v>217</v>
      </c>
    </row>
    <row r="5" spans="2:10" x14ac:dyDescent="0.2">
      <c r="B5" s="257" t="str">
        <f>'Input - Customer Data'!A13</f>
        <v>Residential</v>
      </c>
      <c r="C5" s="167" t="s">
        <v>112</v>
      </c>
      <c r="D5" s="339">
        <f>'Input - Customer Data'!$F11</f>
        <v>5911.5</v>
      </c>
      <c r="E5" s="339">
        <f>'Input - Customer Data'!$F12</f>
        <v>5946.5</v>
      </c>
      <c r="F5" s="339">
        <f>'Input - Customer Data'!$F13</f>
        <v>5961</v>
      </c>
      <c r="G5" s="339">
        <f>'Input - Customer Data'!F14</f>
        <v>5988.5</v>
      </c>
      <c r="H5" s="339">
        <f>'Input - Customer Data'!$F24</f>
        <v>6047.4668331756211</v>
      </c>
      <c r="I5" s="339">
        <f>'Input - Customer Data'!$F25</f>
        <v>6107.0142937896262</v>
      </c>
      <c r="J5" s="339">
        <f>'Input - Customer Data'!$F25</f>
        <v>6107.0142937896262</v>
      </c>
    </row>
    <row r="6" spans="2:10" x14ac:dyDescent="0.2">
      <c r="B6" s="257"/>
      <c r="C6" s="167" t="s">
        <v>81</v>
      </c>
      <c r="D6" s="339">
        <f>'Bridge&amp;Test Year Class Forecast'!F10</f>
        <v>45782444.498456918</v>
      </c>
      <c r="E6" s="339">
        <f>'Bridge&amp;Test Year Class Forecast'!F11</f>
        <v>45855881.363355793</v>
      </c>
      <c r="F6" s="339">
        <f>'Bridge&amp;Test Year Class Forecast'!F12</f>
        <v>45491149.951531768</v>
      </c>
      <c r="G6" s="339">
        <f>'Bridge&amp;Test Year Class Forecast'!F13</f>
        <v>45102913.851007625</v>
      </c>
      <c r="H6" s="339">
        <f>'Bridge&amp;Test Year Class Forecast'!F14</f>
        <v>45507125.129285187</v>
      </c>
      <c r="I6" s="339">
        <f>'Bridge&amp;Test Year Class Forecast'!F15</f>
        <v>45602321.008068956</v>
      </c>
      <c r="J6" s="357">
        <f>'CDM Allocation'!M6</f>
        <v>44441983.148017414</v>
      </c>
    </row>
    <row r="7" spans="2:10" ht="13.5" customHeight="1" x14ac:dyDescent="0.2">
      <c r="B7" s="257"/>
      <c r="C7" s="167" t="s">
        <v>82</v>
      </c>
      <c r="D7" s="167"/>
      <c r="E7" s="167"/>
      <c r="F7" s="167"/>
      <c r="G7" s="167"/>
      <c r="H7" s="339"/>
      <c r="I7" s="339"/>
      <c r="J7" s="357">
        <f>'CDM Allocation'!M7</f>
        <v>0</v>
      </c>
    </row>
    <row r="8" spans="2:10" ht="13.5" customHeight="1" x14ac:dyDescent="0.2">
      <c r="B8" s="257"/>
      <c r="C8" s="167"/>
      <c r="D8" s="167"/>
      <c r="E8" s="167"/>
      <c r="F8" s="167"/>
      <c r="G8" s="167"/>
      <c r="H8" s="339"/>
      <c r="I8" s="339"/>
      <c r="J8" s="357">
        <f>'CDM Allocation'!M8</f>
        <v>0</v>
      </c>
    </row>
    <row r="9" spans="2:10" x14ac:dyDescent="0.2">
      <c r="B9" s="257" t="str">
        <f>'Input - Customer Data'!A14</f>
        <v>General Service &lt; 50 kW</v>
      </c>
      <c r="C9" s="167" t="s">
        <v>112</v>
      </c>
      <c r="D9" s="339">
        <f>'Input - Customer Data'!$H11</f>
        <v>711</v>
      </c>
      <c r="E9" s="339">
        <f>'Input - Customer Data'!$H12</f>
        <v>715</v>
      </c>
      <c r="F9" s="339">
        <f>'Input - Customer Data'!$H13</f>
        <v>730</v>
      </c>
      <c r="G9" s="339">
        <f>'Input - Customer Data'!$H14</f>
        <v>741.5</v>
      </c>
      <c r="H9" s="339">
        <f>'Input - Customer Data'!$H24</f>
        <v>749.77562632069578</v>
      </c>
      <c r="I9" s="339">
        <f>'Input - Customer Data'!$H25</f>
        <v>758.14361405878844</v>
      </c>
      <c r="J9" s="339">
        <f>'Input - Customer Data'!$H25</f>
        <v>758.14361405878844</v>
      </c>
    </row>
    <row r="10" spans="2:10" x14ac:dyDescent="0.2">
      <c r="B10" s="257"/>
      <c r="C10" s="167" t="s">
        <v>81</v>
      </c>
      <c r="D10" s="339">
        <f>'Bridge&amp;Test Year Class Forecast'!F37</f>
        <v>20038054.946400315</v>
      </c>
      <c r="E10" s="339">
        <f>'Bridge&amp;Test Year Class Forecast'!F38</f>
        <v>20436483.169905741</v>
      </c>
      <c r="F10" s="339">
        <f>'Bridge&amp;Test Year Class Forecast'!F39</f>
        <v>21573933.850767229</v>
      </c>
      <c r="G10" s="339">
        <f>'Bridge&amp;Test Year Class Forecast'!F40</f>
        <v>23368517.147931248</v>
      </c>
      <c r="H10" s="339">
        <f>'Bridge&amp;Test Year Class Forecast'!F$41</f>
        <v>20960878.592927814</v>
      </c>
      <c r="I10" s="339">
        <f>'Bridge&amp;Test Year Class Forecast'!F$42</f>
        <v>21004726.435481369</v>
      </c>
      <c r="J10" s="357">
        <f>'CDM Allocation'!M10</f>
        <v>20470267.250414848</v>
      </c>
    </row>
    <row r="11" spans="2:10" x14ac:dyDescent="0.2">
      <c r="B11" s="257"/>
      <c r="C11" s="167" t="s">
        <v>82</v>
      </c>
      <c r="D11" s="167"/>
      <c r="E11" s="167"/>
      <c r="F11" s="167"/>
      <c r="G11" s="167"/>
      <c r="H11" s="339"/>
      <c r="I11" s="339"/>
      <c r="J11" s="357">
        <f>'CDM Allocation'!M11</f>
        <v>0</v>
      </c>
    </row>
    <row r="12" spans="2:10" x14ac:dyDescent="0.2">
      <c r="B12" s="257"/>
      <c r="C12" s="167"/>
      <c r="D12" s="167"/>
      <c r="E12" s="167"/>
      <c r="F12" s="167"/>
      <c r="G12" s="167"/>
      <c r="H12" s="339"/>
      <c r="I12" s="339"/>
      <c r="J12" s="357">
        <f>'CDM Allocation'!M12</f>
        <v>0</v>
      </c>
    </row>
    <row r="13" spans="2:10" x14ac:dyDescent="0.2">
      <c r="B13" s="257" t="str">
        <f>'Input - Customer Data'!A15</f>
        <v>General Service &gt; 50 to 2999 kW</v>
      </c>
      <c r="C13" s="167" t="s">
        <v>112</v>
      </c>
      <c r="D13" s="339">
        <f>'Input - Customer Data'!$J11</f>
        <v>57</v>
      </c>
      <c r="E13" s="339">
        <f>'Input - Customer Data'!$J12</f>
        <v>56.5</v>
      </c>
      <c r="F13" s="339">
        <f>'Input - Customer Data'!$J13</f>
        <v>52</v>
      </c>
      <c r="G13" s="339">
        <f>'Input - Customer Data'!$J14</f>
        <v>47.5</v>
      </c>
      <c r="H13" s="339">
        <f>'Input - Customer Data'!$J24</f>
        <v>46.429708160951243</v>
      </c>
      <c r="I13" s="339">
        <f>'Input - Customer Data'!$J25</f>
        <v>45.383532629707418</v>
      </c>
      <c r="J13" s="339">
        <f>'Input - Customer Data'!$J25</f>
        <v>45.383532629707418</v>
      </c>
    </row>
    <row r="14" spans="2:10" x14ac:dyDescent="0.2">
      <c r="B14" s="257"/>
      <c r="C14" s="167" t="s">
        <v>81</v>
      </c>
      <c r="D14" s="339">
        <f>'Bridge&amp;Test Year Class Forecast'!$F64</f>
        <v>59755907.218200684</v>
      </c>
      <c r="E14" s="339">
        <f>'Bridge&amp;Test Year Class Forecast'!$F65</f>
        <v>54630395.882130146</v>
      </c>
      <c r="F14" s="339">
        <f>'Bridge&amp;Test Year Class Forecast'!$F66</f>
        <v>52904629.84846472</v>
      </c>
      <c r="G14" s="339">
        <f>'Bridge&amp;Test Year Class Forecast'!$F67</f>
        <v>50766218.310323983</v>
      </c>
      <c r="H14" s="339">
        <f>'Bridge&amp;Test Year Class Forecast'!$F68</f>
        <v>60321817.186956406</v>
      </c>
      <c r="I14" s="339">
        <f>'Bridge&amp;Test Year Class Forecast'!F$69</f>
        <v>60448003.765006162</v>
      </c>
      <c r="J14" s="357">
        <f>'CDM Allocation'!M14</f>
        <v>58909921.80376862</v>
      </c>
    </row>
    <row r="15" spans="2:10" x14ac:dyDescent="0.2">
      <c r="B15" s="257"/>
      <c r="C15" s="167" t="s">
        <v>82</v>
      </c>
      <c r="D15" s="339">
        <f>'Bridge&amp;Test Year Class Forecast'!$M10</f>
        <v>165373.30000000002</v>
      </c>
      <c r="E15" s="339">
        <f>'Bridge&amp;Test Year Class Forecast'!$M11</f>
        <v>154259.70000000001</v>
      </c>
      <c r="F15" s="339">
        <f>'Bridge&amp;Test Year Class Forecast'!$M12</f>
        <v>148977.29999999999</v>
      </c>
      <c r="G15" s="339">
        <f>'Bridge&amp;Test Year Class Forecast'!$M13</f>
        <v>145124.19999999998</v>
      </c>
      <c r="H15" s="339">
        <f>'Bridge&amp;Test Year Class Forecast'!$M14</f>
        <v>163126.16966948824</v>
      </c>
      <c r="I15" s="339">
        <f>'Bridge&amp;Test Year Class Forecast'!$M15</f>
        <v>163467.41159655352</v>
      </c>
      <c r="J15" s="357">
        <f>'CDM Allocation'!M15</f>
        <v>159308.03061841102</v>
      </c>
    </row>
    <row r="16" spans="2:10" x14ac:dyDescent="0.2">
      <c r="B16" s="257"/>
      <c r="C16" s="167"/>
      <c r="D16" s="167"/>
      <c r="E16" s="167"/>
      <c r="F16" s="167"/>
      <c r="G16" s="167"/>
      <c r="H16" s="339"/>
      <c r="I16" s="339"/>
      <c r="J16" s="357">
        <f>'CDM Allocation'!M16</f>
        <v>0</v>
      </c>
    </row>
    <row r="17" spans="2:10" x14ac:dyDescent="0.2">
      <c r="B17" s="257" t="str">
        <f>'Input - Customer Data'!A16</f>
        <v>General Service &gt; 3000 to 4999 kW</v>
      </c>
      <c r="C17" s="167" t="s">
        <v>112</v>
      </c>
      <c r="D17" s="339">
        <f>'Input - Customer Data'!$L19</f>
        <v>1</v>
      </c>
      <c r="E17" s="339">
        <f>'Input - Customer Data'!$L19</f>
        <v>1</v>
      </c>
      <c r="F17" s="339">
        <f>'Input - Customer Data'!$L19</f>
        <v>1</v>
      </c>
      <c r="G17" s="339">
        <f>'Input - Customer Data'!$L19</f>
        <v>1</v>
      </c>
      <c r="H17" s="339">
        <f>'Input - Customer Data'!$L24</f>
        <v>1</v>
      </c>
      <c r="I17" s="339">
        <f>'Input - Customer Data'!$L25</f>
        <v>1</v>
      </c>
      <c r="J17" s="339">
        <f>'Input - Customer Data'!$L25</f>
        <v>1</v>
      </c>
    </row>
    <row r="18" spans="2:10" x14ac:dyDescent="0.2">
      <c r="B18" s="257"/>
      <c r="C18" s="167" t="s">
        <v>81</v>
      </c>
      <c r="D18" s="339">
        <f>'Bridge&amp;Test Year Class Forecast'!$F92</f>
        <v>18330572.956172734</v>
      </c>
      <c r="E18" s="339">
        <f>'Bridge&amp;Test Year Class Forecast'!$F93</f>
        <v>18333194.201832805</v>
      </c>
      <c r="F18" s="339">
        <f>'Bridge&amp;Test Year Class Forecast'!$F94</f>
        <v>17446328.108327266</v>
      </c>
      <c r="G18" s="339">
        <f>'Bridge&amp;Test Year Class Forecast'!$F95</f>
        <v>18421962.061268747</v>
      </c>
      <c r="H18" s="339">
        <f>'Bridge&amp;Test Year Class Forecast'!$F96</f>
        <v>18961919.497176804</v>
      </c>
      <c r="I18" s="339">
        <f>'Bridge&amp;Test Year Class Forecast'!F$97</f>
        <v>19001585.738118909</v>
      </c>
      <c r="J18" s="357">
        <f>'CDM Allocation'!M18</f>
        <v>18518095.888357677</v>
      </c>
    </row>
    <row r="19" spans="2:10" x14ac:dyDescent="0.2">
      <c r="B19" s="257"/>
      <c r="C19" s="167" t="s">
        <v>82</v>
      </c>
      <c r="D19" s="339">
        <f>'Bridge&amp;Test Year Class Forecast'!$M29</f>
        <v>42815.399999999994</v>
      </c>
      <c r="E19" s="339">
        <f>'Bridge&amp;Test Year Class Forecast'!$M30</f>
        <v>43263.5</v>
      </c>
      <c r="F19" s="339">
        <f>'Bridge&amp;Test Year Class Forecast'!$M31</f>
        <v>41432.5</v>
      </c>
      <c r="G19" s="339">
        <f>'Bridge&amp;Test Year Class Forecast'!$M32</f>
        <v>43591.000000000007</v>
      </c>
      <c r="H19" s="339">
        <f>'Bridge&amp;Test Year Class Forecast'!$M33</f>
        <v>44307.588443321561</v>
      </c>
      <c r="I19" s="339">
        <f>'Bridge&amp;Test Year Class Forecast'!M$34</f>
        <v>44400.275023866219</v>
      </c>
      <c r="J19" s="357">
        <f>'CDM Allocation'!M19</f>
        <v>43270.522875992501</v>
      </c>
    </row>
    <row r="20" spans="2:10" x14ac:dyDescent="0.2">
      <c r="B20" s="257"/>
      <c r="C20" s="167"/>
      <c r="D20" s="167"/>
      <c r="E20" s="167"/>
      <c r="F20" s="167"/>
      <c r="G20" s="167"/>
      <c r="H20" s="339"/>
      <c r="I20" s="339"/>
      <c r="J20" s="357">
        <f>'CDM Allocation'!M20</f>
        <v>0</v>
      </c>
    </row>
    <row r="21" spans="2:10" x14ac:dyDescent="0.2">
      <c r="B21" s="257" t="str">
        <f>'Input - Customer Data'!A17</f>
        <v>USL</v>
      </c>
      <c r="C21" s="167" t="s">
        <v>112</v>
      </c>
      <c r="D21" s="339">
        <f>'Input - Customer Data'!$N11</f>
        <v>13</v>
      </c>
      <c r="E21" s="339">
        <f>'Input - Customer Data'!$N12</f>
        <v>13</v>
      </c>
      <c r="F21" s="339">
        <f>'Input - Customer Data'!$N13</f>
        <v>13</v>
      </c>
      <c r="G21" s="339">
        <f>'Input - Customer Data'!$N14</f>
        <v>13</v>
      </c>
      <c r="H21" s="339">
        <f>'Input - Customer Data'!$N24</f>
        <v>13</v>
      </c>
      <c r="I21" s="339">
        <f>'Input - Customer Data'!$N25</f>
        <v>13</v>
      </c>
      <c r="J21" s="339">
        <f>'Input - Customer Data'!$N25</f>
        <v>13</v>
      </c>
    </row>
    <row r="22" spans="2:10" x14ac:dyDescent="0.2">
      <c r="B22" s="257"/>
      <c r="C22" s="167" t="s">
        <v>81</v>
      </c>
      <c r="D22" s="339">
        <f>'Bridge&amp;Test Year Class Forecast'!$L51</f>
        <v>548400</v>
      </c>
      <c r="E22" s="339">
        <f>'Bridge&amp;Test Year Class Forecast'!$L52</f>
        <v>563396</v>
      </c>
      <c r="F22" s="339">
        <f>'Bridge&amp;Test Year Class Forecast'!$L53</f>
        <v>563839</v>
      </c>
      <c r="G22" s="339">
        <f>'Bridge&amp;Test Year Class Forecast'!$L54</f>
        <v>562067</v>
      </c>
      <c r="H22" s="339">
        <f>'Bridge&amp;Test Year Class Forecast'!$L55</f>
        <v>559425.5</v>
      </c>
      <c r="I22" s="339">
        <f>'Bridge&amp;Test Year Class Forecast'!$L56</f>
        <v>559425.5</v>
      </c>
      <c r="J22" s="357">
        <f>'CDM Allocation'!M22</f>
        <v>545191.08005866839</v>
      </c>
    </row>
    <row r="23" spans="2:10" x14ac:dyDescent="0.2">
      <c r="B23" s="257"/>
      <c r="C23" s="167"/>
      <c r="D23" s="167"/>
      <c r="E23" s="167"/>
      <c r="F23" s="167"/>
      <c r="G23" s="167"/>
      <c r="H23" s="339"/>
      <c r="I23" s="339"/>
      <c r="J23" s="357">
        <f>'CDM Allocation'!M23</f>
        <v>0</v>
      </c>
    </row>
    <row r="24" spans="2:10" x14ac:dyDescent="0.2">
      <c r="B24" s="257"/>
      <c r="C24" s="167"/>
      <c r="D24" s="167"/>
      <c r="E24" s="167"/>
      <c r="F24" s="167"/>
      <c r="G24" s="167"/>
      <c r="H24" s="339"/>
      <c r="I24" s="339"/>
      <c r="J24" s="357">
        <f>'CDM Allocation'!M24</f>
        <v>0</v>
      </c>
    </row>
    <row r="25" spans="2:10" x14ac:dyDescent="0.2">
      <c r="B25" s="496" t="str">
        <f>'Input - Customer Data'!A18</f>
        <v>Sentinel</v>
      </c>
      <c r="C25" s="167" t="s">
        <v>112</v>
      </c>
      <c r="D25" s="339">
        <f>'Input - Customer Data'!$P11</f>
        <v>31</v>
      </c>
      <c r="E25" s="339">
        <f>'Input - Customer Data'!$P12</f>
        <v>31</v>
      </c>
      <c r="F25" s="339">
        <f>'Input - Customer Data'!$P13</f>
        <v>31</v>
      </c>
      <c r="G25" s="339">
        <f>'Input - Customer Data'!$P14</f>
        <v>29</v>
      </c>
      <c r="H25" s="339">
        <f>'Input - Customer Data'!$P24</f>
        <v>28.759248664054667</v>
      </c>
      <c r="I25" s="339">
        <f>'Input - Customer Data'!$P25</f>
        <v>28.520495990376901</v>
      </c>
      <c r="J25" s="339">
        <f>'Input - Customer Data'!$P25</f>
        <v>28.520495990376901</v>
      </c>
    </row>
    <row r="26" spans="2:10" x14ac:dyDescent="0.2">
      <c r="B26" s="257"/>
      <c r="C26" s="167" t="s">
        <v>81</v>
      </c>
      <c r="D26" s="339">
        <f>'Bridge&amp;Test Year Class Forecast'!$L71</f>
        <v>40676</v>
      </c>
      <c r="E26" s="339">
        <f>'Bridge&amp;Test Year Class Forecast'!$L72</f>
        <v>39277</v>
      </c>
      <c r="F26" s="339">
        <f>'Bridge&amp;Test Year Class Forecast'!$L73</f>
        <v>39278</v>
      </c>
      <c r="G26" s="339">
        <f>'Bridge&amp;Test Year Class Forecast'!$L74</f>
        <v>39314</v>
      </c>
      <c r="H26" s="339">
        <f>'Bridge&amp;Test Year Class Forecast'!$L75</f>
        <v>39335.85434764708</v>
      </c>
      <c r="I26" s="339">
        <f>'Bridge&amp;Test Year Class Forecast'!$L76</f>
        <v>39009.297124035111</v>
      </c>
      <c r="J26" s="357">
        <f>'CDM Allocation'!M26</f>
        <v>38016.716848592368</v>
      </c>
    </row>
    <row r="27" spans="2:10" x14ac:dyDescent="0.2">
      <c r="B27" s="257"/>
      <c r="C27" s="167" t="s">
        <v>82</v>
      </c>
      <c r="D27" s="339">
        <f>'Bridge&amp;Test Year Class Forecast'!$M71</f>
        <v>112.99000000000002</v>
      </c>
      <c r="E27" s="339">
        <f>'Bridge&amp;Test Year Class Forecast'!$M72</f>
        <v>109.08000000000001</v>
      </c>
      <c r="F27" s="339">
        <f>'Bridge&amp;Test Year Class Forecast'!$M73</f>
        <v>109.08</v>
      </c>
      <c r="G27" s="339">
        <f>'Bridge&amp;Test Year Class Forecast'!$M74</f>
        <v>109.19</v>
      </c>
      <c r="H27" s="339">
        <f>'Bridge&amp;Test Year Class Forecast'!$M75</f>
        <v>109.2644934298052</v>
      </c>
      <c r="I27" s="339">
        <f>'Bridge&amp;Test Year Class Forecast'!$M76</f>
        <v>108.35740471378396</v>
      </c>
      <c r="J27" s="357">
        <f>'CDM Allocation'!M27</f>
        <v>105.60028191110725</v>
      </c>
    </row>
    <row r="28" spans="2:10" x14ac:dyDescent="0.2">
      <c r="B28" s="257"/>
      <c r="C28" s="167"/>
      <c r="D28" s="167"/>
      <c r="E28" s="167"/>
      <c r="F28" s="167"/>
      <c r="G28" s="167"/>
      <c r="H28" s="339"/>
      <c r="I28" s="339"/>
      <c r="J28" s="357">
        <f>'CDM Allocation'!M28</f>
        <v>0</v>
      </c>
    </row>
    <row r="29" spans="2:10" x14ac:dyDescent="0.2">
      <c r="B29" s="257" t="s">
        <v>310</v>
      </c>
      <c r="C29" s="167" t="s">
        <v>112</v>
      </c>
      <c r="D29" s="339">
        <f>'Input - Customer Data'!$R11</f>
        <v>1696</v>
      </c>
      <c r="E29" s="339">
        <f>'Input - Customer Data'!$R12</f>
        <v>1705</v>
      </c>
      <c r="F29" s="339">
        <f>'Input - Customer Data'!$R13</f>
        <v>1706.5</v>
      </c>
      <c r="G29" s="339">
        <f>'Input - Customer Data'!$R14</f>
        <v>1704.5</v>
      </c>
      <c r="H29" s="339">
        <f>'Input - Customer Data'!$R24</f>
        <v>1710.403456367013</v>
      </c>
      <c r="I29" s="339">
        <f>'Input - Customer Data'!$R25</f>
        <v>1716.3273590802137</v>
      </c>
      <c r="J29" s="339">
        <f>'Input - Customer Data'!$R25</f>
        <v>1716.3273590802137</v>
      </c>
    </row>
    <row r="30" spans="2:10" x14ac:dyDescent="0.2">
      <c r="B30" s="257"/>
      <c r="C30" s="167" t="s">
        <v>81</v>
      </c>
      <c r="D30" s="339">
        <f>'Bridge&amp;Test Year Class Forecast'!$L91</f>
        <v>1151811</v>
      </c>
      <c r="E30" s="339">
        <f>'Bridge&amp;Test Year Class Forecast'!$L92</f>
        <v>1141797</v>
      </c>
      <c r="F30" s="339">
        <f>'Bridge&amp;Test Year Class Forecast'!$L93</f>
        <v>976129</v>
      </c>
      <c r="G30" s="339">
        <f>'Bridge&amp;Test Year Class Forecast'!$L94</f>
        <v>566049</v>
      </c>
      <c r="H30" s="339">
        <f>'Bridge&amp;Test Year Class Forecast'!$L95</f>
        <v>568009.48434912961</v>
      </c>
      <c r="I30" s="339">
        <f>'Bridge&amp;Test Year Class Forecast'!$L96</f>
        <v>569976.75874449743</v>
      </c>
      <c r="J30" s="357">
        <f>'CDM Allocation'!M30</f>
        <v>555473.86507810536</v>
      </c>
    </row>
    <row r="31" spans="2:10" x14ac:dyDescent="0.2">
      <c r="B31" s="257"/>
      <c r="C31" s="167" t="s">
        <v>82</v>
      </c>
      <c r="D31" s="339">
        <f>'Bridge&amp;Test Year Class Forecast'!$M91</f>
        <v>3174</v>
      </c>
      <c r="E31" s="339">
        <f>'Bridge&amp;Test Year Class Forecast'!$M92</f>
        <v>3151.1999999999994</v>
      </c>
      <c r="F31" s="339">
        <f>'Bridge&amp;Test Year Class Forecast'!$M93</f>
        <v>2727.2</v>
      </c>
      <c r="G31" s="339">
        <f>'Bridge&amp;Test Year Class Forecast'!$M94</f>
        <v>1555.1999999999996</v>
      </c>
      <c r="H31" s="339">
        <f>'Bridge&amp;Test Year Class Forecast'!$M95</f>
        <v>1560.5863627703009</v>
      </c>
      <c r="I31" s="339">
        <f>'Bridge&amp;Test Year Class Forecast'!$M96</f>
        <v>1565.9913809572001</v>
      </c>
      <c r="J31" s="357">
        <f>'CDM Allocation'!M31</f>
        <v>1526.1451834902443</v>
      </c>
    </row>
    <row r="32" spans="2:10" x14ac:dyDescent="0.2">
      <c r="B32" s="257"/>
      <c r="C32" s="167"/>
      <c r="D32" s="167"/>
      <c r="E32" s="167"/>
      <c r="F32" s="167"/>
      <c r="G32" s="167"/>
      <c r="H32" s="339"/>
      <c r="I32" s="339"/>
      <c r="J32" s="357"/>
    </row>
    <row r="33" spans="2:10" x14ac:dyDescent="0.2">
      <c r="B33" s="257"/>
      <c r="C33" s="167"/>
      <c r="D33" s="167"/>
      <c r="E33" s="167"/>
      <c r="F33" s="167"/>
      <c r="G33" s="167"/>
      <c r="H33" s="339"/>
      <c r="I33" s="339"/>
      <c r="J33" s="357"/>
    </row>
    <row r="34" spans="2:10" x14ac:dyDescent="0.2">
      <c r="B34" s="257" t="s">
        <v>83</v>
      </c>
      <c r="C34" s="257" t="s">
        <v>112</v>
      </c>
      <c r="D34" s="341">
        <f t="shared" ref="D34:G36" si="0">D5+D9+D13+D17+D21+D25+D29</f>
        <v>8420.5</v>
      </c>
      <c r="E34" s="341">
        <f t="shared" si="0"/>
        <v>8468</v>
      </c>
      <c r="F34" s="341">
        <f t="shared" si="0"/>
        <v>8494.5</v>
      </c>
      <c r="G34" s="341">
        <f t="shared" si="0"/>
        <v>8525</v>
      </c>
      <c r="H34" s="341">
        <f t="shared" ref="H34:J36" si="1">H5+H9+H13+H17+H21+H25+H29</f>
        <v>8596.8348726883341</v>
      </c>
      <c r="I34" s="341">
        <f t="shared" si="1"/>
        <v>8669.3892955487136</v>
      </c>
      <c r="J34" s="341">
        <f t="shared" si="1"/>
        <v>8669.3892955487136</v>
      </c>
    </row>
    <row r="35" spans="2:10" x14ac:dyDescent="0.2">
      <c r="B35" s="257"/>
      <c r="C35" s="257" t="s">
        <v>81</v>
      </c>
      <c r="D35" s="341">
        <f t="shared" si="0"/>
        <v>145647866.61923066</v>
      </c>
      <c r="E35" s="341">
        <f t="shared" si="0"/>
        <v>141000424.61722448</v>
      </c>
      <c r="F35" s="341">
        <f t="shared" si="0"/>
        <v>138995287.75909099</v>
      </c>
      <c r="G35" s="341">
        <f t="shared" si="0"/>
        <v>138827041.37053162</v>
      </c>
      <c r="H35" s="341">
        <f t="shared" si="1"/>
        <v>146918511.24504298</v>
      </c>
      <c r="I35" s="341">
        <f t="shared" si="1"/>
        <v>147225048.50254393</v>
      </c>
      <c r="J35" s="341">
        <f t="shared" si="1"/>
        <v>143478949.7525439</v>
      </c>
    </row>
    <row r="36" spans="2:10" ht="15.75" customHeight="1" x14ac:dyDescent="0.2">
      <c r="B36" s="257"/>
      <c r="C36" s="257" t="s">
        <v>82</v>
      </c>
      <c r="D36" s="341">
        <f t="shared" si="0"/>
        <v>211475.69</v>
      </c>
      <c r="E36" s="341">
        <f t="shared" si="0"/>
        <v>200783.48</v>
      </c>
      <c r="F36" s="341">
        <f t="shared" si="0"/>
        <v>193246.07999999999</v>
      </c>
      <c r="G36" s="341">
        <f t="shared" si="0"/>
        <v>190379.59</v>
      </c>
      <c r="H36" s="341">
        <f t="shared" si="1"/>
        <v>209103.60896900989</v>
      </c>
      <c r="I36" s="341">
        <f t="shared" si="1"/>
        <v>209542.0354060907</v>
      </c>
      <c r="J36" s="341">
        <f t="shared" si="1"/>
        <v>204210.29895980487</v>
      </c>
    </row>
  </sheetData>
  <sheetProtection selectLockedCells="1" selectUnlockedCells="1"/>
  <mergeCells count="1">
    <mergeCell ref="B3:H3"/>
  </mergeCells>
  <pageMargins left="0.7" right="0.7" top="0.75" bottom="0.75" header="0.3" footer="0.3"/>
  <pageSetup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3:I49"/>
  <sheetViews>
    <sheetView showGridLines="0" tabSelected="1" topLeftCell="A14" workbookViewId="0">
      <selection activeCell="F11" sqref="F11"/>
    </sheetView>
  </sheetViews>
  <sheetFormatPr defaultColWidth="9.33203125" defaultRowHeight="12.75" x14ac:dyDescent="0.2"/>
  <cols>
    <col min="1" max="5" width="18.83203125" style="12" customWidth="1"/>
    <col min="6" max="6" width="25.83203125" style="12" bestFit="1" customWidth="1"/>
    <col min="7" max="10" width="18.83203125" style="12" customWidth="1"/>
    <col min="11" max="16384" width="9.33203125" style="12"/>
  </cols>
  <sheetData>
    <row r="3" spans="1:9" ht="15.75" customHeight="1" x14ac:dyDescent="0.2">
      <c r="A3" s="855" t="s">
        <v>195</v>
      </c>
      <c r="B3" s="805"/>
      <c r="C3" s="805"/>
      <c r="D3" s="805"/>
      <c r="E3" s="805"/>
      <c r="F3" s="805"/>
      <c r="G3" s="805"/>
      <c r="H3" s="276"/>
      <c r="I3" s="276"/>
    </row>
    <row r="4" spans="1:9" x14ac:dyDescent="0.2">
      <c r="A4" s="266" t="s">
        <v>80</v>
      </c>
      <c r="B4" s="266" t="s">
        <v>155</v>
      </c>
      <c r="C4" s="266" t="s">
        <v>156</v>
      </c>
      <c r="D4" s="266" t="s">
        <v>88</v>
      </c>
      <c r="E4" s="266" t="s">
        <v>156</v>
      </c>
      <c r="F4" s="266" t="s">
        <v>157</v>
      </c>
      <c r="G4" s="266"/>
    </row>
    <row r="5" spans="1:9" x14ac:dyDescent="0.2">
      <c r="A5" s="342"/>
      <c r="B5" s="343" t="s">
        <v>59</v>
      </c>
      <c r="C5" s="343"/>
      <c r="D5" s="343" t="s">
        <v>59</v>
      </c>
      <c r="E5" s="343"/>
      <c r="F5" s="344"/>
      <c r="G5" s="349"/>
    </row>
    <row r="6" spans="1:9" x14ac:dyDescent="0.2">
      <c r="A6" s="166">
        <f>'Input - Customer Data'!E6</f>
        <v>2008</v>
      </c>
      <c r="B6" s="359">
        <f>SUM('Input - Adjustments &amp; Variables'!B5:B16)</f>
        <v>161716845.11999997</v>
      </c>
      <c r="C6" s="344"/>
      <c r="D6" s="359">
        <f>SUM('Input - Adjustments &amp; Variables'!H5:H16)</f>
        <v>147644590.16999999</v>
      </c>
      <c r="E6" s="344"/>
      <c r="F6" s="360">
        <f t="shared" ref="F6:F14" si="0">(D6-B6)/B6</f>
        <v>-8.7017867183581565E-2</v>
      </c>
      <c r="G6" s="360"/>
    </row>
    <row r="7" spans="1:9" x14ac:dyDescent="0.2">
      <c r="A7" s="166">
        <f>'Input - Customer Data'!E7</f>
        <v>2009</v>
      </c>
      <c r="B7" s="359">
        <f>SUM('Input - Adjustments &amp; Variables'!B17:B28)</f>
        <v>154290358.88</v>
      </c>
      <c r="C7" s="360">
        <f>(B7-B6)/B6</f>
        <v>-4.5922774677487975E-2</v>
      </c>
      <c r="D7" s="359">
        <f>SUM('Input - Adjustments &amp; Variables'!H17:H28)</f>
        <v>139894245.88</v>
      </c>
      <c r="E7" s="360">
        <f>(D7-D6)/D6</f>
        <v>-5.2493249370506159E-2</v>
      </c>
      <c r="F7" s="360">
        <f t="shared" si="0"/>
        <v>-9.3305330964954455E-2</v>
      </c>
      <c r="G7" s="360"/>
    </row>
    <row r="8" spans="1:9" x14ac:dyDescent="0.2">
      <c r="A8" s="166">
        <f>'Input - Customer Data'!E8</f>
        <v>2010</v>
      </c>
      <c r="B8" s="359">
        <f>SUM('Input - Adjustments &amp; Variables'!B29:B40)</f>
        <v>155932074.40000001</v>
      </c>
      <c r="C8" s="360">
        <f t="shared" ref="C8:C14" si="1">(B8-B7)/B7</f>
        <v>1.0640428422859928E-2</v>
      </c>
      <c r="D8" s="359">
        <f>SUM('Input - Adjustments &amp; Variables'!H29:H40)</f>
        <v>141140527.69999999</v>
      </c>
      <c r="E8" s="360">
        <f t="shared" ref="E8:E14" si="2">(D8-D7)/D7</f>
        <v>8.9087425444863682E-3</v>
      </c>
      <c r="F8" s="360">
        <f t="shared" si="0"/>
        <v>-9.4858910566766735E-2</v>
      </c>
      <c r="G8" s="360"/>
    </row>
    <row r="9" spans="1:9" x14ac:dyDescent="0.2">
      <c r="A9" s="166">
        <f>'Input - Customer Data'!E9</f>
        <v>2011</v>
      </c>
      <c r="B9" s="359">
        <f>SUM('Input - Adjustments &amp; Variables'!B41:B52)</f>
        <v>154214655.59999999</v>
      </c>
      <c r="C9" s="360">
        <f t="shared" si="1"/>
        <v>-1.1013890545664489E-2</v>
      </c>
      <c r="D9" s="359">
        <f>SUM('Input - Adjustments &amp; Variables'!H41:H52)</f>
        <v>140278908</v>
      </c>
      <c r="E9" s="360">
        <f t="shared" si="2"/>
        <v>-6.1046937689746795E-3</v>
      </c>
      <c r="F9" s="360">
        <f t="shared" si="0"/>
        <v>-9.0365909425277696E-2</v>
      </c>
      <c r="G9" s="360"/>
    </row>
    <row r="10" spans="1:9" x14ac:dyDescent="0.2">
      <c r="A10" s="166">
        <f>'Input - Customer Data'!E10</f>
        <v>2012</v>
      </c>
      <c r="B10" s="359">
        <f>SUM('Input - Adjustments &amp; Variables'!B53:B64)</f>
        <v>156500644.44999999</v>
      </c>
      <c r="C10" s="360">
        <f t="shared" si="1"/>
        <v>1.4823421555532068E-2</v>
      </c>
      <c r="D10" s="359">
        <f>SUM('Input - Adjustments &amp; Variables'!H53:H64)</f>
        <v>143716822.60000002</v>
      </c>
      <c r="E10" s="360">
        <f t="shared" si="2"/>
        <v>2.4507708600069969E-2</v>
      </c>
      <c r="F10" s="360">
        <f t="shared" si="0"/>
        <v>-8.1685426248095966E-2</v>
      </c>
      <c r="G10" s="360"/>
    </row>
    <row r="11" spans="1:9" x14ac:dyDescent="0.2">
      <c r="A11" s="166">
        <f>'Input - Customer Data'!E11</f>
        <v>2013</v>
      </c>
      <c r="B11" s="359">
        <f>SUM('Input - Adjustments &amp; Variables'!B65:B76)</f>
        <v>154795353.84</v>
      </c>
      <c r="C11" s="360">
        <f t="shared" si="1"/>
        <v>-1.0896380752890789E-2</v>
      </c>
      <c r="D11" s="359">
        <f>SUM('Input - Adjustments &amp; Variables'!H65:H76)</f>
        <v>146666557.58999997</v>
      </c>
      <c r="E11" s="360">
        <f t="shared" si="2"/>
        <v>2.0524632653546777E-2</v>
      </c>
      <c r="F11" s="360">
        <f t="shared" si="0"/>
        <v>-5.2513179810307085E-2</v>
      </c>
      <c r="G11" s="360"/>
    </row>
    <row r="12" spans="1:9" x14ac:dyDescent="0.2">
      <c r="A12" s="166">
        <f>'Input - Customer Data'!E12</f>
        <v>2014</v>
      </c>
      <c r="B12" s="359">
        <f>SUM('Input - Adjustments &amp; Variables'!B77:B88)</f>
        <v>148717979.18000001</v>
      </c>
      <c r="C12" s="360">
        <f t="shared" si="1"/>
        <v>-3.9260704596351829E-2</v>
      </c>
      <c r="D12" s="359">
        <f>SUM('Input - Adjustments &amp; Variables'!H77:H88)</f>
        <v>145618385.03</v>
      </c>
      <c r="E12" s="360">
        <f t="shared" si="2"/>
        <v>-7.146636405894885E-3</v>
      </c>
      <c r="F12" s="360">
        <f t="shared" si="0"/>
        <v>-2.0842094325719884E-2</v>
      </c>
      <c r="G12" s="360"/>
    </row>
    <row r="13" spans="1:9" x14ac:dyDescent="0.2">
      <c r="A13" s="166">
        <f>'Input - Customer Data'!E13</f>
        <v>2015</v>
      </c>
      <c r="B13" s="359">
        <f>SUM('Input - Adjustments &amp; Variables'!B89:B100)</f>
        <v>144221924.34</v>
      </c>
      <c r="C13" s="360">
        <f t="shared" si="1"/>
        <v>-3.0232086697185603E-2</v>
      </c>
      <c r="D13" s="359">
        <f>SUM('Input - Adjustments &amp; Variables'!H89:H100)</f>
        <v>142900769.78999999</v>
      </c>
      <c r="E13" s="360">
        <f t="shared" si="2"/>
        <v>-1.8662583295647264E-2</v>
      </c>
      <c r="F13" s="360">
        <f t="shared" si="0"/>
        <v>-9.1605666478656832E-3</v>
      </c>
      <c r="G13" s="360"/>
    </row>
    <row r="14" spans="1:9" x14ac:dyDescent="0.2">
      <c r="A14" s="166">
        <f>'Input - Customer Data'!E14</f>
        <v>2016</v>
      </c>
      <c r="B14" s="359">
        <f>SUM('Input - Adjustments &amp; Variables'!B101:B112)</f>
        <v>145136098.44</v>
      </c>
      <c r="C14" s="360">
        <f t="shared" si="1"/>
        <v>6.3386624757886933E-3</v>
      </c>
      <c r="D14" s="359">
        <f>SUM('Input - Adjustments &amp; Variables'!H101:H112)</f>
        <v>143959401.24000001</v>
      </c>
      <c r="E14" s="360">
        <f t="shared" si="2"/>
        <v>7.408157783584589E-3</v>
      </c>
      <c r="F14" s="360">
        <f t="shared" si="0"/>
        <v>-8.1075432828066601E-3</v>
      </c>
      <c r="G14" s="360"/>
    </row>
    <row r="15" spans="1:9" x14ac:dyDescent="0.2">
      <c r="B15" s="345"/>
      <c r="C15" s="555"/>
      <c r="D15" s="346"/>
      <c r="F15" s="350"/>
      <c r="G15" s="347"/>
    </row>
    <row r="16" spans="1:9" x14ac:dyDescent="0.2">
      <c r="F16" s="350"/>
      <c r="G16" s="347"/>
    </row>
    <row r="18" spans="1:7" ht="15.75" x14ac:dyDescent="0.2">
      <c r="A18" s="855" t="s">
        <v>196</v>
      </c>
      <c r="B18" s="805"/>
      <c r="C18" s="805"/>
      <c r="D18" s="805"/>
      <c r="E18" s="805"/>
      <c r="F18" s="805"/>
      <c r="G18" s="805"/>
    </row>
    <row r="19" spans="1:7" x14ac:dyDescent="0.2">
      <c r="A19" s="266" t="s">
        <v>80</v>
      </c>
      <c r="B19" s="266" t="s">
        <v>155</v>
      </c>
      <c r="C19" s="266" t="s">
        <v>156</v>
      </c>
      <c r="D19" s="266" t="s">
        <v>294</v>
      </c>
      <c r="E19" s="266" t="s">
        <v>156</v>
      </c>
      <c r="F19" s="266" t="s">
        <v>157</v>
      </c>
      <c r="G19" s="266"/>
    </row>
    <row r="20" spans="1:7" x14ac:dyDescent="0.2">
      <c r="A20" s="342"/>
      <c r="B20" s="343"/>
      <c r="C20" s="343"/>
      <c r="D20" s="343"/>
      <c r="E20" s="343"/>
      <c r="F20" s="344"/>
      <c r="G20" s="349"/>
    </row>
    <row r="21" spans="1:7" x14ac:dyDescent="0.2">
      <c r="A21" s="166">
        <f>'Input - Customer Data'!E6</f>
        <v>2008</v>
      </c>
      <c r="B21" s="359">
        <f t="shared" ref="B21:B29" si="3">B6</f>
        <v>161716845.11999997</v>
      </c>
      <c r="C21" s="344"/>
      <c r="D21" s="359">
        <f>'Bridge&amp;Test Year Class Forecast'!E5</f>
        <v>142745764.07020909</v>
      </c>
      <c r="E21" s="344"/>
      <c r="F21" s="360">
        <f t="shared" ref="F21:F29" si="4">(D21-B21)/B21</f>
        <v>-0.11731048200769459</v>
      </c>
      <c r="G21" s="360">
        <f t="shared" ref="G21:G29" si="5">IF(ABS(B21-D21)=0,0,ABS(B21-D21)/B21)</f>
        <v>0.11731048200769459</v>
      </c>
    </row>
    <row r="22" spans="1:7" x14ac:dyDescent="0.2">
      <c r="A22" s="166">
        <f>'Input - Customer Data'!E7</f>
        <v>2009</v>
      </c>
      <c r="B22" s="359">
        <f t="shared" si="3"/>
        <v>154290358.88</v>
      </c>
      <c r="C22" s="360">
        <f t="shared" ref="C22:C29" si="6">(B22-B21)/B21</f>
        <v>-4.5922774677487975E-2</v>
      </c>
      <c r="D22" s="359">
        <f>'Bridge&amp;Test Year Class Forecast'!E6</f>
        <v>140745147.02880377</v>
      </c>
      <c r="E22" s="360">
        <f t="shared" ref="E22:E29" si="7">(D22-D21)/D21</f>
        <v>-1.4015246297755796E-2</v>
      </c>
      <c r="F22" s="360">
        <f t="shared" si="4"/>
        <v>-8.7790396947168142E-2</v>
      </c>
      <c r="G22" s="360">
        <f t="shared" si="5"/>
        <v>8.7790396947168142E-2</v>
      </c>
    </row>
    <row r="23" spans="1:7" x14ac:dyDescent="0.2">
      <c r="A23" s="166">
        <f>'Input - Customer Data'!E8</f>
        <v>2010</v>
      </c>
      <c r="B23" s="359">
        <f t="shared" si="3"/>
        <v>155932074.40000001</v>
      </c>
      <c r="C23" s="360">
        <f t="shared" si="6"/>
        <v>1.0640428422859928E-2</v>
      </c>
      <c r="D23" s="359">
        <f>'Bridge&amp;Test Year Class Forecast'!E7</f>
        <v>143068308.5514479</v>
      </c>
      <c r="E23" s="360">
        <f t="shared" si="7"/>
        <v>1.6506157204615325E-2</v>
      </c>
      <c r="F23" s="360">
        <f t="shared" si="4"/>
        <v>-8.2495957923023097E-2</v>
      </c>
      <c r="G23" s="360">
        <f t="shared" si="5"/>
        <v>8.2495957923023097E-2</v>
      </c>
    </row>
    <row r="24" spans="1:7" x14ac:dyDescent="0.2">
      <c r="A24" s="166">
        <f>'Input - Customer Data'!E9</f>
        <v>2011</v>
      </c>
      <c r="B24" s="359">
        <f t="shared" si="3"/>
        <v>154214655.59999999</v>
      </c>
      <c r="C24" s="360">
        <f t="shared" si="6"/>
        <v>-1.1013890545664489E-2</v>
      </c>
      <c r="D24" s="359">
        <f>'Bridge&amp;Test Year Class Forecast'!E8</f>
        <v>143978528.4159154</v>
      </c>
      <c r="E24" s="360">
        <f t="shared" si="7"/>
        <v>6.3621347989878778E-3</v>
      </c>
      <c r="F24" s="360">
        <f t="shared" si="4"/>
        <v>-6.6375839210995158E-2</v>
      </c>
      <c r="G24" s="360">
        <f t="shared" si="5"/>
        <v>6.6375839210995158E-2</v>
      </c>
    </row>
    <row r="25" spans="1:7" x14ac:dyDescent="0.2">
      <c r="A25" s="166">
        <f>'Input - Customer Data'!E10</f>
        <v>2012</v>
      </c>
      <c r="B25" s="359">
        <f t="shared" si="3"/>
        <v>156500644.44999999</v>
      </c>
      <c r="C25" s="360">
        <f t="shared" si="6"/>
        <v>1.4823421555532068E-2</v>
      </c>
      <c r="D25" s="359">
        <f>'Bridge&amp;Test Year Class Forecast'!E9</f>
        <v>143496616.94985288</v>
      </c>
      <c r="E25" s="360">
        <f t="shared" si="7"/>
        <v>-3.347106484311347E-3</v>
      </c>
      <c r="F25" s="360">
        <f t="shared" si="4"/>
        <v>-8.3092485311149822E-2</v>
      </c>
      <c r="G25" s="360">
        <f t="shared" si="5"/>
        <v>8.3092485311149822E-2</v>
      </c>
    </row>
    <row r="26" spans="1:7" x14ac:dyDescent="0.2">
      <c r="A26" s="166">
        <f>'Input - Customer Data'!E11</f>
        <v>2013</v>
      </c>
      <c r="B26" s="359">
        <f t="shared" si="3"/>
        <v>154795353.84</v>
      </c>
      <c r="C26" s="360">
        <f t="shared" si="6"/>
        <v>-1.0896380752890789E-2</v>
      </c>
      <c r="D26" s="359">
        <f>'Bridge&amp;Test Year Class Forecast'!E10</f>
        <v>144472247.66218883</v>
      </c>
      <c r="E26" s="360">
        <f t="shared" si="7"/>
        <v>6.7989805827749477E-3</v>
      </c>
      <c r="F26" s="360">
        <f t="shared" si="4"/>
        <v>-6.6688734007361569E-2</v>
      </c>
      <c r="G26" s="360">
        <f t="shared" si="5"/>
        <v>6.6688734007361569E-2</v>
      </c>
    </row>
    <row r="27" spans="1:7" x14ac:dyDescent="0.2">
      <c r="A27" s="166">
        <f>'Input - Customer Data'!E12</f>
        <v>2014</v>
      </c>
      <c r="B27" s="359">
        <f t="shared" si="3"/>
        <v>148717979.18000001</v>
      </c>
      <c r="C27" s="360">
        <f t="shared" si="6"/>
        <v>-3.9260704596351829E-2</v>
      </c>
      <c r="D27" s="359">
        <f>'Bridge&amp;Test Year Class Forecast'!E11</f>
        <v>144603820.11636949</v>
      </c>
      <c r="E27" s="360">
        <f t="shared" si="7"/>
        <v>9.1071092413752834E-4</v>
      </c>
      <c r="F27" s="360">
        <f t="shared" si="4"/>
        <v>-2.7664167347587282E-2</v>
      </c>
      <c r="G27" s="360">
        <f t="shared" si="5"/>
        <v>2.7664167347587282E-2</v>
      </c>
    </row>
    <row r="28" spans="1:7" x14ac:dyDescent="0.2">
      <c r="A28" s="166">
        <f>'Input - Customer Data'!E13</f>
        <v>2015</v>
      </c>
      <c r="B28" s="359">
        <f t="shared" si="3"/>
        <v>144221924.34</v>
      </c>
      <c r="C28" s="360">
        <f t="shared" si="6"/>
        <v>-3.0232086697185603E-2</v>
      </c>
      <c r="D28" s="359">
        <f>'Bridge&amp;Test Year Class Forecast'!E12</f>
        <v>144146024.823457</v>
      </c>
      <c r="E28" s="360">
        <f t="shared" si="7"/>
        <v>-3.1658589139904728E-3</v>
      </c>
      <c r="F28" s="360">
        <f t="shared" si="4"/>
        <v>-5.2626892124993082E-4</v>
      </c>
      <c r="G28" s="360">
        <f t="shared" si="5"/>
        <v>5.2626892124993082E-4</v>
      </c>
    </row>
    <row r="29" spans="1:7" x14ac:dyDescent="0.2">
      <c r="A29" s="166">
        <f>'Input - Customer Data'!E14</f>
        <v>2016</v>
      </c>
      <c r="B29" s="359">
        <f t="shared" si="3"/>
        <v>145136098.44</v>
      </c>
      <c r="C29" s="360">
        <f t="shared" si="6"/>
        <v>6.3386624757886933E-3</v>
      </c>
      <c r="D29" s="359">
        <f>'Bridge&amp;Test Year Class Forecast'!E13</f>
        <v>144563750.38198498</v>
      </c>
      <c r="E29" s="360">
        <f t="shared" si="7"/>
        <v>2.8979332523362063E-3</v>
      </c>
      <c r="F29" s="360">
        <f t="shared" si="4"/>
        <v>-3.9435265531244127E-3</v>
      </c>
      <c r="G29" s="360">
        <f t="shared" si="5"/>
        <v>3.9435265531244127E-3</v>
      </c>
    </row>
    <row r="30" spans="1:7" x14ac:dyDescent="0.2">
      <c r="B30" s="345"/>
      <c r="C30" s="345"/>
      <c r="D30" s="346"/>
      <c r="F30" s="350" t="s">
        <v>164</v>
      </c>
      <c r="G30" s="347">
        <f>AVERAGE(G21:G29)</f>
        <v>5.9543095358817112E-2</v>
      </c>
    </row>
    <row r="31" spans="1:7" x14ac:dyDescent="0.2">
      <c r="A31" s="12" t="s">
        <v>158</v>
      </c>
      <c r="F31" s="350" t="s">
        <v>163</v>
      </c>
      <c r="G31" s="347">
        <f>MEDIAN(G21:G29)</f>
        <v>6.6688734007361569E-2</v>
      </c>
    </row>
    <row r="32" spans="1:7" x14ac:dyDescent="0.2">
      <c r="A32" s="348" t="s">
        <v>159</v>
      </c>
    </row>
    <row r="33" spans="1:7" x14ac:dyDescent="0.2">
      <c r="A33" s="348" t="s">
        <v>160</v>
      </c>
    </row>
    <row r="34" spans="1:7" x14ac:dyDescent="0.2">
      <c r="A34" s="348" t="s">
        <v>161</v>
      </c>
    </row>
    <row r="35" spans="1:7" x14ac:dyDescent="0.2">
      <c r="A35" s="348" t="s">
        <v>162</v>
      </c>
    </row>
    <row r="37" spans="1:7" ht="38.25" x14ac:dyDescent="0.2">
      <c r="A37" s="556" t="s">
        <v>222</v>
      </c>
      <c r="B37" s="556" t="s">
        <v>223</v>
      </c>
      <c r="C37" s="556" t="s">
        <v>224</v>
      </c>
      <c r="D37" s="556" t="s">
        <v>225</v>
      </c>
      <c r="E37" s="557" t="s">
        <v>226</v>
      </c>
      <c r="F37" s="557" t="s">
        <v>227</v>
      </c>
      <c r="G37" s="557" t="s">
        <v>228</v>
      </c>
    </row>
    <row r="38" spans="1:7" ht="18.75" x14ac:dyDescent="0.35">
      <c r="A38" s="556" t="s">
        <v>229</v>
      </c>
      <c r="B38" s="556" t="s">
        <v>230</v>
      </c>
      <c r="C38" s="556" t="s">
        <v>231</v>
      </c>
      <c r="D38" s="556" t="s">
        <v>232</v>
      </c>
      <c r="E38" s="556" t="s">
        <v>233</v>
      </c>
      <c r="F38" s="556" t="s">
        <v>234</v>
      </c>
      <c r="G38" s="556" t="s">
        <v>235</v>
      </c>
    </row>
    <row r="39" spans="1:7" x14ac:dyDescent="0.2">
      <c r="A39" s="556">
        <v>1</v>
      </c>
      <c r="B39" s="558">
        <f>B21</f>
        <v>161716845.11999997</v>
      </c>
      <c r="C39" s="559">
        <f>D21</f>
        <v>142745764.07020909</v>
      </c>
      <c r="D39" s="560">
        <f>B39-C39</f>
        <v>18971081.049790889</v>
      </c>
      <c r="E39" s="560">
        <f>ABS(B39-C39)</f>
        <v>18971081.049790889</v>
      </c>
      <c r="F39" s="560">
        <f>D39^2</f>
        <v>359901916197735</v>
      </c>
      <c r="G39" s="561">
        <f>ABS((B39-C39)/B39)</f>
        <v>0.11731048200769459</v>
      </c>
    </row>
    <row r="40" spans="1:7" x14ac:dyDescent="0.2">
      <c r="A40" s="556">
        <v>2</v>
      </c>
      <c r="B40" s="558">
        <f t="shared" ref="B40:B47" si="8">B22</f>
        <v>154290358.88</v>
      </c>
      <c r="C40" s="559">
        <f t="shared" ref="C40:C47" si="9">D22</f>
        <v>140745147.02880377</v>
      </c>
      <c r="D40" s="560">
        <f t="shared" ref="D40:D47" si="10">B40-C40</f>
        <v>13545211.851196229</v>
      </c>
      <c r="E40" s="560">
        <f t="shared" ref="E40:E47" si="11">ABS(B40-C40)</f>
        <v>13545211.851196229</v>
      </c>
      <c r="F40" s="560">
        <f t="shared" ref="F40:F47" si="12">D40^2</f>
        <v>183472764093786.78</v>
      </c>
      <c r="G40" s="561">
        <f t="shared" ref="G40:G47" si="13">ABS((B40-C40)/B40)</f>
        <v>8.7790396947168142E-2</v>
      </c>
    </row>
    <row r="41" spans="1:7" x14ac:dyDescent="0.2">
      <c r="A41" s="556">
        <v>3</v>
      </c>
      <c r="B41" s="558">
        <f t="shared" si="8"/>
        <v>155932074.40000001</v>
      </c>
      <c r="C41" s="559">
        <f t="shared" si="9"/>
        <v>143068308.5514479</v>
      </c>
      <c r="D41" s="560">
        <f t="shared" si="10"/>
        <v>12863765.848552108</v>
      </c>
      <c r="E41" s="560">
        <f t="shared" si="11"/>
        <v>12863765.848552108</v>
      </c>
      <c r="F41" s="560">
        <f t="shared" si="12"/>
        <v>165476471806375.53</v>
      </c>
      <c r="G41" s="561">
        <f t="shared" si="13"/>
        <v>8.2495957923023097E-2</v>
      </c>
    </row>
    <row r="42" spans="1:7" x14ac:dyDescent="0.2">
      <c r="A42" s="556">
        <v>4</v>
      </c>
      <c r="B42" s="558">
        <f t="shared" si="8"/>
        <v>154214655.59999999</v>
      </c>
      <c r="C42" s="559">
        <f t="shared" si="9"/>
        <v>143978528.4159154</v>
      </c>
      <c r="D42" s="560">
        <f t="shared" si="10"/>
        <v>10236127.184084594</v>
      </c>
      <c r="E42" s="560">
        <f t="shared" si="11"/>
        <v>10236127.184084594</v>
      </c>
      <c r="F42" s="560">
        <f t="shared" si="12"/>
        <v>104778299728755.61</v>
      </c>
      <c r="G42" s="561">
        <f t="shared" si="13"/>
        <v>6.6375839210995158E-2</v>
      </c>
    </row>
    <row r="43" spans="1:7" x14ac:dyDescent="0.2">
      <c r="A43" s="556">
        <v>5</v>
      </c>
      <c r="B43" s="558">
        <f t="shared" si="8"/>
        <v>156500644.44999999</v>
      </c>
      <c r="C43" s="559">
        <f t="shared" si="9"/>
        <v>143496616.94985288</v>
      </c>
      <c r="D43" s="560">
        <f t="shared" si="10"/>
        <v>13004027.500147104</v>
      </c>
      <c r="E43" s="560">
        <f t="shared" si="11"/>
        <v>13004027.500147104</v>
      </c>
      <c r="F43" s="560">
        <f t="shared" si="12"/>
        <v>169104731224582.16</v>
      </c>
      <c r="G43" s="561">
        <f t="shared" si="13"/>
        <v>8.3092485311149822E-2</v>
      </c>
    </row>
    <row r="44" spans="1:7" x14ac:dyDescent="0.2">
      <c r="A44" s="556">
        <v>6</v>
      </c>
      <c r="B44" s="558">
        <f t="shared" si="8"/>
        <v>154795353.84</v>
      </c>
      <c r="C44" s="559">
        <f t="shared" si="9"/>
        <v>144472247.66218883</v>
      </c>
      <c r="D44" s="560">
        <f t="shared" si="10"/>
        <v>10323106.177811176</v>
      </c>
      <c r="E44" s="560">
        <f t="shared" si="11"/>
        <v>10323106.177811176</v>
      </c>
      <c r="F44" s="560">
        <f t="shared" si="12"/>
        <v>106566521158363.27</v>
      </c>
      <c r="G44" s="561">
        <f t="shared" si="13"/>
        <v>6.6688734007361569E-2</v>
      </c>
    </row>
    <row r="45" spans="1:7" x14ac:dyDescent="0.2">
      <c r="A45" s="556">
        <v>7</v>
      </c>
      <c r="B45" s="558">
        <f t="shared" si="8"/>
        <v>148717979.18000001</v>
      </c>
      <c r="C45" s="559">
        <f t="shared" si="9"/>
        <v>144603820.11636949</v>
      </c>
      <c r="D45" s="560">
        <f t="shared" si="10"/>
        <v>4114159.0636305213</v>
      </c>
      <c r="E45" s="560">
        <f t="shared" si="11"/>
        <v>4114159.0636305213</v>
      </c>
      <c r="F45" s="560">
        <f t="shared" si="12"/>
        <v>16926304800853.168</v>
      </c>
      <c r="G45" s="561">
        <f t="shared" si="13"/>
        <v>2.7664167347587282E-2</v>
      </c>
    </row>
    <row r="46" spans="1:7" x14ac:dyDescent="0.2">
      <c r="A46" s="556">
        <v>8</v>
      </c>
      <c r="B46" s="558">
        <f t="shared" si="8"/>
        <v>144221924.34</v>
      </c>
      <c r="C46" s="559">
        <f t="shared" si="9"/>
        <v>144146024.823457</v>
      </c>
      <c r="D46" s="560">
        <f t="shared" si="10"/>
        <v>75899.516543000937</v>
      </c>
      <c r="E46" s="560">
        <f t="shared" si="11"/>
        <v>75899.516543000937</v>
      </c>
      <c r="F46" s="560">
        <f t="shared" si="12"/>
        <v>5760736611.4612732</v>
      </c>
      <c r="G46" s="561">
        <f t="shared" si="13"/>
        <v>5.2626892124993082E-4</v>
      </c>
    </row>
    <row r="47" spans="1:7" x14ac:dyDescent="0.2">
      <c r="A47" s="556">
        <v>9</v>
      </c>
      <c r="B47" s="558">
        <f t="shared" si="8"/>
        <v>145136098.44</v>
      </c>
      <c r="C47" s="559">
        <f t="shared" si="9"/>
        <v>144563750.38198498</v>
      </c>
      <c r="D47" s="560">
        <f t="shared" si="10"/>
        <v>572348.0580150187</v>
      </c>
      <c r="E47" s="560">
        <f t="shared" si="11"/>
        <v>572348.0580150187</v>
      </c>
      <c r="F47" s="560">
        <f t="shared" si="12"/>
        <v>327582299513.56323</v>
      </c>
      <c r="G47" s="561">
        <f t="shared" si="13"/>
        <v>3.9435265531244127E-3</v>
      </c>
    </row>
    <row r="48" spans="1:7" x14ac:dyDescent="0.2">
      <c r="A48" s="556"/>
      <c r="B48" s="558"/>
      <c r="C48" s="559"/>
      <c r="D48" s="560"/>
      <c r="E48" s="560"/>
      <c r="F48" s="560"/>
      <c r="G48" s="561"/>
    </row>
    <row r="49" spans="1:7" x14ac:dyDescent="0.2">
      <c r="A49" s="556"/>
      <c r="B49" s="562" t="s">
        <v>236</v>
      </c>
      <c r="C49" s="563"/>
      <c r="D49" s="564">
        <f>SUM(D39:D48)</f>
        <v>83705726.249770641</v>
      </c>
      <c r="E49" s="564">
        <f>SUM(E39:E48)</f>
        <v>83705726.249770641</v>
      </c>
      <c r="F49" s="564">
        <f>SUM(F39:F48)</f>
        <v>1106560352046576.5</v>
      </c>
      <c r="G49" s="564">
        <f>SUM(G39:G48)</f>
        <v>0.53588785822935403</v>
      </c>
    </row>
  </sheetData>
  <sheetProtection selectLockedCells="1" selectUnlockedCells="1"/>
  <mergeCells count="2">
    <mergeCell ref="A18:G18"/>
    <mergeCell ref="A3:G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B2:T136"/>
  <sheetViews>
    <sheetView showGridLines="0" topLeftCell="A107" zoomScale="90" zoomScaleNormal="90" workbookViewId="0">
      <selection activeCell="J115" sqref="J115"/>
    </sheetView>
  </sheetViews>
  <sheetFormatPr defaultColWidth="10.5" defaultRowHeight="12.75" x14ac:dyDescent="0.2"/>
  <cols>
    <col min="1" max="1" width="15.33203125" style="144" customWidth="1"/>
    <col min="2" max="12" width="13.1640625" style="144" customWidth="1"/>
    <col min="13" max="13" width="13.5" style="144" customWidth="1"/>
    <col min="14" max="14" width="11.83203125" style="144" customWidth="1"/>
    <col min="15" max="16" width="11.33203125" style="144" bestFit="1" customWidth="1"/>
    <col min="17" max="18" width="10.5" style="144"/>
    <col min="19" max="20" width="1.83203125" style="144" bestFit="1" customWidth="1"/>
    <col min="21" max="16384" width="10.5" style="144"/>
  </cols>
  <sheetData>
    <row r="2" spans="2:7" ht="23.25" x14ac:dyDescent="0.2">
      <c r="B2" s="157" t="s">
        <v>113</v>
      </c>
    </row>
    <row r="3" spans="2:7" ht="20.25" x14ac:dyDescent="0.2">
      <c r="B3" s="856" t="s">
        <v>175</v>
      </c>
      <c r="C3" s="856"/>
      <c r="D3" s="856"/>
      <c r="E3" s="856"/>
      <c r="F3" s="856"/>
      <c r="G3" s="856"/>
    </row>
    <row r="4" spans="2:7" ht="13.5" thickBot="1" x14ac:dyDescent="0.25">
      <c r="B4" s="169"/>
      <c r="C4" s="174" t="s">
        <v>59</v>
      </c>
      <c r="D4" s="174"/>
      <c r="E4" s="174"/>
      <c r="F4" s="174"/>
    </row>
    <row r="5" spans="2:7" ht="15.75" customHeight="1" x14ac:dyDescent="0.2">
      <c r="B5" s="857" t="s">
        <v>64</v>
      </c>
      <c r="C5" s="858"/>
      <c r="D5" s="858"/>
      <c r="E5" s="858"/>
      <c r="F5" s="859"/>
    </row>
    <row r="6" spans="2:7" ht="13.5" thickBot="1" x14ac:dyDescent="0.25">
      <c r="B6" s="397" t="s">
        <v>80</v>
      </c>
      <c r="C6" s="400" t="s">
        <v>129</v>
      </c>
      <c r="D6" s="400" t="s">
        <v>128</v>
      </c>
      <c r="E6" s="400" t="s">
        <v>81</v>
      </c>
      <c r="F6" s="401" t="s">
        <v>128</v>
      </c>
    </row>
    <row r="7" spans="2:7" x14ac:dyDescent="0.2">
      <c r="B7" s="363">
        <f>'Bridge&amp;Test Year Class Forecast'!A5</f>
        <v>2008</v>
      </c>
      <c r="C7" s="218">
        <f>'Input - Customer Data'!F6</f>
        <v>5537</v>
      </c>
      <c r="D7" s="507"/>
      <c r="E7" s="219">
        <f>'Bridge&amp;Test Year Class Forecast'!B5</f>
        <v>44267125.530000001</v>
      </c>
      <c r="F7" s="510"/>
    </row>
    <row r="8" spans="2:7" x14ac:dyDescent="0.2">
      <c r="B8" s="364">
        <f>'Bridge&amp;Test Year Class Forecast'!A6</f>
        <v>2009</v>
      </c>
      <c r="C8" s="217">
        <f>'Input - Customer Data'!F7</f>
        <v>5584</v>
      </c>
      <c r="D8" s="508">
        <f t="shared" ref="D8:D18" si="0">(C8-C7)/C7</f>
        <v>8.4883510926494488E-3</v>
      </c>
      <c r="E8" s="215">
        <f>'Bridge&amp;Test Year Class Forecast'!B6</f>
        <v>43775753.410000004</v>
      </c>
      <c r="F8" s="511">
        <f t="shared" ref="F8:F18" si="1">(E8-E7)/E7</f>
        <v>-1.1100158732172309E-2</v>
      </c>
    </row>
    <row r="9" spans="2:7" x14ac:dyDescent="0.2">
      <c r="B9" s="364">
        <f>'Bridge&amp;Test Year Class Forecast'!A7</f>
        <v>2010</v>
      </c>
      <c r="C9" s="217">
        <f>'Input - Customer Data'!F8</f>
        <v>5647</v>
      </c>
      <c r="D9" s="508">
        <f t="shared" si="0"/>
        <v>1.1282234957020057E-2</v>
      </c>
      <c r="E9" s="215">
        <f>'Bridge&amp;Test Year Class Forecast'!B7</f>
        <v>45093297.219999999</v>
      </c>
      <c r="F9" s="511">
        <f t="shared" si="1"/>
        <v>3.0097570169952098E-2</v>
      </c>
    </row>
    <row r="10" spans="2:7" x14ac:dyDescent="0.2">
      <c r="B10" s="364">
        <f>'Bridge&amp;Test Year Class Forecast'!A8</f>
        <v>2011</v>
      </c>
      <c r="C10" s="217">
        <f>'Input - Customer Data'!F9</f>
        <v>5709</v>
      </c>
      <c r="D10" s="508">
        <f t="shared" si="0"/>
        <v>1.0979281034177439E-2</v>
      </c>
      <c r="E10" s="215">
        <f>'Bridge&amp;Test Year Class Forecast'!B8</f>
        <v>44251862.370000005</v>
      </c>
      <c r="F10" s="511">
        <f t="shared" si="1"/>
        <v>-1.8659865254359725E-2</v>
      </c>
    </row>
    <row r="11" spans="2:7" x14ac:dyDescent="0.2">
      <c r="B11" s="364">
        <f>'Bridge&amp;Test Year Class Forecast'!A9</f>
        <v>2012</v>
      </c>
      <c r="C11" s="217">
        <f>'Input - Customer Data'!F10</f>
        <v>5805</v>
      </c>
      <c r="D11" s="508">
        <f t="shared" si="0"/>
        <v>1.6815554387808723E-2</v>
      </c>
      <c r="E11" s="215">
        <f>'Bridge&amp;Test Year Class Forecast'!B9</f>
        <v>45223786</v>
      </c>
      <c r="F11" s="511">
        <f t="shared" si="1"/>
        <v>2.1963451433377381E-2</v>
      </c>
    </row>
    <row r="12" spans="2:7" x14ac:dyDescent="0.2">
      <c r="B12" s="364">
        <f>'Bridge&amp;Test Year Class Forecast'!A10</f>
        <v>2013</v>
      </c>
      <c r="C12" s="217">
        <f>'Input - Customer Data'!F11</f>
        <v>5911.5</v>
      </c>
      <c r="D12" s="508">
        <f t="shared" si="0"/>
        <v>1.8346253229974161E-2</v>
      </c>
      <c r="E12" s="215">
        <f>'Bridge&amp;Test Year Class Forecast'!B10</f>
        <v>46477809</v>
      </c>
      <c r="F12" s="511">
        <f t="shared" si="1"/>
        <v>2.7729279454842635E-2</v>
      </c>
    </row>
    <row r="13" spans="2:7" x14ac:dyDescent="0.2">
      <c r="B13" s="364">
        <f>'Bridge&amp;Test Year Class Forecast'!A11</f>
        <v>2014</v>
      </c>
      <c r="C13" s="217">
        <f>'Input - Customer Data'!F12</f>
        <v>5946.5</v>
      </c>
      <c r="D13" s="508">
        <f t="shared" si="0"/>
        <v>5.920663114268798E-3</v>
      </c>
      <c r="E13" s="215">
        <f>'Bridge&amp;Test Year Class Forecast'!B11</f>
        <v>46177614</v>
      </c>
      <c r="F13" s="511">
        <f t="shared" si="1"/>
        <v>-6.4588888000292784E-3</v>
      </c>
    </row>
    <row r="14" spans="2:7" x14ac:dyDescent="0.2">
      <c r="B14" s="364">
        <f>'Bridge&amp;Test Year Class Forecast'!A12</f>
        <v>2015</v>
      </c>
      <c r="C14" s="217">
        <f>'Input - Customer Data'!F13</f>
        <v>5961</v>
      </c>
      <c r="D14" s="508">
        <f t="shared" si="0"/>
        <v>2.4384091482384596E-3</v>
      </c>
      <c r="E14" s="215">
        <f>'Bridge&amp;Test Year Class Forecast'!B12</f>
        <v>45098159</v>
      </c>
      <c r="F14" s="511">
        <f t="shared" si="1"/>
        <v>-2.3376153648822132E-2</v>
      </c>
    </row>
    <row r="15" spans="2:7" x14ac:dyDescent="0.2">
      <c r="B15" s="364">
        <f>'Bridge&amp;Test Year Class Forecast'!A13</f>
        <v>2016</v>
      </c>
      <c r="C15" s="217">
        <f>'Input - Customer Data'!F14</f>
        <v>5988.5</v>
      </c>
      <c r="D15" s="508">
        <f t="shared" si="0"/>
        <v>4.6133199127663142E-3</v>
      </c>
      <c r="E15" s="215">
        <f>'Bridge&amp;Test Year Class Forecast'!B13</f>
        <v>44914361</v>
      </c>
      <c r="F15" s="511">
        <f t="shared" si="1"/>
        <v>-4.0755100446561469E-3</v>
      </c>
    </row>
    <row r="16" spans="2:7" x14ac:dyDescent="0.2">
      <c r="B16" s="364">
        <f>'Bridge&amp;Test Year Class Forecast'!A14</f>
        <v>2017</v>
      </c>
      <c r="C16" s="217">
        <f>'Final LF '!H5</f>
        <v>6047.4668331756211</v>
      </c>
      <c r="D16" s="508">
        <f t="shared" si="0"/>
        <v>9.8466783294015366E-3</v>
      </c>
      <c r="E16" s="215">
        <f>'Bridge&amp;Test Year Class Forecast'!F14</f>
        <v>45507125.129285187</v>
      </c>
      <c r="F16" s="511">
        <f t="shared" si="1"/>
        <v>1.319765251219285E-2</v>
      </c>
    </row>
    <row r="17" spans="2:20" x14ac:dyDescent="0.2">
      <c r="B17" s="365">
        <f>'Bridge&amp;Test Year Class Forecast'!A15</f>
        <v>2018</v>
      </c>
      <c r="C17" s="216">
        <f>'Final LF '!I5</f>
        <v>6107.0142937896262</v>
      </c>
      <c r="D17" s="509">
        <f t="shared" si="0"/>
        <v>9.8466783294015661E-3</v>
      </c>
      <c r="E17" s="215">
        <f>'Bridge&amp;Test Year Class Forecast'!F15</f>
        <v>45602321.008068956</v>
      </c>
      <c r="F17" s="512">
        <f t="shared" si="1"/>
        <v>2.0918895340744899E-3</v>
      </c>
      <c r="S17" s="144" t="s">
        <v>59</v>
      </c>
      <c r="T17" s="144" t="s">
        <v>59</v>
      </c>
    </row>
    <row r="18" spans="2:20" ht="13.5" thickBot="1" x14ac:dyDescent="0.25">
      <c r="B18" s="392">
        <f>'Bridge&amp;Test Year Class Forecast'!A16</f>
        <v>2018</v>
      </c>
      <c r="C18" s="393">
        <f>'Input - Customer Data'!F25</f>
        <v>6107.0142937896262</v>
      </c>
      <c r="D18" s="394">
        <f t="shared" si="0"/>
        <v>0</v>
      </c>
      <c r="E18" s="387">
        <f>'Bridge&amp;Test Year Class Forecast'!G26</f>
        <v>0</v>
      </c>
      <c r="F18" s="395">
        <f t="shared" si="1"/>
        <v>-1</v>
      </c>
    </row>
    <row r="20" spans="2:20" ht="13.5" thickBot="1" x14ac:dyDescent="0.25">
      <c r="C20" s="174"/>
      <c r="D20" s="174"/>
      <c r="E20" s="174"/>
      <c r="F20" s="174"/>
    </row>
    <row r="21" spans="2:20" ht="15.75" x14ac:dyDescent="0.2">
      <c r="B21" s="857" t="s">
        <v>102</v>
      </c>
      <c r="C21" s="858"/>
      <c r="D21" s="858"/>
      <c r="E21" s="858"/>
      <c r="F21" s="859"/>
    </row>
    <row r="22" spans="2:20" ht="13.5" thickBot="1" x14ac:dyDescent="0.25">
      <c r="B22" s="397" t="s">
        <v>80</v>
      </c>
      <c r="C22" s="400" t="s">
        <v>129</v>
      </c>
      <c r="D22" s="400" t="s">
        <v>128</v>
      </c>
      <c r="E22" s="400" t="s">
        <v>81</v>
      </c>
      <c r="F22" s="401" t="s">
        <v>128</v>
      </c>
    </row>
    <row r="23" spans="2:20" x14ac:dyDescent="0.2">
      <c r="B23" s="363">
        <f>B7</f>
        <v>2008</v>
      </c>
      <c r="C23" s="218">
        <f>'Input - Customer Data'!H6</f>
        <v>678.5</v>
      </c>
      <c r="D23" s="507"/>
      <c r="E23" s="219">
        <f>'Bridge&amp;Test Year Class Forecast'!B32</f>
        <v>19599082.039999999</v>
      </c>
      <c r="F23" s="510"/>
    </row>
    <row r="24" spans="2:20" x14ac:dyDescent="0.2">
      <c r="B24" s="364">
        <f t="shared" ref="B24:B34" si="2">B8</f>
        <v>2009</v>
      </c>
      <c r="C24" s="217">
        <f>'Input - Customer Data'!H7</f>
        <v>693.5</v>
      </c>
      <c r="D24" s="508">
        <f t="shared" ref="D24:D34" si="3">(C24-C23)/C23</f>
        <v>2.210759027266028E-2</v>
      </c>
      <c r="E24" s="215">
        <f>'Bridge&amp;Test Year Class Forecast'!B33</f>
        <v>20149611.829999998</v>
      </c>
      <c r="F24" s="511">
        <f t="shared" ref="F24:F34" si="4">(E24-E23)/E23</f>
        <v>2.8089570158256204E-2</v>
      </c>
    </row>
    <row r="25" spans="2:20" x14ac:dyDescent="0.2">
      <c r="B25" s="364">
        <f t="shared" si="2"/>
        <v>2010</v>
      </c>
      <c r="C25" s="217">
        <f>'Input - Customer Data'!H8</f>
        <v>703.5</v>
      </c>
      <c r="D25" s="508">
        <f t="shared" si="3"/>
        <v>1.4419610670511895E-2</v>
      </c>
      <c r="E25" s="215">
        <f>'Bridge&amp;Test Year Class Forecast'!B34</f>
        <v>20409368.479999997</v>
      </c>
      <c r="F25" s="511">
        <f t="shared" si="4"/>
        <v>1.2891397223506639E-2</v>
      </c>
    </row>
    <row r="26" spans="2:20" x14ac:dyDescent="0.2">
      <c r="B26" s="364">
        <f t="shared" si="2"/>
        <v>2011</v>
      </c>
      <c r="C26" s="217">
        <f>'Input - Customer Data'!H9</f>
        <v>708.5</v>
      </c>
      <c r="D26" s="508">
        <f t="shared" si="3"/>
        <v>7.1073205401563609E-3</v>
      </c>
      <c r="E26" s="215">
        <f>'Bridge&amp;Test Year Class Forecast'!B35</f>
        <v>20583076.520000003</v>
      </c>
      <c r="F26" s="511">
        <f t="shared" si="4"/>
        <v>8.5111913271706773E-3</v>
      </c>
    </row>
    <row r="27" spans="2:20" x14ac:dyDescent="0.2">
      <c r="B27" s="364">
        <f t="shared" si="2"/>
        <v>2012</v>
      </c>
      <c r="C27" s="217">
        <f>'Input - Customer Data'!H10</f>
        <v>707.5</v>
      </c>
      <c r="D27" s="508">
        <f t="shared" si="3"/>
        <v>-1.4114326040931546E-3</v>
      </c>
      <c r="E27" s="215">
        <f>'Bridge&amp;Test Year Class Forecast'!B36</f>
        <v>20304130</v>
      </c>
      <c r="F27" s="511">
        <f t="shared" si="4"/>
        <v>-1.355222673971788E-2</v>
      </c>
    </row>
    <row r="28" spans="2:20" x14ac:dyDescent="0.2">
      <c r="B28" s="364">
        <f t="shared" si="2"/>
        <v>2013</v>
      </c>
      <c r="C28" s="217">
        <f>'Input - Customer Data'!H11</f>
        <v>711</v>
      </c>
      <c r="D28" s="508">
        <f t="shared" si="3"/>
        <v>4.9469964664310955E-3</v>
      </c>
      <c r="E28" s="215">
        <f>'Bridge&amp;Test Year Class Forecast'!B37</f>
        <v>20342402</v>
      </c>
      <c r="F28" s="511">
        <f t="shared" si="4"/>
        <v>1.8849367099205926E-3</v>
      </c>
    </row>
    <row r="29" spans="2:20" x14ac:dyDescent="0.2">
      <c r="B29" s="364">
        <f t="shared" si="2"/>
        <v>2014</v>
      </c>
      <c r="C29" s="217">
        <f>'Input - Customer Data'!H12</f>
        <v>715</v>
      </c>
      <c r="D29" s="508">
        <f t="shared" si="3"/>
        <v>5.6258790436005627E-3</v>
      </c>
      <c r="E29" s="215">
        <f>'Bridge&amp;Test Year Class Forecast'!B38</f>
        <v>20579869</v>
      </c>
      <c r="F29" s="511">
        <f t="shared" si="4"/>
        <v>1.1673498537684979E-2</v>
      </c>
    </row>
    <row r="30" spans="2:20" x14ac:dyDescent="0.2">
      <c r="B30" s="364">
        <f t="shared" si="2"/>
        <v>2015</v>
      </c>
      <c r="C30" s="217">
        <f>'Input - Customer Data'!H13</f>
        <v>730</v>
      </c>
      <c r="D30" s="508">
        <f t="shared" si="3"/>
        <v>2.097902097902098E-2</v>
      </c>
      <c r="E30" s="215">
        <f>'Bridge&amp;Test Year Class Forecast'!B39</f>
        <v>21387560</v>
      </c>
      <c r="F30" s="511">
        <f t="shared" si="4"/>
        <v>3.9246654096777779E-2</v>
      </c>
    </row>
    <row r="31" spans="2:20" x14ac:dyDescent="0.2">
      <c r="B31" s="364">
        <f t="shared" si="2"/>
        <v>2016</v>
      </c>
      <c r="C31" s="217">
        <f>'Input - Customer Data'!H14</f>
        <v>741.5</v>
      </c>
      <c r="D31" s="508">
        <f t="shared" si="3"/>
        <v>1.5753424657534248E-2</v>
      </c>
      <c r="E31" s="215">
        <f>'Bridge&amp;Test Year Class Forecast'!B40</f>
        <v>23270825</v>
      </c>
      <c r="F31" s="511">
        <f t="shared" si="4"/>
        <v>8.8054224044257501E-2</v>
      </c>
    </row>
    <row r="32" spans="2:20" x14ac:dyDescent="0.2">
      <c r="B32" s="364">
        <f t="shared" si="2"/>
        <v>2017</v>
      </c>
      <c r="C32" s="217">
        <f>'Final LF '!H9</f>
        <v>749.77562632069578</v>
      </c>
      <c r="D32" s="508">
        <f t="shared" si="3"/>
        <v>1.1160655860682102E-2</v>
      </c>
      <c r="E32" s="215">
        <f>'Bridge&amp;Test Year Class Forecast'!F41</f>
        <v>20960878.592927814</v>
      </c>
      <c r="F32" s="511">
        <f t="shared" si="4"/>
        <v>-9.9263623316843574E-2</v>
      </c>
    </row>
    <row r="33" spans="2:9" x14ac:dyDescent="0.2">
      <c r="B33" s="365">
        <f t="shared" si="2"/>
        <v>2018</v>
      </c>
      <c r="C33" s="216">
        <f>'Final LF '!I9</f>
        <v>758.14361405878844</v>
      </c>
      <c r="D33" s="509">
        <f t="shared" si="3"/>
        <v>1.11606558606821E-2</v>
      </c>
      <c r="E33" s="215">
        <f>'Bridge&amp;Test Year Class Forecast'!F42</f>
        <v>21004726.435481369</v>
      </c>
      <c r="F33" s="512">
        <f t="shared" si="4"/>
        <v>2.0918895340746929E-3</v>
      </c>
    </row>
    <row r="34" spans="2:9" ht="13.5" thickBot="1" x14ac:dyDescent="0.25">
      <c r="B34" s="392">
        <f t="shared" si="2"/>
        <v>2018</v>
      </c>
      <c r="C34" s="393">
        <f>'Input - Customer Data'!H25</f>
        <v>758.14361405878844</v>
      </c>
      <c r="D34" s="394">
        <f t="shared" si="3"/>
        <v>0</v>
      </c>
      <c r="E34" s="387">
        <f>'Bridge&amp;Test Year Class Forecast'!G53</f>
        <v>0</v>
      </c>
      <c r="F34" s="513">
        <f t="shared" si="4"/>
        <v>-1</v>
      </c>
    </row>
    <row r="36" spans="2:9" ht="13.5" thickBot="1" x14ac:dyDescent="0.25">
      <c r="C36" s="174"/>
      <c r="D36" s="174"/>
      <c r="E36" s="174"/>
      <c r="F36" s="174"/>
      <c r="G36" s="174"/>
      <c r="H36" s="174"/>
      <c r="I36" s="169"/>
    </row>
    <row r="37" spans="2:9" ht="15.75" x14ac:dyDescent="0.2">
      <c r="B37" s="796" t="s">
        <v>126</v>
      </c>
      <c r="C37" s="797"/>
      <c r="D37" s="797"/>
      <c r="E37" s="797"/>
      <c r="F37" s="797"/>
      <c r="G37" s="797"/>
      <c r="H37" s="798"/>
    </row>
    <row r="38" spans="2:9" ht="13.5" thickBot="1" x14ac:dyDescent="0.25">
      <c r="B38" s="397" t="s">
        <v>80</v>
      </c>
      <c r="C38" s="400" t="s">
        <v>129</v>
      </c>
      <c r="D38" s="400" t="s">
        <v>128</v>
      </c>
      <c r="E38" s="400" t="s">
        <v>81</v>
      </c>
      <c r="F38" s="400" t="s">
        <v>128</v>
      </c>
      <c r="G38" s="400" t="s">
        <v>82</v>
      </c>
      <c r="H38" s="401" t="s">
        <v>128</v>
      </c>
    </row>
    <row r="39" spans="2:9" x14ac:dyDescent="0.2">
      <c r="B39" s="363">
        <f>B23</f>
        <v>2008</v>
      </c>
      <c r="C39" s="218">
        <f>'Input - Customer Data'!J6</f>
        <v>57</v>
      </c>
      <c r="D39" s="507"/>
      <c r="E39" s="219">
        <f>'Bridge&amp;Test Year Class Forecast'!B59</f>
        <v>66898820.390000001</v>
      </c>
      <c r="F39" s="507"/>
      <c r="G39" s="219">
        <f>'Bridge&amp;Test Year Class Forecast'!M5</f>
        <v>169386.36000000002</v>
      </c>
      <c r="H39" s="510"/>
    </row>
    <row r="40" spans="2:9" x14ac:dyDescent="0.2">
      <c r="B40" s="364">
        <f t="shared" ref="B40:B50" si="5">B24</f>
        <v>2009</v>
      </c>
      <c r="C40" s="217">
        <f>'Input - Customer Data'!J7</f>
        <v>60.5</v>
      </c>
      <c r="D40" s="508">
        <f t="shared" ref="D40:D50" si="6">(C40-C39)/C39</f>
        <v>6.1403508771929821E-2</v>
      </c>
      <c r="E40" s="215">
        <f>'Bridge&amp;Test Year Class Forecast'!B60</f>
        <v>62407115.030000001</v>
      </c>
      <c r="F40" s="508">
        <f t="shared" ref="F40:F50" si="7">(E40-E39)/E39</f>
        <v>-6.7141772213840364E-2</v>
      </c>
      <c r="G40" s="215">
        <f>'Bridge&amp;Test Year Class Forecast'!M6</f>
        <v>169024.12999999998</v>
      </c>
      <c r="H40" s="511">
        <f t="shared" ref="H40:H50" si="8">(G40-G39)/G39</f>
        <v>-2.1384838779228716E-3</v>
      </c>
    </row>
    <row r="41" spans="2:9" x14ac:dyDescent="0.2">
      <c r="B41" s="364">
        <f t="shared" si="5"/>
        <v>2010</v>
      </c>
      <c r="C41" s="217">
        <f>'Input - Customer Data'!J8</f>
        <v>62</v>
      </c>
      <c r="D41" s="508">
        <f t="shared" si="6"/>
        <v>2.4793388429752067E-2</v>
      </c>
      <c r="E41" s="215">
        <f>'Bridge&amp;Test Year Class Forecast'!B61</f>
        <v>64376683.749999993</v>
      </c>
      <c r="F41" s="508">
        <f t="shared" si="7"/>
        <v>3.1560002718491173E-2</v>
      </c>
      <c r="G41" s="215">
        <f>'Bridge&amp;Test Year Class Forecast'!M7</f>
        <v>170203.1</v>
      </c>
      <c r="H41" s="511">
        <f t="shared" si="8"/>
        <v>6.9751579256762362E-3</v>
      </c>
    </row>
    <row r="42" spans="2:9" x14ac:dyDescent="0.2">
      <c r="B42" s="364">
        <f t="shared" si="5"/>
        <v>2011</v>
      </c>
      <c r="C42" s="217">
        <f>'Input - Customer Data'!J9</f>
        <v>60.5</v>
      </c>
      <c r="D42" s="508">
        <f t="shared" si="6"/>
        <v>-2.4193548387096774E-2</v>
      </c>
      <c r="E42" s="215">
        <f>'Bridge&amp;Test Year Class Forecast'!B62</f>
        <v>61442756.449999988</v>
      </c>
      <c r="F42" s="508">
        <f t="shared" si="7"/>
        <v>-4.5574377695402873E-2</v>
      </c>
      <c r="G42" s="215">
        <f>'Bridge&amp;Test Year Class Forecast'!M8</f>
        <v>160989.06</v>
      </c>
      <c r="H42" s="511">
        <f t="shared" si="8"/>
        <v>-5.4135559223069424E-2</v>
      </c>
    </row>
    <row r="43" spans="2:9" x14ac:dyDescent="0.2">
      <c r="B43" s="364">
        <f t="shared" si="5"/>
        <v>2012</v>
      </c>
      <c r="C43" s="217">
        <f>'Input - Customer Data'!J10</f>
        <v>59.5</v>
      </c>
      <c r="D43" s="508">
        <f t="shared" si="6"/>
        <v>-1.6528925619834711E-2</v>
      </c>
      <c r="E43" s="215">
        <f>'Bridge&amp;Test Year Class Forecast'!B63</f>
        <v>63286610</v>
      </c>
      <c r="F43" s="508">
        <f t="shared" si="7"/>
        <v>3.000929086735353E-2</v>
      </c>
      <c r="G43" s="215">
        <f>'Bridge&amp;Test Year Class Forecast'!M9</f>
        <v>164083.79999999999</v>
      </c>
      <c r="H43" s="511">
        <f t="shared" si="8"/>
        <v>1.9223293806423809E-2</v>
      </c>
    </row>
    <row r="44" spans="2:9" x14ac:dyDescent="0.2">
      <c r="B44" s="364">
        <f t="shared" si="5"/>
        <v>2013</v>
      </c>
      <c r="C44" s="217">
        <f>'Input - Customer Data'!J11</f>
        <v>57</v>
      </c>
      <c r="D44" s="508">
        <f t="shared" si="6"/>
        <v>-4.2016806722689079E-2</v>
      </c>
      <c r="E44" s="215">
        <f>'Bridge&amp;Test Year Class Forecast'!B64</f>
        <v>60663507</v>
      </c>
      <c r="F44" s="508">
        <f t="shared" si="7"/>
        <v>-4.144799350131094E-2</v>
      </c>
      <c r="G44" s="215">
        <f>'Bridge&amp;Test Year Class Forecast'!M10</f>
        <v>165373.30000000002</v>
      </c>
      <c r="H44" s="511">
        <f t="shared" si="8"/>
        <v>7.8587892284310169E-3</v>
      </c>
    </row>
    <row r="45" spans="2:9" x14ac:dyDescent="0.2">
      <c r="B45" s="364">
        <f t="shared" si="5"/>
        <v>2014</v>
      </c>
      <c r="C45" s="217">
        <f>'Input - Customer Data'!J12</f>
        <v>56.5</v>
      </c>
      <c r="D45" s="508">
        <f t="shared" si="6"/>
        <v>-8.771929824561403E-3</v>
      </c>
      <c r="E45" s="215">
        <f>'Bridge&amp;Test Year Class Forecast'!B65</f>
        <v>55013692</v>
      </c>
      <c r="F45" s="508">
        <f t="shared" si="7"/>
        <v>-9.3133669307974565E-2</v>
      </c>
      <c r="G45" s="215">
        <f>'Bridge&amp;Test Year Class Forecast'!M11</f>
        <v>154259.70000000001</v>
      </c>
      <c r="H45" s="511">
        <f t="shared" si="8"/>
        <v>-6.7203109570892067E-2</v>
      </c>
    </row>
    <row r="46" spans="2:9" x14ac:dyDescent="0.2">
      <c r="B46" s="364">
        <f t="shared" si="5"/>
        <v>2015</v>
      </c>
      <c r="C46" s="217">
        <f>'Input - Customer Data'!J13</f>
        <v>52</v>
      </c>
      <c r="D46" s="508">
        <f t="shared" si="6"/>
        <v>-7.9646017699115043E-2</v>
      </c>
      <c r="E46" s="215">
        <f>'Bridge&amp;Test Year Class Forecast'!B66</f>
        <v>52447595</v>
      </c>
      <c r="F46" s="508">
        <f t="shared" si="7"/>
        <v>-4.6644697105586004E-2</v>
      </c>
      <c r="G46" s="215">
        <f>'Bridge&amp;Test Year Class Forecast'!M12</f>
        <v>148977.29999999999</v>
      </c>
      <c r="H46" s="511">
        <f t="shared" si="8"/>
        <v>-3.4243551621065148E-2</v>
      </c>
    </row>
    <row r="47" spans="2:9" x14ac:dyDescent="0.2">
      <c r="B47" s="364">
        <f t="shared" si="5"/>
        <v>2016</v>
      </c>
      <c r="C47" s="217">
        <f>'Input - Customer Data'!J14</f>
        <v>47.5</v>
      </c>
      <c r="D47" s="508">
        <f t="shared" si="6"/>
        <v>-8.6538461538461536E-2</v>
      </c>
      <c r="E47" s="215">
        <f>'Bridge&amp;Test Year Class Forecast'!B67</f>
        <v>50553990</v>
      </c>
      <c r="F47" s="508">
        <f t="shared" si="7"/>
        <v>-3.610470604038183E-2</v>
      </c>
      <c r="G47" s="215">
        <f>'Bridge&amp;Test Year Class Forecast'!M13</f>
        <v>145124.19999999998</v>
      </c>
      <c r="H47" s="511">
        <f t="shared" si="8"/>
        <v>-2.586367184799299E-2</v>
      </c>
    </row>
    <row r="48" spans="2:9" x14ac:dyDescent="0.2">
      <c r="B48" s="364">
        <f t="shared" si="5"/>
        <v>2017</v>
      </c>
      <c r="C48" s="217">
        <f>'Final LF '!H13</f>
        <v>46.429708160951243</v>
      </c>
      <c r="D48" s="508">
        <f t="shared" si="6"/>
        <v>-2.253245976944751E-2</v>
      </c>
      <c r="E48" s="215">
        <f>'Bridge&amp;Test Year Class Forecast'!F68</f>
        <v>60321817.186956406</v>
      </c>
      <c r="F48" s="508">
        <f t="shared" si="7"/>
        <v>0.19321575185176096</v>
      </c>
      <c r="G48" s="215">
        <f>'Bridge&amp;Test Year Class Forecast'!M14</f>
        <v>163126.16966948824</v>
      </c>
      <c r="H48" s="511">
        <f t="shared" si="8"/>
        <v>0.12404526377742831</v>
      </c>
    </row>
    <row r="49" spans="2:8" x14ac:dyDescent="0.2">
      <c r="B49" s="365">
        <f t="shared" si="5"/>
        <v>2018</v>
      </c>
      <c r="C49" s="216">
        <f>'Final LF '!I13</f>
        <v>45.383532629707418</v>
      </c>
      <c r="D49" s="509">
        <f t="shared" si="6"/>
        <v>-2.2532459769447576E-2</v>
      </c>
      <c r="E49" s="221">
        <f>'Bridge&amp;Test Year Class Forecast'!F69</f>
        <v>60448003.765006162</v>
      </c>
      <c r="F49" s="509">
        <f t="shared" si="7"/>
        <v>2.0918895340746192E-3</v>
      </c>
      <c r="G49" s="221">
        <f>'Bridge&amp;Test Year Class Forecast'!M15</f>
        <v>163467.41159655352</v>
      </c>
      <c r="H49" s="512">
        <f t="shared" si="8"/>
        <v>2.0918895340745723E-3</v>
      </c>
    </row>
    <row r="50" spans="2:8" ht="13.5" thickBot="1" x14ac:dyDescent="0.25">
      <c r="B50" s="392">
        <f t="shared" si="5"/>
        <v>2018</v>
      </c>
      <c r="C50" s="393">
        <f>'Input - Customer Data'!J25</f>
        <v>45.383532629707418</v>
      </c>
      <c r="D50" s="394">
        <f t="shared" si="6"/>
        <v>0</v>
      </c>
      <c r="E50" s="387">
        <f>'Bridge&amp;Test Year Class Forecast'!F70</f>
        <v>0</v>
      </c>
      <c r="F50" s="394">
        <f t="shared" si="7"/>
        <v>-1</v>
      </c>
      <c r="G50" s="387">
        <f>'Bridge&amp;Test Year Class Forecast'!M16</f>
        <v>0</v>
      </c>
      <c r="H50" s="395">
        <f t="shared" si="8"/>
        <v>-1</v>
      </c>
    </row>
    <row r="52" spans="2:8" ht="13.5" thickBot="1" x14ac:dyDescent="0.25"/>
    <row r="53" spans="2:8" ht="15.75" customHeight="1" x14ac:dyDescent="0.2">
      <c r="B53" s="796" t="s">
        <v>62</v>
      </c>
      <c r="C53" s="797"/>
      <c r="D53" s="797"/>
      <c r="E53" s="797"/>
      <c r="F53" s="797"/>
      <c r="G53" s="797"/>
      <c r="H53" s="798"/>
    </row>
    <row r="54" spans="2:8" ht="13.5" thickBot="1" x14ac:dyDescent="0.25">
      <c r="B54" s="397" t="s">
        <v>80</v>
      </c>
      <c r="C54" s="400" t="s">
        <v>129</v>
      </c>
      <c r="D54" s="400" t="s">
        <v>128</v>
      </c>
      <c r="E54" s="400" t="s">
        <v>81</v>
      </c>
      <c r="F54" s="400" t="s">
        <v>128</v>
      </c>
      <c r="G54" s="400" t="s">
        <v>82</v>
      </c>
      <c r="H54" s="401" t="s">
        <v>128</v>
      </c>
    </row>
    <row r="55" spans="2:8" x14ac:dyDescent="0.2">
      <c r="B55" s="363">
        <f>B39</f>
        <v>2008</v>
      </c>
      <c r="C55" s="218">
        <f>'Input - Customer Data'!L6</f>
        <v>1</v>
      </c>
      <c r="D55" s="553"/>
      <c r="E55" s="554">
        <f>+'Bridge&amp;Test Year Class Forecast'!B87</f>
        <v>21799117.200000003</v>
      </c>
      <c r="F55" s="553"/>
      <c r="G55" s="554">
        <f>'Bridge&amp;Test Year Class Forecast'!M24</f>
        <v>46155.200000000004</v>
      </c>
      <c r="H55" s="220"/>
    </row>
    <row r="56" spans="2:8" x14ac:dyDescent="0.2">
      <c r="B56" s="364">
        <f t="shared" ref="B56:B66" si="9">B40</f>
        <v>2009</v>
      </c>
      <c r="C56" s="217">
        <f>'Input - Customer Data'!L7</f>
        <v>1</v>
      </c>
      <c r="D56" s="508">
        <f t="shared" ref="D56:D66" si="10">(C56-C55)/C55</f>
        <v>0</v>
      </c>
      <c r="E56" s="215">
        <f>+'Bridge&amp;Test Year Class Forecast'!B88</f>
        <v>18664981.199999999</v>
      </c>
      <c r="F56" s="508">
        <f t="shared" ref="F56:F66" si="11">(E56-E55)/E55</f>
        <v>-0.14377352859041481</v>
      </c>
      <c r="G56" s="215">
        <f>'Bridge&amp;Test Year Class Forecast'!M25</f>
        <v>42412.799999999996</v>
      </c>
      <c r="H56" s="511">
        <f t="shared" ref="H56:H65" si="12">(G56-G55)/G55</f>
        <v>-8.1082954899989776E-2</v>
      </c>
    </row>
    <row r="57" spans="2:8" x14ac:dyDescent="0.2">
      <c r="B57" s="364">
        <f t="shared" si="9"/>
        <v>2010</v>
      </c>
      <c r="C57" s="217">
        <f>'Input - Customer Data'!L8</f>
        <v>1</v>
      </c>
      <c r="D57" s="508">
        <f t="shared" si="10"/>
        <v>0</v>
      </c>
      <c r="E57" s="215">
        <f>+'Bridge&amp;Test Year Class Forecast'!B89</f>
        <v>17729306.399999999</v>
      </c>
      <c r="F57" s="508">
        <f t="shared" si="11"/>
        <v>-5.0129962091791484E-2</v>
      </c>
      <c r="G57" s="215">
        <f>'Bridge&amp;Test Year Class Forecast'!M26</f>
        <v>44377.7</v>
      </c>
      <c r="H57" s="511">
        <f t="shared" si="12"/>
        <v>4.6327995322166929E-2</v>
      </c>
    </row>
    <row r="58" spans="2:8" x14ac:dyDescent="0.2">
      <c r="B58" s="364">
        <f t="shared" si="9"/>
        <v>2011</v>
      </c>
      <c r="C58" s="217">
        <f>'Input - Customer Data'!L9</f>
        <v>1</v>
      </c>
      <c r="D58" s="508">
        <f t="shared" si="10"/>
        <v>0</v>
      </c>
      <c r="E58" s="215">
        <f>+'Bridge&amp;Test Year Class Forecast'!B90</f>
        <v>18104643.600000001</v>
      </c>
      <c r="F58" s="508">
        <f t="shared" si="11"/>
        <v>2.117043901954354E-2</v>
      </c>
      <c r="G58" s="215">
        <f>'Bridge&amp;Test Year Class Forecast'!M27</f>
        <v>44396.5</v>
      </c>
      <c r="H58" s="511">
        <f t="shared" si="12"/>
        <v>4.2363619565689327E-4</v>
      </c>
    </row>
    <row r="59" spans="2:8" x14ac:dyDescent="0.2">
      <c r="B59" s="364">
        <f t="shared" si="9"/>
        <v>2012</v>
      </c>
      <c r="C59" s="217">
        <f>'Input - Customer Data'!L10</f>
        <v>1</v>
      </c>
      <c r="D59" s="508">
        <f t="shared" si="10"/>
        <v>0</v>
      </c>
      <c r="E59" s="215">
        <f>+'Bridge&amp;Test Year Class Forecast'!B91</f>
        <v>19950324</v>
      </c>
      <c r="F59" s="508">
        <f t="shared" si="11"/>
        <v>0.10194513853893254</v>
      </c>
      <c r="G59" s="215">
        <f>'Bridge&amp;Test Year Class Forecast'!M28</f>
        <v>45269.7</v>
      </c>
      <c r="H59" s="511">
        <f t="shared" si="12"/>
        <v>1.9668217089184894E-2</v>
      </c>
    </row>
    <row r="60" spans="2:8" x14ac:dyDescent="0.2">
      <c r="B60" s="364">
        <f t="shared" si="9"/>
        <v>2013</v>
      </c>
      <c r="C60" s="217">
        <f>'Input - Customer Data'!L11</f>
        <v>1</v>
      </c>
      <c r="D60" s="508">
        <f t="shared" si="10"/>
        <v>0</v>
      </c>
      <c r="E60" s="215">
        <f>+'Bridge&amp;Test Year Class Forecast'!B92</f>
        <v>18608986</v>
      </c>
      <c r="F60" s="508">
        <f t="shared" si="11"/>
        <v>-6.7233895549766512E-2</v>
      </c>
      <c r="G60" s="215">
        <f>'Bridge&amp;Test Year Class Forecast'!M29</f>
        <v>42815.399999999994</v>
      </c>
      <c r="H60" s="511">
        <f t="shared" si="12"/>
        <v>-5.4215071007760227E-2</v>
      </c>
    </row>
    <row r="61" spans="2:8" x14ac:dyDescent="0.2">
      <c r="B61" s="364">
        <f t="shared" si="9"/>
        <v>2014</v>
      </c>
      <c r="C61" s="217">
        <f>'Input - Customer Data'!L12</f>
        <v>1</v>
      </c>
      <c r="D61" s="508">
        <f t="shared" si="10"/>
        <v>0</v>
      </c>
      <c r="E61" s="215">
        <f>+'Bridge&amp;Test Year Class Forecast'!B93</f>
        <v>18461823</v>
      </c>
      <c r="F61" s="508">
        <f t="shared" si="11"/>
        <v>-7.9081686664711336E-3</v>
      </c>
      <c r="G61" s="215">
        <f>'Bridge&amp;Test Year Class Forecast'!M30</f>
        <v>43263.5</v>
      </c>
      <c r="H61" s="511">
        <f t="shared" si="12"/>
        <v>1.0465860414710731E-2</v>
      </c>
    </row>
    <row r="62" spans="2:8" x14ac:dyDescent="0.2">
      <c r="B62" s="364">
        <f t="shared" si="9"/>
        <v>2015</v>
      </c>
      <c r="C62" s="217">
        <f>'Input - Customer Data'!L13</f>
        <v>1</v>
      </c>
      <c r="D62" s="508">
        <f t="shared" si="10"/>
        <v>0</v>
      </c>
      <c r="E62" s="215">
        <f>+'Bridge&amp;Test Year Class Forecast'!B94</f>
        <v>17295612</v>
      </c>
      <c r="F62" s="508">
        <f t="shared" si="11"/>
        <v>-6.3168788911040913E-2</v>
      </c>
      <c r="G62" s="215">
        <f>'Bridge&amp;Test Year Class Forecast'!M31</f>
        <v>41432.5</v>
      </c>
      <c r="H62" s="511">
        <f t="shared" si="12"/>
        <v>-4.2322049764813297E-2</v>
      </c>
    </row>
    <row r="63" spans="2:8" x14ac:dyDescent="0.2">
      <c r="B63" s="364">
        <f t="shared" si="9"/>
        <v>2016</v>
      </c>
      <c r="C63" s="217">
        <f>'Input - Customer Data'!L14</f>
        <v>1</v>
      </c>
      <c r="D63" s="508">
        <f t="shared" si="10"/>
        <v>0</v>
      </c>
      <c r="E63" s="215">
        <f>+'Bridge&amp;Test Year Class Forecast'!B95</f>
        <v>18344949</v>
      </c>
      <c r="F63" s="508">
        <f t="shared" si="11"/>
        <v>6.0670706535276113E-2</v>
      </c>
      <c r="G63" s="215">
        <f>'Bridge&amp;Test Year Class Forecast'!M32</f>
        <v>43591.000000000007</v>
      </c>
      <c r="H63" s="511">
        <f t="shared" si="12"/>
        <v>5.2096783925662395E-2</v>
      </c>
    </row>
    <row r="64" spans="2:8" x14ac:dyDescent="0.2">
      <c r="B64" s="364">
        <f t="shared" si="9"/>
        <v>2017</v>
      </c>
      <c r="C64" s="217">
        <f>'Input - Customer Data'!L19</f>
        <v>1</v>
      </c>
      <c r="D64" s="508">
        <f t="shared" si="10"/>
        <v>0</v>
      </c>
      <c r="E64" s="215">
        <f>+'Bridge&amp;Test Year Class Forecast'!F96</f>
        <v>18961919.497176804</v>
      </c>
      <c r="F64" s="508">
        <f t="shared" si="11"/>
        <v>3.3631627821740125E-2</v>
      </c>
      <c r="G64" s="215">
        <f>'Bridge&amp;Test Year Class Forecast'!M33</f>
        <v>44307.588443321561</v>
      </c>
      <c r="H64" s="511">
        <f t="shared" si="12"/>
        <v>1.643890810767255E-2</v>
      </c>
    </row>
    <row r="65" spans="2:8" x14ac:dyDescent="0.2">
      <c r="B65" s="365">
        <f t="shared" si="9"/>
        <v>2018</v>
      </c>
      <c r="C65" s="217">
        <f>'Input - Customer Data'!L20</f>
        <v>1</v>
      </c>
      <c r="D65" s="509">
        <f t="shared" si="10"/>
        <v>0</v>
      </c>
      <c r="E65" s="215">
        <f>+'Bridge&amp;Test Year Class Forecast'!F97</f>
        <v>19001585.738118909</v>
      </c>
      <c r="F65" s="509">
        <f t="shared" si="11"/>
        <v>2.0918895340744097E-3</v>
      </c>
      <c r="G65" s="215">
        <f>'Bridge&amp;Test Year Class Forecast'!M34</f>
        <v>44400.275023866219</v>
      </c>
      <c r="H65" s="512">
        <f t="shared" si="12"/>
        <v>2.0918895340743451E-3</v>
      </c>
    </row>
    <row r="66" spans="2:8" ht="13.5" thickBot="1" x14ac:dyDescent="0.25">
      <c r="B66" s="392">
        <f t="shared" si="9"/>
        <v>2018</v>
      </c>
      <c r="C66" s="393">
        <f>'Input - Customer Data'!L25</f>
        <v>1</v>
      </c>
      <c r="D66" s="394">
        <f t="shared" si="10"/>
        <v>0</v>
      </c>
      <c r="E66" s="387" t="e">
        <f>'Bridge&amp;Test Year Class Forecast'!#REF!</f>
        <v>#REF!</v>
      </c>
      <c r="F66" s="394" t="e">
        <f t="shared" si="11"/>
        <v>#REF!</v>
      </c>
      <c r="G66" s="387" t="e">
        <f>'Bridge&amp;Test Year Class Forecast'!#REF!</f>
        <v>#REF!</v>
      </c>
      <c r="H66" s="395" t="e">
        <f>(G66-G65)/G65</f>
        <v>#REF!</v>
      </c>
    </row>
    <row r="70" spans="2:8" ht="13.5" thickBot="1" x14ac:dyDescent="0.25">
      <c r="B70" s="149"/>
      <c r="C70" s="151" t="s">
        <v>59</v>
      </c>
      <c r="D70" s="151"/>
      <c r="E70" s="151"/>
      <c r="F70" s="151"/>
      <c r="G70" s="151"/>
      <c r="H70" s="151"/>
    </row>
    <row r="71" spans="2:8" ht="15.75" customHeight="1" x14ac:dyDescent="0.2">
      <c r="B71" s="796" t="s">
        <v>188</v>
      </c>
      <c r="C71" s="797"/>
      <c r="D71" s="797"/>
      <c r="E71" s="797"/>
      <c r="F71" s="797"/>
      <c r="G71" s="797"/>
      <c r="H71" s="798"/>
    </row>
    <row r="72" spans="2:8" ht="13.5" thickBot="1" x14ac:dyDescent="0.25">
      <c r="B72" s="398" t="s">
        <v>80</v>
      </c>
      <c r="C72" s="351" t="s">
        <v>129</v>
      </c>
      <c r="D72" s="351" t="s">
        <v>128</v>
      </c>
      <c r="E72" s="351" t="s">
        <v>81</v>
      </c>
      <c r="F72" s="351" t="s">
        <v>128</v>
      </c>
      <c r="G72" s="351" t="s">
        <v>82</v>
      </c>
      <c r="H72" s="399" t="s">
        <v>128</v>
      </c>
    </row>
    <row r="73" spans="2:8" x14ac:dyDescent="0.2">
      <c r="B73" s="363">
        <f t="shared" ref="B73:B84" si="13">B39</f>
        <v>2008</v>
      </c>
      <c r="C73" s="218">
        <f>'Input - Customer Data'!N6</f>
        <v>2</v>
      </c>
      <c r="D73" s="507"/>
      <c r="E73" s="218">
        <f>'Bridge&amp;Test Year Class Forecast'!L46</f>
        <v>401394.35</v>
      </c>
      <c r="F73" s="507"/>
      <c r="G73" s="218">
        <f>'Bridge&amp;Test Year Class Forecast'!M46</f>
        <v>0</v>
      </c>
      <c r="H73" s="220"/>
    </row>
    <row r="74" spans="2:8" x14ac:dyDescent="0.2">
      <c r="B74" s="364">
        <f t="shared" si="13"/>
        <v>2009</v>
      </c>
      <c r="C74" s="217">
        <f>'Input - Customer Data'!N7</f>
        <v>2</v>
      </c>
      <c r="D74" s="508">
        <f t="shared" ref="D74:D84" si="14">(C74-C73)/C73</f>
        <v>0</v>
      </c>
      <c r="E74" s="215">
        <f>'Bridge&amp;Test Year Class Forecast'!L47</f>
        <v>400443.16000000003</v>
      </c>
      <c r="F74" s="508">
        <f t="shared" ref="F74:F84" si="15">(E74-E73)/E73</f>
        <v>-2.3697144715662893E-3</v>
      </c>
      <c r="G74" s="215">
        <f>'Bridge&amp;Test Year Class Forecast'!M47</f>
        <v>0</v>
      </c>
      <c r="H74" s="352" t="e">
        <f t="shared" ref="H74:H84" si="16">(G74-G73)/G73</f>
        <v>#DIV/0!</v>
      </c>
    </row>
    <row r="75" spans="2:8" x14ac:dyDescent="0.2">
      <c r="B75" s="364">
        <f t="shared" si="13"/>
        <v>2010</v>
      </c>
      <c r="C75" s="217">
        <f>'Input - Customer Data'!N8</f>
        <v>4</v>
      </c>
      <c r="D75" s="508">
        <f t="shared" si="14"/>
        <v>1</v>
      </c>
      <c r="E75" s="215">
        <f>'Bridge&amp;Test Year Class Forecast'!L48</f>
        <v>453001.43</v>
      </c>
      <c r="F75" s="508">
        <f t="shared" si="15"/>
        <v>0.13125026283380631</v>
      </c>
      <c r="G75" s="215">
        <f>'Bridge&amp;Test Year Class Forecast'!M48</f>
        <v>0</v>
      </c>
      <c r="H75" s="352" t="e">
        <f t="shared" si="16"/>
        <v>#DIV/0!</v>
      </c>
    </row>
    <row r="76" spans="2:8" x14ac:dyDescent="0.2">
      <c r="B76" s="364">
        <f t="shared" si="13"/>
        <v>2011</v>
      </c>
      <c r="C76" s="217">
        <f>'Input - Customer Data'!N9</f>
        <v>6</v>
      </c>
      <c r="D76" s="508">
        <f t="shared" si="14"/>
        <v>0.5</v>
      </c>
      <c r="E76" s="215">
        <f>'Bridge&amp;Test Year Class Forecast'!L49</f>
        <v>494005.7</v>
      </c>
      <c r="F76" s="508">
        <f t="shared" si="15"/>
        <v>9.0516866580310842E-2</v>
      </c>
      <c r="G76" s="215">
        <f>'Bridge&amp;Test Year Class Forecast'!M49</f>
        <v>0</v>
      </c>
      <c r="H76" s="352" t="e">
        <f t="shared" si="16"/>
        <v>#DIV/0!</v>
      </c>
    </row>
    <row r="77" spans="2:8" x14ac:dyDescent="0.2">
      <c r="B77" s="364">
        <f t="shared" si="13"/>
        <v>2012</v>
      </c>
      <c r="C77" s="217">
        <f>'Input - Customer Data'!N10</f>
        <v>9.5</v>
      </c>
      <c r="D77" s="508">
        <f t="shared" si="14"/>
        <v>0.58333333333333337</v>
      </c>
      <c r="E77" s="215">
        <f>'Bridge&amp;Test Year Class Forecast'!L50</f>
        <v>515381</v>
      </c>
      <c r="F77" s="508">
        <f t="shared" si="15"/>
        <v>4.3269338795078653E-2</v>
      </c>
      <c r="G77" s="215">
        <f>'Bridge&amp;Test Year Class Forecast'!M50</f>
        <v>0</v>
      </c>
      <c r="H77" s="352" t="e">
        <f t="shared" si="16"/>
        <v>#DIV/0!</v>
      </c>
    </row>
    <row r="78" spans="2:8" x14ac:dyDescent="0.2">
      <c r="B78" s="364">
        <f t="shared" si="13"/>
        <v>2013</v>
      </c>
      <c r="C78" s="217">
        <f>'Input - Customer Data'!N11</f>
        <v>13</v>
      </c>
      <c r="D78" s="508">
        <f t="shared" si="14"/>
        <v>0.36842105263157893</v>
      </c>
      <c r="E78" s="215">
        <f>'Bridge&amp;Test Year Class Forecast'!L51</f>
        <v>548400</v>
      </c>
      <c r="F78" s="508">
        <f t="shared" si="15"/>
        <v>6.406716584429771E-2</v>
      </c>
      <c r="G78" s="215">
        <f>'Bridge&amp;Test Year Class Forecast'!M51</f>
        <v>0</v>
      </c>
      <c r="H78" s="352" t="e">
        <f t="shared" si="16"/>
        <v>#DIV/0!</v>
      </c>
    </row>
    <row r="79" spans="2:8" x14ac:dyDescent="0.2">
      <c r="B79" s="364">
        <f t="shared" si="13"/>
        <v>2014</v>
      </c>
      <c r="C79" s="217">
        <f>'Input - Customer Data'!N12</f>
        <v>13</v>
      </c>
      <c r="D79" s="508">
        <f t="shared" si="14"/>
        <v>0</v>
      </c>
      <c r="E79" s="215">
        <f>'Bridge&amp;Test Year Class Forecast'!L52</f>
        <v>563396</v>
      </c>
      <c r="F79" s="508">
        <f t="shared" si="15"/>
        <v>2.7345003646973013E-2</v>
      </c>
      <c r="G79" s="215">
        <f>'Bridge&amp;Test Year Class Forecast'!M52</f>
        <v>0</v>
      </c>
      <c r="H79" s="352" t="e">
        <f t="shared" si="16"/>
        <v>#DIV/0!</v>
      </c>
    </row>
    <row r="80" spans="2:8" x14ac:dyDescent="0.2">
      <c r="B80" s="364">
        <f t="shared" si="13"/>
        <v>2015</v>
      </c>
      <c r="C80" s="217">
        <f>'Input - Customer Data'!N13</f>
        <v>13</v>
      </c>
      <c r="D80" s="508">
        <f t="shared" si="14"/>
        <v>0</v>
      </c>
      <c r="E80" s="215">
        <f>'Bridge&amp;Test Year Class Forecast'!L53</f>
        <v>563839</v>
      </c>
      <c r="F80" s="508">
        <f t="shared" si="15"/>
        <v>7.8630306214456621E-4</v>
      </c>
      <c r="G80" s="215">
        <f>'Bridge&amp;Test Year Class Forecast'!M53</f>
        <v>0</v>
      </c>
      <c r="H80" s="352" t="e">
        <f t="shared" si="16"/>
        <v>#DIV/0!</v>
      </c>
    </row>
    <row r="81" spans="2:8" x14ac:dyDescent="0.2">
      <c r="B81" s="364">
        <f t="shared" si="13"/>
        <v>2016</v>
      </c>
      <c r="C81" s="217">
        <f>'Input - Customer Data'!N14</f>
        <v>13</v>
      </c>
      <c r="D81" s="508">
        <f t="shared" si="14"/>
        <v>0</v>
      </c>
      <c r="E81" s="215">
        <f>'Bridge&amp;Test Year Class Forecast'!L54</f>
        <v>562067</v>
      </c>
      <c r="F81" s="508">
        <f t="shared" si="15"/>
        <v>-3.1427411016265281E-3</v>
      </c>
      <c r="G81" s="215">
        <f>'Bridge&amp;Test Year Class Forecast'!M54</f>
        <v>0</v>
      </c>
      <c r="H81" s="352" t="e">
        <f t="shared" si="16"/>
        <v>#DIV/0!</v>
      </c>
    </row>
    <row r="82" spans="2:8" x14ac:dyDescent="0.2">
      <c r="B82" s="364">
        <f t="shared" si="13"/>
        <v>2017</v>
      </c>
      <c r="C82" s="217">
        <f>'Input - Customer Data'!N24</f>
        <v>13</v>
      </c>
      <c r="D82" s="508">
        <f t="shared" si="14"/>
        <v>0</v>
      </c>
      <c r="E82" s="215">
        <f>'Bridge&amp;Test Year Class Forecast'!L55</f>
        <v>559425.5</v>
      </c>
      <c r="F82" s="508">
        <f t="shared" si="15"/>
        <v>-4.6996176612396747E-3</v>
      </c>
      <c r="G82" s="215">
        <f>'Bridge&amp;Test Year Class Forecast'!M55</f>
        <v>0</v>
      </c>
      <c r="H82" s="352" t="e">
        <f t="shared" si="16"/>
        <v>#DIV/0!</v>
      </c>
    </row>
    <row r="83" spans="2:8" x14ac:dyDescent="0.2">
      <c r="B83" s="365">
        <f t="shared" si="13"/>
        <v>2018</v>
      </c>
      <c r="C83" s="216">
        <f>'Input - Customer Data'!N25</f>
        <v>13</v>
      </c>
      <c r="D83" s="509">
        <f t="shared" si="14"/>
        <v>0</v>
      </c>
      <c r="E83" s="221">
        <f>'Bridge&amp;Test Year Class Forecast'!L56</f>
        <v>559425.5</v>
      </c>
      <c r="F83" s="509">
        <f t="shared" si="15"/>
        <v>0</v>
      </c>
      <c r="G83" s="221">
        <f>'Bridge&amp;Test Year Class Forecast'!M56</f>
        <v>0</v>
      </c>
      <c r="H83" s="353" t="e">
        <f t="shared" si="16"/>
        <v>#DIV/0!</v>
      </c>
    </row>
    <row r="84" spans="2:8" ht="13.5" thickBot="1" x14ac:dyDescent="0.25">
      <c r="B84" s="392">
        <f t="shared" si="13"/>
        <v>2018</v>
      </c>
      <c r="C84" s="393">
        <f>'Input - Customer Data'!N25</f>
        <v>13</v>
      </c>
      <c r="D84" s="394">
        <f t="shared" si="14"/>
        <v>0</v>
      </c>
      <c r="E84" s="393">
        <f>'Bridge&amp;Test Year Class Forecast'!L57</f>
        <v>0</v>
      </c>
      <c r="F84" s="394">
        <f t="shared" si="15"/>
        <v>-1</v>
      </c>
      <c r="G84" s="393">
        <f>'Bridge&amp;Test Year Class Forecast'!M57</f>
        <v>0</v>
      </c>
      <c r="H84" s="395" t="e">
        <f t="shared" si="16"/>
        <v>#DIV/0!</v>
      </c>
    </row>
    <row r="86" spans="2:8" ht="13.5" thickBot="1" x14ac:dyDescent="0.25">
      <c r="B86" s="169"/>
      <c r="C86" s="174"/>
      <c r="D86" s="174"/>
      <c r="E86" s="174"/>
      <c r="F86" s="169"/>
    </row>
    <row r="87" spans="2:8" ht="15.75" customHeight="1" x14ac:dyDescent="0.2">
      <c r="B87" s="796" t="s">
        <v>194</v>
      </c>
      <c r="C87" s="797"/>
      <c r="D87" s="797"/>
      <c r="E87" s="797"/>
      <c r="F87" s="797"/>
      <c r="G87" s="797"/>
      <c r="H87" s="798"/>
    </row>
    <row r="88" spans="2:8" ht="13.5" thickBot="1" x14ac:dyDescent="0.25">
      <c r="B88" s="398" t="s">
        <v>80</v>
      </c>
      <c r="C88" s="351" t="s">
        <v>129</v>
      </c>
      <c r="D88" s="351" t="s">
        <v>128</v>
      </c>
      <c r="E88" s="351" t="s">
        <v>81</v>
      </c>
      <c r="F88" s="351" t="s">
        <v>128</v>
      </c>
      <c r="G88" s="351" t="s">
        <v>82</v>
      </c>
      <c r="H88" s="399" t="s">
        <v>128</v>
      </c>
    </row>
    <row r="89" spans="2:8" x14ac:dyDescent="0.2">
      <c r="B89" s="363">
        <f t="shared" ref="B89:B100" si="17">B55</f>
        <v>2008</v>
      </c>
      <c r="C89" s="218">
        <f>'Input - Customer Data'!P6</f>
        <v>31</v>
      </c>
      <c r="D89" s="507"/>
      <c r="E89" s="218">
        <f>'Bridge&amp;Test Year Class Forecast'!L66</f>
        <v>45820.810000000005</v>
      </c>
      <c r="F89" s="507"/>
      <c r="G89" s="218">
        <f>'Bridge&amp;Test Year Class Forecast'!M66</f>
        <v>127.28999999999999</v>
      </c>
      <c r="H89" s="220"/>
    </row>
    <row r="90" spans="2:8" x14ac:dyDescent="0.2">
      <c r="B90" s="364">
        <f t="shared" si="17"/>
        <v>2009</v>
      </c>
      <c r="C90" s="217">
        <f>'Input - Customer Data'!P7</f>
        <v>31</v>
      </c>
      <c r="D90" s="744">
        <f t="shared" ref="D90:D100" si="18">(C90-C89)/C89</f>
        <v>0</v>
      </c>
      <c r="E90" s="217">
        <f>'Bridge&amp;Test Year Class Forecast'!L67</f>
        <v>46167.350000000006</v>
      </c>
      <c r="F90" s="352">
        <f t="shared" ref="F90:F100" si="19">(E90-E89)/E89</f>
        <v>7.5629391972774126E-3</v>
      </c>
      <c r="G90" s="217">
        <f>'Bridge&amp;Test Year Class Forecast'!M67</f>
        <v>128.22999999999999</v>
      </c>
      <c r="H90" s="352">
        <f t="shared" ref="H90:H100" si="20">(G90-G89)/G89</f>
        <v>7.3847120747898322E-3</v>
      </c>
    </row>
    <row r="91" spans="2:8" x14ac:dyDescent="0.2">
      <c r="B91" s="364">
        <f t="shared" si="17"/>
        <v>2010</v>
      </c>
      <c r="C91" s="217">
        <f>'Input - Customer Data'!P8</f>
        <v>31</v>
      </c>
      <c r="D91" s="744">
        <f t="shared" si="18"/>
        <v>0</v>
      </c>
      <c r="E91" s="217">
        <f>'Bridge&amp;Test Year Class Forecast'!L68</f>
        <v>43013.75</v>
      </c>
      <c r="F91" s="352">
        <f t="shared" si="19"/>
        <v>-6.8308014213508142E-2</v>
      </c>
      <c r="G91" s="217">
        <f>'Bridge&amp;Test Year Class Forecast'!M68</f>
        <v>119.47999999999999</v>
      </c>
      <c r="H91" s="352">
        <f t="shared" si="20"/>
        <v>-6.8236762068158777E-2</v>
      </c>
    </row>
    <row r="92" spans="2:8" x14ac:dyDescent="0.2">
      <c r="B92" s="364">
        <f t="shared" si="17"/>
        <v>2011</v>
      </c>
      <c r="C92" s="217">
        <f>'Input - Customer Data'!P9</f>
        <v>31</v>
      </c>
      <c r="D92" s="744">
        <f t="shared" si="18"/>
        <v>0</v>
      </c>
      <c r="E92" s="217">
        <f>'Bridge&amp;Test Year Class Forecast'!L69</f>
        <v>41278.660000000003</v>
      </c>
      <c r="F92" s="352">
        <f t="shared" si="19"/>
        <v>-4.0338031443433703E-2</v>
      </c>
      <c r="G92" s="217">
        <f>'Bridge&amp;Test Year Class Forecast'!M69</f>
        <v>114.69000000000001</v>
      </c>
      <c r="H92" s="352">
        <f t="shared" si="20"/>
        <v>-4.0090391697355024E-2</v>
      </c>
    </row>
    <row r="93" spans="2:8" x14ac:dyDescent="0.2">
      <c r="B93" s="364">
        <f t="shared" si="17"/>
        <v>2012</v>
      </c>
      <c r="C93" s="217">
        <f>'Input - Customer Data'!P10</f>
        <v>29</v>
      </c>
      <c r="D93" s="744">
        <f t="shared" si="18"/>
        <v>-6.4516129032258063E-2</v>
      </c>
      <c r="E93" s="217">
        <f>'Bridge&amp;Test Year Class Forecast'!L70</f>
        <v>41226</v>
      </c>
      <c r="F93" s="352">
        <f t="shared" si="19"/>
        <v>-1.2757197060176732E-3</v>
      </c>
      <c r="G93" s="217">
        <f>'Bridge&amp;Test Year Class Forecast'!M70</f>
        <v>114.54000000000002</v>
      </c>
      <c r="H93" s="352">
        <f t="shared" si="20"/>
        <v>-1.3078733978550132E-3</v>
      </c>
    </row>
    <row r="94" spans="2:8" x14ac:dyDescent="0.2">
      <c r="B94" s="364">
        <f t="shared" si="17"/>
        <v>2013</v>
      </c>
      <c r="C94" s="217">
        <f>'Input - Customer Data'!P11</f>
        <v>31</v>
      </c>
      <c r="D94" s="744">
        <f t="shared" si="18"/>
        <v>6.8965517241379309E-2</v>
      </c>
      <c r="E94" s="217">
        <f>'Bridge&amp;Test Year Class Forecast'!L71</f>
        <v>40676</v>
      </c>
      <c r="F94" s="352">
        <f t="shared" si="19"/>
        <v>-1.3341095425217097E-2</v>
      </c>
      <c r="G94" s="217">
        <f>'Bridge&amp;Test Year Class Forecast'!M71</f>
        <v>112.99000000000002</v>
      </c>
      <c r="H94" s="352">
        <f t="shared" si="20"/>
        <v>-1.3532390431290352E-2</v>
      </c>
    </row>
    <row r="95" spans="2:8" x14ac:dyDescent="0.2">
      <c r="B95" s="364">
        <f t="shared" si="17"/>
        <v>2014</v>
      </c>
      <c r="C95" s="217">
        <f>'Input - Customer Data'!P12</f>
        <v>31</v>
      </c>
      <c r="D95" s="744">
        <f t="shared" si="18"/>
        <v>0</v>
      </c>
      <c r="E95" s="217">
        <f>'Bridge&amp;Test Year Class Forecast'!L72</f>
        <v>39277</v>
      </c>
      <c r="F95" s="352">
        <f t="shared" si="19"/>
        <v>-3.4393745697708721E-2</v>
      </c>
      <c r="G95" s="217">
        <f>'Bridge&amp;Test Year Class Forecast'!M72</f>
        <v>109.08000000000001</v>
      </c>
      <c r="H95" s="352">
        <f t="shared" si="20"/>
        <v>-3.4604832286043101E-2</v>
      </c>
    </row>
    <row r="96" spans="2:8" x14ac:dyDescent="0.2">
      <c r="B96" s="364">
        <f t="shared" si="17"/>
        <v>2015</v>
      </c>
      <c r="C96" s="217">
        <f>'Input - Customer Data'!P13</f>
        <v>31</v>
      </c>
      <c r="D96" s="744">
        <f t="shared" si="18"/>
        <v>0</v>
      </c>
      <c r="E96" s="217">
        <f>'Bridge&amp;Test Year Class Forecast'!L73</f>
        <v>39278</v>
      </c>
      <c r="F96" s="352">
        <f t="shared" si="19"/>
        <v>2.5460192988262852E-5</v>
      </c>
      <c r="G96" s="217">
        <f>'Bridge&amp;Test Year Class Forecast'!M73</f>
        <v>109.08</v>
      </c>
      <c r="H96" s="352">
        <f t="shared" si="20"/>
        <v>-1.3027919614229925E-16</v>
      </c>
    </row>
    <row r="97" spans="2:8" x14ac:dyDescent="0.2">
      <c r="B97" s="364">
        <f t="shared" si="17"/>
        <v>2016</v>
      </c>
      <c r="C97" s="217">
        <f>'Input - Customer Data'!P14</f>
        <v>29</v>
      </c>
      <c r="D97" s="744">
        <f t="shared" si="18"/>
        <v>-6.4516129032258063E-2</v>
      </c>
      <c r="E97" s="217">
        <f>'Bridge&amp;Test Year Class Forecast'!L74</f>
        <v>39314</v>
      </c>
      <c r="F97" s="352">
        <f t="shared" si="19"/>
        <v>9.1654361220021383E-4</v>
      </c>
      <c r="G97" s="217">
        <f>'Bridge&amp;Test Year Class Forecast'!M74</f>
        <v>109.19</v>
      </c>
      <c r="H97" s="352">
        <f t="shared" si="20"/>
        <v>1.0084341767510033E-3</v>
      </c>
    </row>
    <row r="98" spans="2:8" x14ac:dyDescent="0.2">
      <c r="B98" s="505">
        <f t="shared" si="17"/>
        <v>2017</v>
      </c>
      <c r="C98" s="501">
        <f>'Input - Customer Data'!P19</f>
        <v>28.759248664054667</v>
      </c>
      <c r="D98" s="745">
        <v>0</v>
      </c>
      <c r="E98" s="501">
        <f>'Bridge&amp;Test Year Class Forecast'!L75</f>
        <v>39335.85434764708</v>
      </c>
      <c r="F98" s="506">
        <f t="shared" si="19"/>
        <v>5.5589224314698149E-4</v>
      </c>
      <c r="G98" s="501">
        <f>'Bridge&amp;Test Year Class Forecast'!M75</f>
        <v>109.2644934298052</v>
      </c>
      <c r="H98" s="506">
        <f t="shared" si="20"/>
        <v>6.8223674150747848E-4</v>
      </c>
    </row>
    <row r="99" spans="2:8" x14ac:dyDescent="0.2">
      <c r="B99" s="505">
        <f t="shared" si="17"/>
        <v>2018</v>
      </c>
      <c r="C99" s="501">
        <f>'Input - Customer Data'!P20</f>
        <v>28.520495990376901</v>
      </c>
      <c r="D99" s="745">
        <v>0</v>
      </c>
      <c r="E99" s="501">
        <f>'Bridge&amp;Test Year Class Forecast'!L76</f>
        <v>39009.297124035111</v>
      </c>
      <c r="F99" s="506">
        <f t="shared" si="19"/>
        <v>-8.3017702050115268E-3</v>
      </c>
      <c r="G99" s="501">
        <f>'Bridge&amp;Test Year Class Forecast'!M76</f>
        <v>108.35740471378396</v>
      </c>
      <c r="H99" s="506">
        <f t="shared" si="20"/>
        <v>-8.301770205011532E-3</v>
      </c>
    </row>
    <row r="100" spans="2:8" ht="13.5" thickBot="1" x14ac:dyDescent="0.25">
      <c r="B100" s="392">
        <f t="shared" si="17"/>
        <v>2018</v>
      </c>
      <c r="C100" s="393">
        <f>'Input - Customer Data'!P25</f>
        <v>28.520495990376901</v>
      </c>
      <c r="D100" s="394">
        <f t="shared" si="18"/>
        <v>0</v>
      </c>
      <c r="E100" s="393">
        <f>'Bridge&amp;Test Year Class Forecast'!L77</f>
        <v>39009.297124035111</v>
      </c>
      <c r="F100" s="394">
        <f t="shared" si="19"/>
        <v>0</v>
      </c>
      <c r="G100" s="393">
        <f>'Bridge&amp;Test Year Class Forecast'!M77</f>
        <v>108.35740471378396</v>
      </c>
      <c r="H100" s="395">
        <f t="shared" si="20"/>
        <v>0</v>
      </c>
    </row>
    <row r="102" spans="2:8" ht="13.5" thickBot="1" x14ac:dyDescent="0.25"/>
    <row r="103" spans="2:8" ht="15.75" x14ac:dyDescent="0.2">
      <c r="B103" s="796" t="s">
        <v>309</v>
      </c>
      <c r="C103" s="797"/>
      <c r="D103" s="797"/>
      <c r="E103" s="797"/>
      <c r="F103" s="797"/>
      <c r="G103" s="797"/>
      <c r="H103" s="798"/>
    </row>
    <row r="104" spans="2:8" ht="13.5" thickBot="1" x14ac:dyDescent="0.25">
      <c r="B104" s="398" t="s">
        <v>80</v>
      </c>
      <c r="C104" s="351" t="s">
        <v>129</v>
      </c>
      <c r="D104" s="351" t="s">
        <v>128</v>
      </c>
      <c r="E104" s="351" t="s">
        <v>81</v>
      </c>
      <c r="F104" s="351" t="s">
        <v>128</v>
      </c>
      <c r="G104" s="351" t="s">
        <v>82</v>
      </c>
      <c r="H104" s="399" t="s">
        <v>128</v>
      </c>
    </row>
    <row r="105" spans="2:8" ht="13.5" thickBot="1" x14ac:dyDescent="0.25">
      <c r="B105" s="363">
        <f t="shared" ref="B105:B116" si="21">B55</f>
        <v>2008</v>
      </c>
      <c r="C105" s="218">
        <f>'Input - Customer Data'!R6</f>
        <v>1658</v>
      </c>
      <c r="D105" s="507"/>
      <c r="E105" s="218">
        <f>'Bridge&amp;Test Year Class Forecast'!L86</f>
        <v>1140337.06</v>
      </c>
      <c r="F105" s="507"/>
      <c r="G105" s="218">
        <f>'Bridge&amp;Test Year Class Forecast'!M86</f>
        <v>3144.2000000000003</v>
      </c>
      <c r="H105" s="220"/>
    </row>
    <row r="106" spans="2:8" ht="13.5" thickBot="1" x14ac:dyDescent="0.25">
      <c r="B106" s="364">
        <f t="shared" si="21"/>
        <v>2009</v>
      </c>
      <c r="C106" s="218">
        <f>'Input - Customer Data'!R7</f>
        <v>1658</v>
      </c>
      <c r="D106" s="508">
        <f>(C106-C105)/C89</f>
        <v>0</v>
      </c>
      <c r="E106" s="218">
        <f>'Bridge&amp;Test Year Class Forecast'!L87</f>
        <v>1139918.23</v>
      </c>
      <c r="F106" s="508">
        <f>(E106-E105)/E105</f>
        <v>-3.6728614257268329E-4</v>
      </c>
      <c r="G106" s="218">
        <f>'Bridge&amp;Test Year Class Forecast'!M87</f>
        <v>3235.1000000000004</v>
      </c>
      <c r="H106" s="352">
        <f>(G106-G105)/G105</f>
        <v>2.8910374658100656E-2</v>
      </c>
    </row>
    <row r="107" spans="2:8" ht="13.5" thickBot="1" x14ac:dyDescent="0.25">
      <c r="B107" s="364">
        <f t="shared" si="21"/>
        <v>2010</v>
      </c>
      <c r="C107" s="218">
        <f>'Input - Customer Data'!R8</f>
        <v>1680</v>
      </c>
      <c r="D107" s="508">
        <f>(C107-C106)/C106</f>
        <v>1.3268998793727383E-2</v>
      </c>
      <c r="E107" s="218">
        <f>'Bridge&amp;Test Year Class Forecast'!L88</f>
        <v>1139669.76</v>
      </c>
      <c r="F107" s="508">
        <f t="shared" ref="F107:F115" si="22">(E107-E106)/E106</f>
        <v>-2.1797177504562942E-4</v>
      </c>
      <c r="G107" s="218">
        <f>'Bridge&amp;Test Year Class Forecast'!M88</f>
        <v>3382.4000000000005</v>
      </c>
      <c r="H107" s="352">
        <f t="shared" ref="H107:H115" si="23">(G107-G106)/G106</f>
        <v>4.553182281846007E-2</v>
      </c>
    </row>
    <row r="108" spans="2:8" ht="13.5" thickBot="1" x14ac:dyDescent="0.25">
      <c r="B108" s="364">
        <f t="shared" si="21"/>
        <v>2011</v>
      </c>
      <c r="C108" s="218">
        <f>'Input - Customer Data'!R9</f>
        <v>1687</v>
      </c>
      <c r="D108" s="508">
        <f t="shared" ref="D108:D115" si="24">(C108-C107)/C107</f>
        <v>4.1666666666666666E-3</v>
      </c>
      <c r="E108" s="218">
        <f>'Bridge&amp;Test Year Class Forecast'!L89</f>
        <v>1127165.6900000002</v>
      </c>
      <c r="F108" s="508">
        <f t="shared" si="22"/>
        <v>-1.0971660773029402E-2</v>
      </c>
      <c r="G108" s="218">
        <f>'Bridge&amp;Test Year Class Forecast'!M89</f>
        <v>3215.5</v>
      </c>
      <c r="H108" s="352">
        <f t="shared" si="23"/>
        <v>-4.9343661305581987E-2</v>
      </c>
    </row>
    <row r="109" spans="2:8" ht="13.5" thickBot="1" x14ac:dyDescent="0.25">
      <c r="B109" s="364">
        <f t="shared" si="21"/>
        <v>2012</v>
      </c>
      <c r="C109" s="218">
        <f>'Input - Customer Data'!R10</f>
        <v>1688</v>
      </c>
      <c r="D109" s="508">
        <f t="shared" si="24"/>
        <v>5.9276822762299936E-4</v>
      </c>
      <c r="E109" s="218">
        <f>'Bridge&amp;Test Year Class Forecast'!L90</f>
        <v>1063521</v>
      </c>
      <c r="F109" s="508">
        <f t="shared" si="22"/>
        <v>-5.6464360621196842E-2</v>
      </c>
      <c r="G109" s="218">
        <f>'Bridge&amp;Test Year Class Forecast'!M90</f>
        <v>3124.4</v>
      </c>
      <c r="H109" s="352">
        <f t="shared" si="23"/>
        <v>-2.8331519203856292E-2</v>
      </c>
    </row>
    <row r="110" spans="2:8" ht="13.5" thickBot="1" x14ac:dyDescent="0.25">
      <c r="B110" s="364">
        <f t="shared" si="21"/>
        <v>2013</v>
      </c>
      <c r="C110" s="218">
        <f>'Input - Customer Data'!R11</f>
        <v>1696</v>
      </c>
      <c r="D110" s="508">
        <f t="shared" si="24"/>
        <v>4.7393364928909956E-3</v>
      </c>
      <c r="E110" s="218">
        <f>'Bridge&amp;Test Year Class Forecast'!L91</f>
        <v>1151811</v>
      </c>
      <c r="F110" s="508">
        <f t="shared" si="22"/>
        <v>8.3016696426304701E-2</v>
      </c>
      <c r="G110" s="218">
        <f>'Bridge&amp;Test Year Class Forecast'!M91</f>
        <v>3174</v>
      </c>
      <c r="H110" s="352">
        <f t="shared" si="23"/>
        <v>1.587504800921774E-2</v>
      </c>
    </row>
    <row r="111" spans="2:8" ht="13.5" thickBot="1" x14ac:dyDescent="0.25">
      <c r="B111" s="364">
        <f t="shared" si="21"/>
        <v>2014</v>
      </c>
      <c r="C111" s="218">
        <f>'Input - Customer Data'!R12</f>
        <v>1705</v>
      </c>
      <c r="D111" s="508">
        <f t="shared" si="24"/>
        <v>5.3066037735849053E-3</v>
      </c>
      <c r="E111" s="218">
        <f>'Bridge&amp;Test Year Class Forecast'!L92</f>
        <v>1141797</v>
      </c>
      <c r="F111" s="508">
        <f t="shared" si="22"/>
        <v>-8.6941347148099812E-3</v>
      </c>
      <c r="G111" s="218">
        <f>'Bridge&amp;Test Year Class Forecast'!M92</f>
        <v>3151.1999999999994</v>
      </c>
      <c r="H111" s="352">
        <f t="shared" si="23"/>
        <v>-7.1833648393196713E-3</v>
      </c>
    </row>
    <row r="112" spans="2:8" ht="13.5" thickBot="1" x14ac:dyDescent="0.25">
      <c r="B112" s="364">
        <f t="shared" si="21"/>
        <v>2015</v>
      </c>
      <c r="C112" s="218">
        <f>'Input - Customer Data'!R13</f>
        <v>1706.5</v>
      </c>
      <c r="D112" s="508">
        <f t="shared" si="24"/>
        <v>8.7976539589442815E-4</v>
      </c>
      <c r="E112" s="218">
        <f>'Bridge&amp;Test Year Class Forecast'!L93</f>
        <v>976129</v>
      </c>
      <c r="F112" s="508">
        <f t="shared" si="22"/>
        <v>-0.14509409290793371</v>
      </c>
      <c r="G112" s="218">
        <f>'Bridge&amp;Test Year Class Forecast'!M93</f>
        <v>2727.2</v>
      </c>
      <c r="H112" s="352">
        <f t="shared" si="23"/>
        <v>-0.13455191673013445</v>
      </c>
    </row>
    <row r="113" spans="2:14" ht="13.5" thickBot="1" x14ac:dyDescent="0.25">
      <c r="B113" s="364">
        <f t="shared" si="21"/>
        <v>2016</v>
      </c>
      <c r="C113" s="218">
        <f>'Input - Customer Data'!R14</f>
        <v>1704.5</v>
      </c>
      <c r="D113" s="508">
        <f t="shared" si="24"/>
        <v>-1.1719894520949312E-3</v>
      </c>
      <c r="E113" s="218">
        <f>'Bridge&amp;Test Year Class Forecast'!L94</f>
        <v>566049</v>
      </c>
      <c r="F113" s="508">
        <f t="shared" si="22"/>
        <v>-0.42010840780265724</v>
      </c>
      <c r="G113" s="218">
        <f>'Bridge&amp;Test Year Class Forecast'!M94</f>
        <v>1555.1999999999996</v>
      </c>
      <c r="H113" s="352">
        <f t="shared" si="23"/>
        <v>-0.42974479319448528</v>
      </c>
    </row>
    <row r="114" spans="2:14" ht="13.5" thickBot="1" x14ac:dyDescent="0.25">
      <c r="B114" s="505">
        <f t="shared" si="21"/>
        <v>2017</v>
      </c>
      <c r="C114" s="737">
        <f>'Input - Customer Data'!R24</f>
        <v>1710.403456367013</v>
      </c>
      <c r="D114" s="514">
        <f t="shared" si="24"/>
        <v>3.4634534274056617E-3</v>
      </c>
      <c r="E114" s="737">
        <f>'Bridge&amp;Test Year Class Forecast'!L95</f>
        <v>568009.48434912961</v>
      </c>
      <c r="F114" s="514">
        <f t="shared" si="22"/>
        <v>3.4634534274057636E-3</v>
      </c>
      <c r="G114" s="737">
        <f>'Bridge&amp;Test Year Class Forecast'!M95</f>
        <v>1560.5863627703009</v>
      </c>
      <c r="H114" s="506">
        <f t="shared" si="23"/>
        <v>3.4634534274056565E-3</v>
      </c>
    </row>
    <row r="115" spans="2:14" x14ac:dyDescent="0.2">
      <c r="B115" s="505">
        <f t="shared" si="21"/>
        <v>2018</v>
      </c>
      <c r="C115" s="737">
        <f>'Input - Customer Data'!R25</f>
        <v>1716.3273590802137</v>
      </c>
      <c r="D115" s="514">
        <f t="shared" si="24"/>
        <v>3.4634534274056096E-3</v>
      </c>
      <c r="E115" s="737">
        <f>'Bridge&amp;Test Year Class Forecast'!L96</f>
        <v>569976.75874449743</v>
      </c>
      <c r="F115" s="514">
        <f t="shared" si="22"/>
        <v>3.4634534274055099E-3</v>
      </c>
      <c r="G115" s="737">
        <f>'Bridge&amp;Test Year Class Forecast'!M96</f>
        <v>1565.9913809572001</v>
      </c>
      <c r="H115" s="506">
        <f t="shared" si="23"/>
        <v>3.4634534274056205E-3</v>
      </c>
    </row>
    <row r="116" spans="2:14" ht="13.5" thickBot="1" x14ac:dyDescent="0.25">
      <c r="B116" s="392">
        <f t="shared" si="21"/>
        <v>2018</v>
      </c>
      <c r="C116" s="393">
        <f>'Input - Customer Data'!P25</f>
        <v>28.520495990376901</v>
      </c>
      <c r="D116" s="394">
        <f>(C100-C99)/C99</f>
        <v>0</v>
      </c>
      <c r="E116" s="393">
        <f>'Bridge&amp;Test Year Class Forecast'!L77</f>
        <v>39009.297124035111</v>
      </c>
      <c r="F116" s="394">
        <f>(E100-E99)/E99</f>
        <v>0</v>
      </c>
      <c r="G116" s="393">
        <f>'Bridge&amp;Test Year Class Forecast'!M77</f>
        <v>108.35740471378396</v>
      </c>
      <c r="H116" s="395">
        <f>(G100-G99)/G99</f>
        <v>0</v>
      </c>
    </row>
    <row r="122" spans="2:14" ht="15.75" customHeight="1" thickBot="1" x14ac:dyDescent="0.25">
      <c r="B122" s="806" t="s">
        <v>127</v>
      </c>
      <c r="C122" s="805"/>
      <c r="D122" s="805"/>
      <c r="E122" s="805"/>
      <c r="F122" s="805"/>
      <c r="G122" s="805"/>
      <c r="H122" s="805"/>
      <c r="I122" s="805"/>
      <c r="J122" s="805"/>
      <c r="K122" s="805"/>
      <c r="L122" s="805"/>
      <c r="M122" s="805"/>
      <c r="N122" s="805"/>
    </row>
    <row r="123" spans="2:14" x14ac:dyDescent="0.2">
      <c r="B123" s="411"/>
      <c r="C123" s="415" t="s">
        <v>64</v>
      </c>
      <c r="D123" s="411" t="s">
        <v>102</v>
      </c>
      <c r="E123" s="860" t="s">
        <v>126</v>
      </c>
      <c r="F123" s="861"/>
      <c r="G123" s="860" t="s">
        <v>62</v>
      </c>
      <c r="H123" s="861"/>
      <c r="I123" s="862" t="s">
        <v>188</v>
      </c>
      <c r="J123" s="863"/>
      <c r="K123" s="860" t="s">
        <v>194</v>
      </c>
      <c r="L123" s="861"/>
      <c r="M123" s="860" t="s">
        <v>182</v>
      </c>
      <c r="N123" s="861"/>
    </row>
    <row r="124" spans="2:14" x14ac:dyDescent="0.2">
      <c r="B124" s="419" t="s">
        <v>80</v>
      </c>
      <c r="C124" s="416" t="s">
        <v>177</v>
      </c>
      <c r="D124" s="412" t="s">
        <v>177</v>
      </c>
      <c r="E124" s="407" t="s">
        <v>177</v>
      </c>
      <c r="F124" s="403" t="s">
        <v>178</v>
      </c>
      <c r="G124" s="407" t="s">
        <v>177</v>
      </c>
      <c r="H124" s="403" t="s">
        <v>178</v>
      </c>
      <c r="I124" s="408" t="s">
        <v>180</v>
      </c>
      <c r="J124" s="404" t="s">
        <v>181</v>
      </c>
      <c r="K124" s="407" t="s">
        <v>180</v>
      </c>
      <c r="L124" s="403" t="s">
        <v>181</v>
      </c>
      <c r="M124" s="407" t="s">
        <v>180</v>
      </c>
      <c r="N124" s="403" t="s">
        <v>181</v>
      </c>
    </row>
    <row r="125" spans="2:14" x14ac:dyDescent="0.2">
      <c r="B125" s="420">
        <f>B89</f>
        <v>2008</v>
      </c>
      <c r="C125" s="417">
        <f>'Bridge&amp;Test Year Class Forecast'!G5</f>
        <v>7729.5193645880772</v>
      </c>
      <c r="D125" s="413">
        <f>'Bridge&amp;Test Year Class Forecast'!G32</f>
        <v>27927.468443519556</v>
      </c>
      <c r="E125" s="217">
        <f>'Bridge&amp;Test Year Class Forecast'!G59</f>
        <v>1134721.5302961697</v>
      </c>
      <c r="F125" s="214">
        <f>'Bridge&amp;Test Year Class Forecast'!M5/'Input - Customer Data'!J6</f>
        <v>2971.6905263157896</v>
      </c>
      <c r="G125" s="217">
        <f>+'Bridge&amp;Test Year Class Forecast'!G87</f>
        <v>21075825.651228718</v>
      </c>
      <c r="H125" s="214">
        <f>'Bridge&amp;Test Year Class Forecast'!M24/'Input - Customer Data'!L6</f>
        <v>46155.200000000004</v>
      </c>
      <c r="I125" s="409">
        <f>'Bridge&amp;Test Year Class Forecast'!O46</f>
        <v>200697.17499999999</v>
      </c>
      <c r="J125" s="405">
        <f>'Bridge&amp;Test Year Class Forecast'!P46</f>
        <v>0</v>
      </c>
      <c r="K125" s="217">
        <f>'Bridge&amp;Test Year Class Forecast'!O66</f>
        <v>1478.0906451612905</v>
      </c>
      <c r="L125" s="214">
        <f>'Bridge&amp;Test Year Class Forecast'!P66</f>
        <v>4.1061290322580639</v>
      </c>
      <c r="M125" s="217">
        <f>'Bridge&amp;Test Year Class Forecast'!O86</f>
        <v>687.77868516284684</v>
      </c>
      <c r="N125" s="214">
        <f>'Bridge&amp;Test Year Class Forecast'!P86</f>
        <v>1.8963811821471654</v>
      </c>
    </row>
    <row r="126" spans="2:14" x14ac:dyDescent="0.2">
      <c r="B126" s="420">
        <f t="shared" ref="B126:B135" si="25">B90</f>
        <v>2009</v>
      </c>
      <c r="C126" s="417">
        <f>'Bridge&amp;Test Year Class Forecast'!G6</f>
        <v>7887.1808161195086</v>
      </c>
      <c r="D126" s="413">
        <f>'Bridge&amp;Test Year Class Forecast'!G33</f>
        <v>29231.681380113219</v>
      </c>
      <c r="E126" s="217">
        <f>'Bridge&amp;Test Year Class Forecast'!G60</f>
        <v>1037796.7571605382</v>
      </c>
      <c r="F126" s="214">
        <f>'Bridge&amp;Test Year Class Forecast'!M6/'Input - Customer Data'!J7</f>
        <v>2793.7872727272725</v>
      </c>
      <c r="G126" s="217">
        <f>+'Bridge&amp;Test Year Class Forecast'!G88</f>
        <v>18778510.200750355</v>
      </c>
      <c r="H126" s="214">
        <f>'Bridge&amp;Test Year Class Forecast'!M25/'Input - Customer Data'!L7</f>
        <v>42412.799999999996</v>
      </c>
      <c r="I126" s="409">
        <f>'Bridge&amp;Test Year Class Forecast'!O47</f>
        <v>200221.58000000002</v>
      </c>
      <c r="J126" s="405">
        <f>'Bridge&amp;Test Year Class Forecast'!P47</f>
        <v>0</v>
      </c>
      <c r="K126" s="217">
        <f>'Bridge&amp;Test Year Class Forecast'!O67</f>
        <v>1489.2693548387099</v>
      </c>
      <c r="L126" s="214">
        <f>'Bridge&amp;Test Year Class Forecast'!P67</f>
        <v>4.1364516129032252</v>
      </c>
      <c r="M126" s="217">
        <f>'Bridge&amp;Test Year Class Forecast'!O87</f>
        <v>687.52607358262969</v>
      </c>
      <c r="N126" s="214">
        <f>'Bridge&amp;Test Year Class Forecast'!P87</f>
        <v>1.9512062726176118</v>
      </c>
    </row>
    <row r="127" spans="2:14" x14ac:dyDescent="0.2">
      <c r="B127" s="420">
        <f t="shared" si="25"/>
        <v>2010</v>
      </c>
      <c r="C127" s="417">
        <f>'Bridge&amp;Test Year Class Forecast'!G7</f>
        <v>8094.4232616850977</v>
      </c>
      <c r="D127" s="413">
        <f>'Bridge&amp;Test Year Class Forecast'!G34</f>
        <v>29407.43669161763</v>
      </c>
      <c r="E127" s="217">
        <f>'Bridge&amp;Test Year Class Forecast'!G61</f>
        <v>1052515.783765842</v>
      </c>
      <c r="F127" s="214">
        <f>'Bridge&amp;Test Year Class Forecast'!M7/'Input - Customer Data'!J8</f>
        <v>2745.2112903225807</v>
      </c>
      <c r="G127" s="217">
        <f>+'Bridge&amp;Test Year Class Forecast'!G89</f>
        <v>17971463.758657604</v>
      </c>
      <c r="H127" s="214">
        <f>'Bridge&amp;Test Year Class Forecast'!M26/'Input - Customer Data'!L8</f>
        <v>44377.7</v>
      </c>
      <c r="I127" s="409">
        <f>'Bridge&amp;Test Year Class Forecast'!O48</f>
        <v>113250.3575</v>
      </c>
      <c r="J127" s="405">
        <f>'Bridge&amp;Test Year Class Forecast'!P48</f>
        <v>0</v>
      </c>
      <c r="K127" s="217">
        <f>'Bridge&amp;Test Year Class Forecast'!O68</f>
        <v>1387.5403225806451</v>
      </c>
      <c r="L127" s="214">
        <f>'Bridge&amp;Test Year Class Forecast'!P68</f>
        <v>3.8541935483870966</v>
      </c>
      <c r="M127" s="217">
        <f>'Bridge&amp;Test Year Class Forecast'!O88</f>
        <v>678.37485714285719</v>
      </c>
      <c r="N127" s="214">
        <f>'Bridge&amp;Test Year Class Forecast'!P88</f>
        <v>2.0133333333333336</v>
      </c>
    </row>
    <row r="128" spans="2:14" x14ac:dyDescent="0.2">
      <c r="B128" s="420">
        <f t="shared" si="25"/>
        <v>2011</v>
      </c>
      <c r="C128" s="417">
        <f>'Bridge&amp;Test Year Class Forecast'!G8</f>
        <v>7955.6718971644623</v>
      </c>
      <c r="D128" s="413">
        <f>'Bridge&amp;Test Year Class Forecast'!G35</f>
        <v>29817.813079628027</v>
      </c>
      <c r="E128" s="217">
        <f>'Bridge&amp;Test Year Class Forecast'!G62</f>
        <v>1042367.0392991244</v>
      </c>
      <c r="F128" s="214">
        <f>'Bridge&amp;Test Year Class Forecast'!M8/'Input - Customer Data'!J9</f>
        <v>2660.9761983471076</v>
      </c>
      <c r="G128" s="217">
        <f>+'Bridge&amp;Test Year Class Forecast'!G90</f>
        <v>18582123.144433241</v>
      </c>
      <c r="H128" s="214">
        <f>'Bridge&amp;Test Year Class Forecast'!M27/'Input - Customer Data'!L9</f>
        <v>44396.5</v>
      </c>
      <c r="I128" s="409">
        <f>'Bridge&amp;Test Year Class Forecast'!O49</f>
        <v>82334.28333333334</v>
      </c>
      <c r="J128" s="405">
        <f>'Bridge&amp;Test Year Class Forecast'!P49</f>
        <v>0</v>
      </c>
      <c r="K128" s="217">
        <f>'Bridge&amp;Test Year Class Forecast'!O69</f>
        <v>1331.569677419355</v>
      </c>
      <c r="L128" s="214">
        <f>'Bridge&amp;Test Year Class Forecast'!P69</f>
        <v>3.6996774193548392</v>
      </c>
      <c r="M128" s="217">
        <f>'Bridge&amp;Test Year Class Forecast'!O89</f>
        <v>668.14800829875526</v>
      </c>
      <c r="N128" s="214">
        <f>'Bridge&amp;Test Year Class Forecast'!P89</f>
        <v>1.9060462359217545</v>
      </c>
    </row>
    <row r="129" spans="2:14" x14ac:dyDescent="0.2">
      <c r="B129" s="420">
        <f t="shared" si="25"/>
        <v>2012</v>
      </c>
      <c r="C129" s="417">
        <f>'Bridge&amp;Test Year Class Forecast'!G9</f>
        <v>7778.5518095777988</v>
      </c>
      <c r="D129" s="413">
        <f>'Bridge&amp;Test Year Class Forecast'!G36</f>
        <v>28654.444700606251</v>
      </c>
      <c r="E129" s="217">
        <f>'Bridge&amp;Test Year Class Forecast'!G63</f>
        <v>1062010.7739828152</v>
      </c>
      <c r="F129" s="214">
        <f>'Bridge&amp;Test Year Class Forecast'!M9/'Input - Customer Data'!J10</f>
        <v>2757.7109243697478</v>
      </c>
      <c r="G129" s="217">
        <f>+'Bridge&amp;Test Year Class Forecast'!G91</f>
        <v>19919755.733964134</v>
      </c>
      <c r="H129" s="214">
        <f>'Bridge&amp;Test Year Class Forecast'!M28/'Input - Customer Data'!L10</f>
        <v>45269.7</v>
      </c>
      <c r="I129" s="409">
        <f>'Bridge&amp;Test Year Class Forecast'!O50</f>
        <v>54250.631578947367</v>
      </c>
      <c r="J129" s="405">
        <f>'Bridge&amp;Test Year Class Forecast'!P50</f>
        <v>0</v>
      </c>
      <c r="K129" s="217">
        <f>'Bridge&amp;Test Year Class Forecast'!O70</f>
        <v>1421.5862068965516</v>
      </c>
      <c r="L129" s="214">
        <f>'Bridge&amp;Test Year Class Forecast'!P70</f>
        <v>3.9496551724137938</v>
      </c>
      <c r="M129" s="217">
        <f>'Bridge&amp;Test Year Class Forecast'!O90</f>
        <v>630.04798578199052</v>
      </c>
      <c r="N129" s="214">
        <f>'Bridge&amp;Test Year Class Forecast'!P90</f>
        <v>1.8509478672985782</v>
      </c>
    </row>
    <row r="130" spans="2:14" x14ac:dyDescent="0.2">
      <c r="B130" s="420">
        <f t="shared" si="25"/>
        <v>2013</v>
      </c>
      <c r="C130" s="417">
        <f>'Bridge&amp;Test Year Class Forecast'!G10</f>
        <v>7744.6408692306386</v>
      </c>
      <c r="D130" s="413">
        <f>'Bridge&amp;Test Year Class Forecast'!G37</f>
        <v>28182.91834936753</v>
      </c>
      <c r="E130" s="217">
        <f>'Bridge&amp;Test Year Class Forecast'!G64</f>
        <v>1048349.2494421173</v>
      </c>
      <c r="F130" s="214">
        <f>'Bridge&amp;Test Year Class Forecast'!M10/'Input - Customer Data'!J11</f>
        <v>2901.2859649122811</v>
      </c>
      <c r="G130" s="217">
        <f>+'Bridge&amp;Test Year Class Forecast'!G92</f>
        <v>18330572.956172734</v>
      </c>
      <c r="H130" s="214">
        <f>'Bridge&amp;Test Year Class Forecast'!M29/'Input - Customer Data'!L11</f>
        <v>42815.399999999994</v>
      </c>
      <c r="I130" s="409">
        <f>'Bridge&amp;Test Year Class Forecast'!O51</f>
        <v>42184.615384615383</v>
      </c>
      <c r="J130" s="405">
        <f>'Bridge&amp;Test Year Class Forecast'!P51</f>
        <v>0</v>
      </c>
      <c r="K130" s="217">
        <f>'Bridge&amp;Test Year Class Forecast'!O71</f>
        <v>1312.1290322580646</v>
      </c>
      <c r="L130" s="214">
        <f>'Bridge&amp;Test Year Class Forecast'!P71</f>
        <v>3.64483870967742</v>
      </c>
      <c r="M130" s="217">
        <f>'Bridge&amp;Test Year Class Forecast'!O91</f>
        <v>679.13384433962267</v>
      </c>
      <c r="N130" s="214">
        <f>'Bridge&amp;Test Year Class Forecast'!P91</f>
        <v>1.8714622641509433</v>
      </c>
    </row>
    <row r="131" spans="2:14" x14ac:dyDescent="0.2">
      <c r="B131" s="420">
        <f t="shared" si="25"/>
        <v>2014</v>
      </c>
      <c r="C131" s="417">
        <f>'Bridge&amp;Test Year Class Forecast'!G11</f>
        <v>7711.4069390996037</v>
      </c>
      <c r="D131" s="413">
        <f>'Bridge&amp;Test Year Class Forecast'!G38</f>
        <v>28582.493943924113</v>
      </c>
      <c r="E131" s="217">
        <f>'Bridge&amp;Test Year Class Forecast'!G65</f>
        <v>966909.66163062211</v>
      </c>
      <c r="F131" s="214">
        <f>'Bridge&amp;Test Year Class Forecast'!M11/'Input - Customer Data'!J12</f>
        <v>2730.2601769911507</v>
      </c>
      <c r="G131" s="217">
        <f>+'Bridge&amp;Test Year Class Forecast'!G93</f>
        <v>18333194.201832805</v>
      </c>
      <c r="H131" s="214">
        <f>'Bridge&amp;Test Year Class Forecast'!M30/'Input - Customer Data'!L12</f>
        <v>43263.5</v>
      </c>
      <c r="I131" s="409">
        <f>'Bridge&amp;Test Year Class Forecast'!O52</f>
        <v>43338.153846153844</v>
      </c>
      <c r="J131" s="405">
        <f>'Bridge&amp;Test Year Class Forecast'!P52</f>
        <v>0</v>
      </c>
      <c r="K131" s="217">
        <f>'Bridge&amp;Test Year Class Forecast'!O72</f>
        <v>1267</v>
      </c>
      <c r="L131" s="214">
        <f>'Bridge&amp;Test Year Class Forecast'!P72</f>
        <v>3.5187096774193551</v>
      </c>
      <c r="M131" s="217">
        <f>'Bridge&amp;Test Year Class Forecast'!O92</f>
        <v>669.67565982404687</v>
      </c>
      <c r="N131" s="214">
        <f>'Bridge&amp;Test Year Class Forecast'!P92</f>
        <v>1.8482111436950144</v>
      </c>
    </row>
    <row r="132" spans="2:14" x14ac:dyDescent="0.2">
      <c r="B132" s="420">
        <f t="shared" si="25"/>
        <v>2015</v>
      </c>
      <c r="C132" s="417">
        <f>'Bridge&amp;Test Year Class Forecast'!G12</f>
        <v>7631.4628336741771</v>
      </c>
      <c r="D132" s="413">
        <f>'Bridge&amp;Test Year Class Forecast'!G39</f>
        <v>29553.334042146889</v>
      </c>
      <c r="E132" s="217">
        <f>'Bridge&amp;Test Year Class Forecast'!G66</f>
        <v>1017396.7278550908</v>
      </c>
      <c r="F132" s="214">
        <f>'Bridge&amp;Test Year Class Forecast'!M12/'Input - Customer Data'!J13</f>
        <v>2864.9480769230768</v>
      </c>
      <c r="G132" s="217">
        <f>+'Bridge&amp;Test Year Class Forecast'!G94</f>
        <v>17446328.108327266</v>
      </c>
      <c r="H132" s="214">
        <f>'Bridge&amp;Test Year Class Forecast'!M31/'Input - Customer Data'!L13</f>
        <v>41432.5</v>
      </c>
      <c r="I132" s="409">
        <f>'Bridge&amp;Test Year Class Forecast'!O53</f>
        <v>43372.230769230766</v>
      </c>
      <c r="J132" s="405">
        <f>'Bridge&amp;Test Year Class Forecast'!P53</f>
        <v>0</v>
      </c>
      <c r="K132" s="217">
        <f>'Bridge&amp;Test Year Class Forecast'!O73</f>
        <v>1267.0322580645161</v>
      </c>
      <c r="L132" s="214">
        <f>'Bridge&amp;Test Year Class Forecast'!P73</f>
        <v>3.5187096774193547</v>
      </c>
      <c r="M132" s="217">
        <f>'Bridge&amp;Test Year Class Forecast'!O93</f>
        <v>572.0064459419865</v>
      </c>
      <c r="N132" s="214">
        <f>'Bridge&amp;Test Year Class Forecast'!P93</f>
        <v>1.598124816876648</v>
      </c>
    </row>
    <row r="133" spans="2:14" x14ac:dyDescent="0.2">
      <c r="B133" s="420">
        <f t="shared" si="25"/>
        <v>2016</v>
      </c>
      <c r="C133" s="417">
        <f>'Bridge&amp;Test Year Class Forecast'!G13</f>
        <v>7531.5878518840491</v>
      </c>
      <c r="D133" s="413">
        <f>'Bridge&amp;Test Year Class Forecast'!G40</f>
        <v>31515.19507475556</v>
      </c>
      <c r="E133" s="217">
        <f>'Bridge&amp;Test Year Class Forecast'!G67</f>
        <v>1068762.4907436627</v>
      </c>
      <c r="F133" s="214">
        <f>'Bridge&amp;Test Year Class Forecast'!M13/'Input - Customer Data'!J14</f>
        <v>3055.2463157894731</v>
      </c>
      <c r="G133" s="217">
        <f>+'Bridge&amp;Test Year Class Forecast'!G95</f>
        <v>18421962.061268747</v>
      </c>
      <c r="H133" s="214">
        <f>'Bridge&amp;Test Year Class Forecast'!M32/'Input - Customer Data'!L14</f>
        <v>43591.000000000007</v>
      </c>
      <c r="I133" s="409">
        <f>'Bridge&amp;Test Year Class Forecast'!O54</f>
        <v>43235.923076923078</v>
      </c>
      <c r="J133" s="405">
        <f>'Bridge&amp;Test Year Class Forecast'!P54</f>
        <v>0</v>
      </c>
      <c r="K133" s="217">
        <f>'Bridge&amp;Test Year Class Forecast'!O74</f>
        <v>1355.655172413793</v>
      </c>
      <c r="L133" s="214">
        <f>'Bridge&amp;Test Year Class Forecast'!P74</f>
        <v>3.7651724137931035</v>
      </c>
      <c r="M133" s="217">
        <f>'Bridge&amp;Test Year Class Forecast'!O94</f>
        <v>332.09093575828689</v>
      </c>
      <c r="N133" s="214">
        <f>'Bridge&amp;Test Year Class Forecast'!P94</f>
        <v>0.91240833088882345</v>
      </c>
    </row>
    <row r="134" spans="2:14" x14ac:dyDescent="0.2">
      <c r="B134" s="498">
        <f t="shared" si="25"/>
        <v>2017</v>
      </c>
      <c r="C134" s="499">
        <f>'Bridge&amp;Test Year Class Forecast'!G14</f>
        <v>7524.9896170804914</v>
      </c>
      <c r="D134" s="500">
        <f>'Bridge&amp;Test Year Class Forecast'!G41</f>
        <v>27956.201638331702</v>
      </c>
      <c r="E134" s="501">
        <f>'Bridge&amp;Test Year Class Forecast'!G68</f>
        <v>1299207.3303120357</v>
      </c>
      <c r="F134" s="502">
        <f>'Bridge&amp;Test Year Class Forecast'!M14/'Input - Customer Data'!J24</f>
        <v>3513.4007111137125</v>
      </c>
      <c r="G134" s="501">
        <f>+'Bridge&amp;Test Year Class Forecast'!G96</f>
        <v>18961919.497176804</v>
      </c>
      <c r="H134" s="502">
        <f>'Bridge&amp;Test Year Class Forecast'!M33/'Input - Customer Data'!L24</f>
        <v>44307.588443321561</v>
      </c>
      <c r="I134" s="503">
        <f>'Bridge&amp;Test Year Class Forecast'!O55</f>
        <v>43032.730769230766</v>
      </c>
      <c r="J134" s="504">
        <f>'Bridge&amp;Test Year Class Forecast'!P55</f>
        <v>0</v>
      </c>
      <c r="K134" s="501">
        <f>'Bridge&amp;Test Year Class Forecast'!O75</f>
        <v>1367.7636299592139</v>
      </c>
      <c r="L134" s="502">
        <f>'Bridge&amp;Test Year Class Forecast'!P75</f>
        <v>3.7992819181806947</v>
      </c>
      <c r="M134" s="501">
        <f>'Bridge&amp;Test Year Class Forecast'!O95</f>
        <v>332.09093575828695</v>
      </c>
      <c r="N134" s="502">
        <f>'Bridge&amp;Test Year Class Forecast'!P95</f>
        <v>0.91240833088882345</v>
      </c>
    </row>
    <row r="135" spans="2:14" x14ac:dyDescent="0.2">
      <c r="B135" s="498">
        <f t="shared" si="25"/>
        <v>2018</v>
      </c>
      <c r="C135" s="499">
        <f>'Bridge&amp;Test Year Class Forecast'!G15</f>
        <v>7467.2039091906308</v>
      </c>
      <c r="D135" s="500">
        <f>'Bridge&amp;Test Year Class Forecast'!G42</f>
        <v>27705.471688972913</v>
      </c>
      <c r="E135" s="501">
        <f>'Bridge&amp;Test Year Class Forecast'!G69</f>
        <v>1331936.9441381423</v>
      </c>
      <c r="F135" s="502">
        <f>'Bridge&amp;Test Year Class Forecast'!M15/'Input - Customer Data'!J25</f>
        <v>3601.910255208958</v>
      </c>
      <c r="G135" s="501">
        <f>+'Bridge&amp;Test Year Class Forecast'!G97</f>
        <v>19001585.738118909</v>
      </c>
      <c r="H135" s="502">
        <f>'Bridge&amp;Test Year Class Forecast'!M34/'Input - Customer Data'!L25</f>
        <v>44400.275023866219</v>
      </c>
      <c r="I135" s="503">
        <f>'Bridge&amp;Test Year Class Forecast'!O56</f>
        <v>43032.730769230766</v>
      </c>
      <c r="J135" s="504">
        <f>'Bridge&amp;Test Year Class Forecast'!P56</f>
        <v>0</v>
      </c>
      <c r="K135" s="501">
        <f>'Bridge&amp;Test Year Class Forecast'!O76</f>
        <v>1367.7636299592136</v>
      </c>
      <c r="L135" s="502">
        <f>'Bridge&amp;Test Year Class Forecast'!P76</f>
        <v>3.7992819181806947</v>
      </c>
      <c r="M135" s="501">
        <f>'Bridge&amp;Test Year Class Forecast'!O96</f>
        <v>332.09093575828689</v>
      </c>
      <c r="N135" s="502">
        <f>'Bridge&amp;Test Year Class Forecast'!P96</f>
        <v>0.91240833088882345</v>
      </c>
    </row>
    <row r="136" spans="2:14" ht="13.5" thickBot="1" x14ac:dyDescent="0.25">
      <c r="B136" s="421">
        <f>B101</f>
        <v>0</v>
      </c>
      <c r="C136" s="418" t="e">
        <f>'Bridge&amp;Test Year Class Forecast'!G16</f>
        <v>#DIV/0!</v>
      </c>
      <c r="D136" s="414" t="e">
        <f>'Bridge&amp;Test Year Class Forecast'!G43</f>
        <v>#DIV/0!</v>
      </c>
      <c r="E136" s="393" t="e">
        <f>'Bridge&amp;Test Year Class Forecast'!G70</f>
        <v>#DIV/0!</v>
      </c>
      <c r="F136" s="396">
        <f>'Bridge&amp;Test Year Class Forecast'!M16/'Input - Customer Data'!J20</f>
        <v>0</v>
      </c>
      <c r="G136" s="393" t="e">
        <f>'Bridge&amp;Test Year Class Forecast'!#REF!/'Input - Customer Data'!L20</f>
        <v>#REF!</v>
      </c>
      <c r="H136" s="396" t="e">
        <f>'Bridge&amp;Test Year Class Forecast'!#REF!/'Input - Customer Data'!L20</f>
        <v>#REF!</v>
      </c>
      <c r="I136" s="410">
        <f>'Bridge&amp;Test Year Class Forecast'!O57</f>
        <v>0</v>
      </c>
      <c r="J136" s="406">
        <f>'Bridge&amp;Test Year Class Forecast'!P57</f>
        <v>0</v>
      </c>
      <c r="K136" s="393">
        <f>'Bridge&amp;Test Year Class Forecast'!O77</f>
        <v>1367.7636299592136</v>
      </c>
      <c r="L136" s="396">
        <f>'Bridge&amp;Test Year Class Forecast'!O77</f>
        <v>1367.7636299592136</v>
      </c>
      <c r="M136" s="393">
        <f>'Bridge&amp;Test Year Class Forecast'!Q77</f>
        <v>2.7777328150581019E-3</v>
      </c>
      <c r="N136" s="396">
        <f>'Bridge&amp;Test Year Class Forecast'!Q77</f>
        <v>2.7777328150581019E-3</v>
      </c>
    </row>
  </sheetData>
  <sheetProtection selectLockedCells="1" selectUnlockedCells="1"/>
  <mergeCells count="14">
    <mergeCell ref="M123:N123"/>
    <mergeCell ref="B122:N122"/>
    <mergeCell ref="B71:H71"/>
    <mergeCell ref="B87:H87"/>
    <mergeCell ref="E123:F123"/>
    <mergeCell ref="G123:H123"/>
    <mergeCell ref="I123:J123"/>
    <mergeCell ref="K123:L123"/>
    <mergeCell ref="B103:H103"/>
    <mergeCell ref="B3:G3"/>
    <mergeCell ref="B5:F5"/>
    <mergeCell ref="B21:F21"/>
    <mergeCell ref="B37:H37"/>
    <mergeCell ref="B53:H5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B2:N70"/>
  <sheetViews>
    <sheetView showGridLines="0" zoomScale="115" zoomScaleNormal="115" workbookViewId="0">
      <selection activeCell="D5" sqref="D5"/>
    </sheetView>
  </sheetViews>
  <sheetFormatPr defaultColWidth="10.5" defaultRowHeight="12.75" x14ac:dyDescent="0.2"/>
  <cols>
    <col min="1" max="1" width="15.33203125" style="144" customWidth="1"/>
    <col min="2" max="2" width="35.33203125" style="144" customWidth="1"/>
    <col min="3" max="3" width="11" style="144" customWidth="1"/>
    <col min="4" max="6" width="14" style="144" customWidth="1"/>
    <col min="7" max="7" width="12.6640625" style="168" customWidth="1"/>
    <col min="8" max="8" width="14" style="144" customWidth="1"/>
    <col min="9" max="9" width="13.5" style="168" customWidth="1"/>
    <col min="10" max="10" width="14" style="144" customWidth="1"/>
    <col min="11" max="11" width="14.6640625" style="168" customWidth="1"/>
    <col min="12" max="12" width="14" style="144" customWidth="1"/>
    <col min="13" max="15" width="13.1640625" style="144" customWidth="1"/>
    <col min="16" max="16" width="9.83203125" style="144" customWidth="1"/>
    <col min="17" max="17" width="6.5" style="144" customWidth="1"/>
    <col min="18" max="19" width="11.33203125" style="144" customWidth="1"/>
    <col min="20" max="21" width="10.5" style="144"/>
    <col min="22" max="23" width="1.83203125" style="144" customWidth="1"/>
    <col min="24" max="16384" width="10.5" style="144"/>
  </cols>
  <sheetData>
    <row r="2" spans="2:14" ht="23.25" x14ac:dyDescent="0.2">
      <c r="B2" s="864" t="s">
        <v>113</v>
      </c>
      <c r="C2" s="864"/>
      <c r="D2" s="864"/>
      <c r="E2" s="864"/>
      <c r="F2" s="864"/>
      <c r="G2" s="864"/>
      <c r="H2" s="864"/>
      <c r="I2" s="864"/>
      <c r="J2" s="864"/>
      <c r="K2" s="864"/>
      <c r="L2" s="864"/>
    </row>
    <row r="4" spans="2:14" s="159" customFormat="1" ht="24" x14ac:dyDescent="0.2">
      <c r="B4" s="565"/>
      <c r="C4" s="566" t="s">
        <v>80</v>
      </c>
      <c r="D4" s="567" t="s">
        <v>242</v>
      </c>
      <c r="E4" s="566">
        <v>2013</v>
      </c>
      <c r="F4" s="566">
        <v>2014</v>
      </c>
      <c r="G4" s="568" t="s">
        <v>237</v>
      </c>
      <c r="H4" s="566">
        <v>2015</v>
      </c>
      <c r="I4" s="568" t="s">
        <v>237</v>
      </c>
      <c r="J4" s="566">
        <v>2016</v>
      </c>
      <c r="K4" s="568" t="s">
        <v>237</v>
      </c>
      <c r="L4" s="566">
        <v>2017</v>
      </c>
      <c r="M4" s="568" t="s">
        <v>237</v>
      </c>
      <c r="N4" s="566">
        <v>2018</v>
      </c>
    </row>
    <row r="5" spans="2:14" x14ac:dyDescent="0.2">
      <c r="B5" s="565" t="s">
        <v>64</v>
      </c>
      <c r="C5" s="569" t="s">
        <v>238</v>
      </c>
      <c r="D5" s="588"/>
      <c r="E5" s="588"/>
      <c r="F5" s="588"/>
      <c r="G5" s="570"/>
      <c r="H5" s="588"/>
      <c r="I5" s="570"/>
      <c r="J5" s="588"/>
      <c r="K5" s="570"/>
      <c r="L5" s="588"/>
      <c r="M5" s="570"/>
      <c r="N5" s="588"/>
    </row>
    <row r="6" spans="2:14" x14ac:dyDescent="0.2">
      <c r="B6" s="565"/>
      <c r="C6" s="569" t="s">
        <v>239</v>
      </c>
      <c r="D6" s="589"/>
      <c r="E6" s="589"/>
      <c r="F6" s="589"/>
      <c r="G6" s="570"/>
      <c r="H6" s="589"/>
      <c r="I6" s="570"/>
      <c r="J6" s="589"/>
      <c r="K6" s="570"/>
      <c r="L6" s="589"/>
      <c r="M6" s="570"/>
      <c r="N6" s="589"/>
    </row>
    <row r="7" spans="2:14" x14ac:dyDescent="0.2">
      <c r="B7" s="565"/>
      <c r="C7" s="571"/>
      <c r="D7" s="572"/>
      <c r="E7" s="571"/>
      <c r="F7" s="571"/>
      <c r="G7" s="573"/>
      <c r="H7" s="571"/>
      <c r="I7" s="573"/>
      <c r="J7" s="571"/>
      <c r="K7" s="573"/>
      <c r="L7" s="571"/>
      <c r="M7" s="573"/>
      <c r="N7" s="571"/>
    </row>
    <row r="8" spans="2:14" x14ac:dyDescent="0.2">
      <c r="B8" s="565"/>
      <c r="C8" s="569" t="s">
        <v>112</v>
      </c>
      <c r="D8" s="590">
        <v>5858</v>
      </c>
      <c r="E8" s="590">
        <v>5911</v>
      </c>
      <c r="F8" s="590">
        <v>5947</v>
      </c>
      <c r="G8" s="575"/>
      <c r="H8" s="590">
        <v>5961</v>
      </c>
      <c r="I8" s="575"/>
      <c r="J8" s="590">
        <v>5986.5</v>
      </c>
      <c r="K8" s="575"/>
      <c r="L8" s="590">
        <v>6047.4668331756211</v>
      </c>
      <c r="M8" s="575"/>
      <c r="N8" s="590">
        <v>0</v>
      </c>
    </row>
    <row r="9" spans="2:14" x14ac:dyDescent="0.2">
      <c r="B9" s="565"/>
      <c r="C9" s="569" t="s">
        <v>81</v>
      </c>
      <c r="D9" s="590">
        <v>45809827</v>
      </c>
      <c r="E9" s="590">
        <v>46509674</v>
      </c>
      <c r="F9" s="590">
        <v>46179255</v>
      </c>
      <c r="G9" s="576"/>
      <c r="H9" s="590">
        <v>45096927.600000001</v>
      </c>
      <c r="I9" s="576"/>
      <c r="J9" s="590">
        <v>44896468</v>
      </c>
      <c r="K9" s="576"/>
      <c r="L9" s="590">
        <v>45507125.129285187</v>
      </c>
      <c r="M9" s="576"/>
      <c r="N9" s="590">
        <v>44716575.888647266</v>
      </c>
    </row>
    <row r="10" spans="2:14" x14ac:dyDescent="0.2">
      <c r="B10" s="565"/>
      <c r="C10" s="577" t="s">
        <v>240</v>
      </c>
      <c r="D10" s="578">
        <f>(D8*D5*12)+(D6*D9)</f>
        <v>0</v>
      </c>
      <c r="E10" s="578">
        <f t="shared" ref="E10:L10" si="0">(E8*E5*12)+(E6*E9)</f>
        <v>0</v>
      </c>
      <c r="F10" s="578">
        <f t="shared" si="0"/>
        <v>0</v>
      </c>
      <c r="G10" s="579"/>
      <c r="H10" s="578">
        <f t="shared" si="0"/>
        <v>0</v>
      </c>
      <c r="I10" s="579"/>
      <c r="J10" s="578">
        <f t="shared" si="0"/>
        <v>0</v>
      </c>
      <c r="K10" s="579"/>
      <c r="L10" s="578">
        <f t="shared" si="0"/>
        <v>0</v>
      </c>
      <c r="M10" s="579"/>
      <c r="N10" s="578">
        <f>(N8*N5*12)+(N6*N9)</f>
        <v>0</v>
      </c>
    </row>
    <row r="11" spans="2:14" x14ac:dyDescent="0.2">
      <c r="B11" s="565"/>
      <c r="C11" s="580"/>
      <c r="D11" s="580"/>
      <c r="E11" s="581" t="e">
        <f>(E10-D10)/D10</f>
        <v>#DIV/0!</v>
      </c>
      <c r="F11" s="581" t="e">
        <f>(F10-E10)/E10</f>
        <v>#DIV/0!</v>
      </c>
      <c r="G11" s="582"/>
      <c r="H11" s="581" t="e">
        <f>(H10-F10)/F10</f>
        <v>#DIV/0!</v>
      </c>
      <c r="I11" s="582"/>
      <c r="J11" s="581" t="e">
        <f>(J10-H10)/H10</f>
        <v>#DIV/0!</v>
      </c>
      <c r="K11" s="582"/>
      <c r="L11" s="581" t="e">
        <f>(L10-J10)/J10</f>
        <v>#DIV/0!</v>
      </c>
      <c r="M11" s="582"/>
      <c r="N11" s="581" t="e">
        <f>(N10-L10)/L10</f>
        <v>#DIV/0!</v>
      </c>
    </row>
    <row r="12" spans="2:14" x14ac:dyDescent="0.2">
      <c r="B12" s="565"/>
      <c r="C12" s="571"/>
      <c r="D12" s="571"/>
      <c r="E12" s="571"/>
      <c r="F12" s="571"/>
      <c r="G12" s="573"/>
      <c r="H12" s="571"/>
      <c r="I12" s="573"/>
      <c r="J12" s="571"/>
      <c r="K12" s="573"/>
      <c r="L12" s="571"/>
      <c r="M12" s="573"/>
      <c r="N12" s="571"/>
    </row>
    <row r="13" spans="2:14" x14ac:dyDescent="0.2">
      <c r="B13" s="565" t="s">
        <v>63</v>
      </c>
      <c r="C13" s="569" t="s">
        <v>238</v>
      </c>
      <c r="D13" s="588"/>
      <c r="E13" s="588"/>
      <c r="F13" s="588"/>
      <c r="G13" s="570"/>
      <c r="H13" s="588"/>
      <c r="I13" s="570"/>
      <c r="J13" s="588"/>
      <c r="K13" s="570"/>
      <c r="L13" s="588"/>
      <c r="M13" s="570"/>
      <c r="N13" s="588"/>
    </row>
    <row r="14" spans="2:14" x14ac:dyDescent="0.2">
      <c r="B14" s="565"/>
      <c r="C14" s="569" t="s">
        <v>239</v>
      </c>
      <c r="D14" s="589"/>
      <c r="E14" s="589"/>
      <c r="F14" s="589"/>
      <c r="G14" s="570"/>
      <c r="H14" s="589"/>
      <c r="I14" s="570"/>
      <c r="J14" s="589"/>
      <c r="K14" s="570"/>
      <c r="L14" s="589"/>
      <c r="M14" s="570"/>
      <c r="N14" s="589"/>
    </row>
    <row r="15" spans="2:14" x14ac:dyDescent="0.2">
      <c r="B15" s="565"/>
      <c r="C15" s="571"/>
      <c r="D15" s="571"/>
      <c r="E15" s="571"/>
      <c r="F15" s="571"/>
      <c r="G15" s="573"/>
      <c r="H15" s="571"/>
      <c r="I15" s="573"/>
      <c r="J15" s="571"/>
      <c r="K15" s="573"/>
      <c r="L15" s="571"/>
      <c r="M15" s="573"/>
      <c r="N15" s="571"/>
    </row>
    <row r="16" spans="2:14" x14ac:dyDescent="0.2">
      <c r="B16" s="565"/>
      <c r="C16" s="569" t="s">
        <v>112</v>
      </c>
      <c r="D16" s="590">
        <v>738</v>
      </c>
      <c r="E16" s="590">
        <v>709.5</v>
      </c>
      <c r="F16" s="590">
        <v>715</v>
      </c>
      <c r="G16" s="575"/>
      <c r="H16" s="590">
        <v>729</v>
      </c>
      <c r="I16" s="575"/>
      <c r="J16" s="590">
        <v>742.5</v>
      </c>
      <c r="K16" s="575"/>
      <c r="L16" s="590">
        <v>749.77562632069578</v>
      </c>
      <c r="M16" s="575"/>
      <c r="N16" s="590">
        <v>0</v>
      </c>
    </row>
    <row r="17" spans="2:14" x14ac:dyDescent="0.2">
      <c r="B17" s="565"/>
      <c r="C17" s="569" t="s">
        <v>81</v>
      </c>
      <c r="D17" s="574">
        <v>20408044</v>
      </c>
      <c r="E17" s="574">
        <v>20402986</v>
      </c>
      <c r="F17" s="574">
        <v>20579247</v>
      </c>
      <c r="G17" s="576"/>
      <c r="H17" s="574">
        <v>21408682</v>
      </c>
      <c r="I17" s="576"/>
      <c r="J17" s="574">
        <v>23270826</v>
      </c>
      <c r="K17" s="576"/>
      <c r="L17" s="574">
        <v>20960878.592927814</v>
      </c>
      <c r="M17" s="576"/>
      <c r="N17" s="574">
        <v>20596746.457406931</v>
      </c>
    </row>
    <row r="18" spans="2:14" x14ac:dyDescent="0.2">
      <c r="B18" s="565"/>
      <c r="C18" s="577" t="s">
        <v>240</v>
      </c>
      <c r="D18" s="578">
        <f>(D16*D13*12)+(D14*D17)</f>
        <v>0</v>
      </c>
      <c r="E18" s="578">
        <f t="shared" ref="E18:L18" si="1">(E16*E13*12)+(E14*E17)</f>
        <v>0</v>
      </c>
      <c r="F18" s="578">
        <f t="shared" si="1"/>
        <v>0</v>
      </c>
      <c r="G18" s="579"/>
      <c r="H18" s="578">
        <f t="shared" si="1"/>
        <v>0</v>
      </c>
      <c r="I18" s="579"/>
      <c r="J18" s="578">
        <f t="shared" si="1"/>
        <v>0</v>
      </c>
      <c r="K18" s="579"/>
      <c r="L18" s="578">
        <f t="shared" si="1"/>
        <v>0</v>
      </c>
      <c r="M18" s="579"/>
      <c r="N18" s="578">
        <f>(N16*N13*12)+(N14*N17)</f>
        <v>0</v>
      </c>
    </row>
    <row r="19" spans="2:14" x14ac:dyDescent="0.2">
      <c r="B19" s="565"/>
      <c r="C19" s="580"/>
      <c r="D19" s="580"/>
      <c r="E19" s="581" t="e">
        <f>(E18-D18)/D18</f>
        <v>#DIV/0!</v>
      </c>
      <c r="F19" s="581" t="e">
        <f>(F18-E18)/E18</f>
        <v>#DIV/0!</v>
      </c>
      <c r="G19" s="582"/>
      <c r="H19" s="581" t="e">
        <f>(H18-F18)/F18</f>
        <v>#DIV/0!</v>
      </c>
      <c r="I19" s="582"/>
      <c r="J19" s="581" t="e">
        <f>(J18-H18)/H18</f>
        <v>#DIV/0!</v>
      </c>
      <c r="K19" s="582"/>
      <c r="L19" s="581" t="e">
        <f>(L18-J18)/J18</f>
        <v>#DIV/0!</v>
      </c>
      <c r="M19" s="582"/>
      <c r="N19" s="581" t="e">
        <f>(N18-L18)/L18</f>
        <v>#DIV/0!</v>
      </c>
    </row>
    <row r="20" spans="2:14" x14ac:dyDescent="0.2">
      <c r="B20" s="565"/>
      <c r="C20" s="571"/>
      <c r="D20" s="571"/>
      <c r="E20" s="571"/>
      <c r="F20" s="571"/>
      <c r="G20" s="573"/>
      <c r="H20" s="571"/>
      <c r="I20" s="573"/>
      <c r="J20" s="571"/>
      <c r="K20" s="573"/>
      <c r="L20" s="571"/>
      <c r="M20" s="573"/>
      <c r="N20" s="571"/>
    </row>
    <row r="21" spans="2:14" x14ac:dyDescent="0.2">
      <c r="B21" s="565" t="s">
        <v>243</v>
      </c>
      <c r="C21" s="569" t="s">
        <v>238</v>
      </c>
      <c r="D21" s="588"/>
      <c r="E21" s="588"/>
      <c r="F21" s="588"/>
      <c r="G21" s="570"/>
      <c r="H21" s="588"/>
      <c r="I21" s="570"/>
      <c r="J21" s="588"/>
      <c r="K21" s="570"/>
      <c r="L21" s="588"/>
      <c r="M21" s="570"/>
      <c r="N21" s="588"/>
    </row>
    <row r="22" spans="2:14" x14ac:dyDescent="0.2">
      <c r="B22" s="565"/>
      <c r="C22" s="569" t="s">
        <v>239</v>
      </c>
      <c r="D22" s="589"/>
      <c r="E22" s="589"/>
      <c r="F22" s="589"/>
      <c r="G22" s="570"/>
      <c r="H22" s="589"/>
      <c r="I22" s="570"/>
      <c r="J22" s="589"/>
      <c r="K22" s="570"/>
      <c r="L22" s="589"/>
      <c r="M22" s="570"/>
      <c r="N22" s="589"/>
    </row>
    <row r="23" spans="2:14" x14ac:dyDescent="0.2">
      <c r="B23" s="565"/>
      <c r="C23" s="571"/>
      <c r="D23" s="571"/>
      <c r="E23" s="571"/>
      <c r="F23" s="571"/>
      <c r="G23" s="573"/>
      <c r="H23" s="571"/>
      <c r="I23" s="573"/>
      <c r="J23" s="571"/>
      <c r="K23" s="573"/>
      <c r="L23" s="571"/>
      <c r="M23" s="573"/>
      <c r="N23" s="571"/>
    </row>
    <row r="24" spans="2:14" x14ac:dyDescent="0.2">
      <c r="B24" s="565"/>
      <c r="C24" s="569" t="s">
        <v>112</v>
      </c>
      <c r="D24" s="590">
        <v>62</v>
      </c>
      <c r="E24" s="590">
        <v>57</v>
      </c>
      <c r="F24" s="590">
        <v>56.5</v>
      </c>
      <c r="G24" s="575"/>
      <c r="H24" s="590">
        <v>52</v>
      </c>
      <c r="I24" s="575"/>
      <c r="J24" s="590">
        <v>47.5</v>
      </c>
      <c r="K24" s="575"/>
      <c r="L24" s="590">
        <v>45.383532629707418</v>
      </c>
      <c r="M24" s="575"/>
      <c r="N24" s="590">
        <v>0</v>
      </c>
    </row>
    <row r="25" spans="2:14" x14ac:dyDescent="0.2">
      <c r="B25" s="565"/>
      <c r="C25" s="569" t="s">
        <v>81</v>
      </c>
      <c r="D25" s="590">
        <v>61309307</v>
      </c>
      <c r="E25" s="590">
        <v>60663508</v>
      </c>
      <c r="F25" s="590">
        <v>55013692</v>
      </c>
      <c r="G25" s="576"/>
      <c r="H25" s="590">
        <v>52447595</v>
      </c>
      <c r="I25" s="576"/>
      <c r="J25" s="590">
        <v>50553990</v>
      </c>
      <c r="K25" s="576"/>
      <c r="L25" s="590">
        <v>60321817.186956406</v>
      </c>
      <c r="M25" s="576"/>
      <c r="N25" s="590">
        <v>59273907.290746339</v>
      </c>
    </row>
    <row r="26" spans="2:14" x14ac:dyDescent="0.2">
      <c r="B26" s="565"/>
      <c r="C26" s="569" t="s">
        <v>82</v>
      </c>
      <c r="D26" s="590">
        <v>157640</v>
      </c>
      <c r="E26" s="590">
        <v>165373.32</v>
      </c>
      <c r="F26" s="590">
        <v>154259.79999999999</v>
      </c>
      <c r="G26" s="576"/>
      <c r="H26" s="590">
        <v>148977.20000000001</v>
      </c>
      <c r="I26" s="576"/>
      <c r="J26" s="590">
        <v>145124.20000000001</v>
      </c>
      <c r="K26" s="576"/>
      <c r="L26" s="590">
        <v>163126.16966948824</v>
      </c>
      <c r="M26" s="576"/>
      <c r="N26" s="590">
        <v>160292.34377532298</v>
      </c>
    </row>
    <row r="27" spans="2:14" x14ac:dyDescent="0.2">
      <c r="B27" s="565"/>
      <c r="C27" s="577" t="s">
        <v>240</v>
      </c>
      <c r="D27" s="578">
        <f>(D24*D21*12)+(D22*D26)</f>
        <v>0</v>
      </c>
      <c r="E27" s="578">
        <f t="shared" ref="E27:N27" si="2">(E24*E21*12)+(E22*E26)</f>
        <v>0</v>
      </c>
      <c r="F27" s="578">
        <f t="shared" si="2"/>
        <v>0</v>
      </c>
      <c r="G27" s="579"/>
      <c r="H27" s="578">
        <f t="shared" si="2"/>
        <v>0</v>
      </c>
      <c r="I27" s="579"/>
      <c r="J27" s="578">
        <f t="shared" si="2"/>
        <v>0</v>
      </c>
      <c r="K27" s="579"/>
      <c r="L27" s="578">
        <f t="shared" si="2"/>
        <v>0</v>
      </c>
      <c r="M27" s="579"/>
      <c r="N27" s="578">
        <f t="shared" si="2"/>
        <v>0</v>
      </c>
    </row>
    <row r="28" spans="2:14" x14ac:dyDescent="0.2">
      <c r="B28" s="565"/>
      <c r="C28" s="580"/>
      <c r="D28" s="580"/>
      <c r="E28" s="581" t="e">
        <f>(E27-D27)/D27</f>
        <v>#DIV/0!</v>
      </c>
      <c r="F28" s="581" t="e">
        <f>(F27-E27)/E27</f>
        <v>#DIV/0!</v>
      </c>
      <c r="G28" s="582"/>
      <c r="H28" s="581" t="e">
        <f>(H27-F27)/F27</f>
        <v>#DIV/0!</v>
      </c>
      <c r="I28" s="582"/>
      <c r="J28" s="581" t="e">
        <f>(J27-H27)/H27</f>
        <v>#DIV/0!</v>
      </c>
      <c r="K28" s="582"/>
      <c r="L28" s="581" t="e">
        <f>(L27-J27)/J27</f>
        <v>#DIV/0!</v>
      </c>
      <c r="M28" s="582"/>
      <c r="N28" s="581" t="e">
        <f>(N27-L27)/L27</f>
        <v>#DIV/0!</v>
      </c>
    </row>
    <row r="29" spans="2:14" x14ac:dyDescent="0.2">
      <c r="B29" s="565" t="s">
        <v>244</v>
      </c>
      <c r="C29" s="571"/>
      <c r="D29" s="571"/>
      <c r="E29" s="571"/>
      <c r="F29" s="571"/>
      <c r="G29" s="573"/>
      <c r="H29" s="571"/>
      <c r="I29" s="573"/>
      <c r="J29" s="571"/>
      <c r="K29" s="573"/>
      <c r="L29" s="571"/>
      <c r="M29" s="573"/>
      <c r="N29" s="571"/>
    </row>
    <row r="30" spans="2:14" x14ac:dyDescent="0.2">
      <c r="B30" s="565"/>
      <c r="C30" s="569" t="s">
        <v>238</v>
      </c>
      <c r="D30" s="588"/>
      <c r="E30" s="588"/>
      <c r="F30" s="588"/>
      <c r="G30" s="570"/>
      <c r="H30" s="588"/>
      <c r="I30" s="570"/>
      <c r="J30" s="588"/>
      <c r="K30" s="570"/>
      <c r="L30" s="588"/>
      <c r="M30" s="570"/>
      <c r="N30" s="588"/>
    </row>
    <row r="31" spans="2:14" x14ac:dyDescent="0.2">
      <c r="B31" s="565"/>
      <c r="C31" s="569" t="s">
        <v>239</v>
      </c>
      <c r="D31" s="589"/>
      <c r="E31" s="589"/>
      <c r="F31" s="589"/>
      <c r="G31" s="570"/>
      <c r="H31" s="589"/>
      <c r="I31" s="570"/>
      <c r="J31" s="589"/>
      <c r="K31" s="570"/>
      <c r="L31" s="589"/>
      <c r="M31" s="570"/>
      <c r="N31" s="589"/>
    </row>
    <row r="32" spans="2:14" x14ac:dyDescent="0.2">
      <c r="B32" s="565"/>
      <c r="C32" s="571"/>
      <c r="D32" s="571"/>
      <c r="E32" s="571"/>
      <c r="F32" s="571"/>
      <c r="G32" s="573"/>
      <c r="H32" s="571"/>
      <c r="I32" s="573"/>
      <c r="J32" s="571"/>
      <c r="K32" s="573"/>
      <c r="L32" s="571"/>
      <c r="M32" s="573"/>
      <c r="N32" s="571"/>
    </row>
    <row r="33" spans="2:14" x14ac:dyDescent="0.2">
      <c r="B33" s="565"/>
      <c r="C33" s="569" t="s">
        <v>112</v>
      </c>
      <c r="D33" s="574">
        <v>1</v>
      </c>
      <c r="E33" s="574">
        <v>1</v>
      </c>
      <c r="F33" s="574">
        <v>1</v>
      </c>
      <c r="G33" s="573"/>
      <c r="H33" s="574">
        <v>1</v>
      </c>
      <c r="I33" s="573"/>
      <c r="J33" s="574">
        <v>1</v>
      </c>
      <c r="K33" s="573"/>
      <c r="L33" s="574">
        <v>1</v>
      </c>
      <c r="M33" s="575"/>
      <c r="N33" s="574">
        <v>0</v>
      </c>
    </row>
    <row r="34" spans="2:14" x14ac:dyDescent="0.2">
      <c r="B34" s="565"/>
      <c r="C34" s="569" t="s">
        <v>81</v>
      </c>
      <c r="D34" s="574">
        <v>16959953</v>
      </c>
      <c r="E34" s="574">
        <v>18608986</v>
      </c>
      <c r="F34" s="574">
        <v>18461823</v>
      </c>
      <c r="G34" s="576"/>
      <c r="H34" s="574">
        <v>17295612</v>
      </c>
      <c r="I34" s="576"/>
      <c r="J34" s="574">
        <v>18344949</v>
      </c>
      <c r="K34" s="576"/>
      <c r="L34" s="574">
        <v>18961919.497176804</v>
      </c>
      <c r="M34" s="576"/>
      <c r="N34" s="574">
        <v>18632513.255474143</v>
      </c>
    </row>
    <row r="35" spans="2:14" x14ac:dyDescent="0.2">
      <c r="B35" s="565"/>
      <c r="C35" s="569" t="s">
        <v>82</v>
      </c>
      <c r="D35" s="574">
        <v>37416</v>
      </c>
      <c r="E35" s="574">
        <v>42815.399999999994</v>
      </c>
      <c r="F35" s="574">
        <v>43263.5</v>
      </c>
      <c r="G35" s="576"/>
      <c r="H35" s="574">
        <v>41432.5</v>
      </c>
      <c r="I35" s="576"/>
      <c r="J35" s="574">
        <v>43591</v>
      </c>
      <c r="K35" s="576"/>
      <c r="L35" s="574">
        <v>44307.588443321561</v>
      </c>
      <c r="M35" s="576"/>
      <c r="N35" s="574">
        <v>43537.877539834393</v>
      </c>
    </row>
    <row r="36" spans="2:14" x14ac:dyDescent="0.2">
      <c r="B36" s="565"/>
      <c r="C36" s="577" t="s">
        <v>240</v>
      </c>
      <c r="D36" s="578">
        <f>(D33*D30*12)+(D31*D35)</f>
        <v>0</v>
      </c>
      <c r="E36" s="578">
        <f>(E33*E30*12)+(E31*E35)</f>
        <v>0</v>
      </c>
      <c r="F36" s="578">
        <f>(F33*F30*12)+(F31*F35)</f>
        <v>0</v>
      </c>
      <c r="G36" s="579"/>
      <c r="H36" s="578">
        <f>(H33*H30*12)+(H31*H35)</f>
        <v>0</v>
      </c>
      <c r="I36" s="579"/>
      <c r="J36" s="578">
        <f>(J33*J30*12)+(J31*J35)</f>
        <v>0</v>
      </c>
      <c r="K36" s="579"/>
      <c r="L36" s="578">
        <f>(L33*L30*12)+(L31*L35)</f>
        <v>0</v>
      </c>
      <c r="M36" s="579"/>
      <c r="N36" s="578">
        <f>(N33*N30*12)+(N31*N35)</f>
        <v>0</v>
      </c>
    </row>
    <row r="37" spans="2:14" x14ac:dyDescent="0.2">
      <c r="B37" s="565"/>
      <c r="C37" s="580"/>
      <c r="D37" s="571"/>
      <c r="E37" s="571"/>
      <c r="F37" s="571"/>
      <c r="G37" s="573"/>
      <c r="H37" s="571"/>
      <c r="I37" s="573"/>
      <c r="J37" s="571"/>
      <c r="K37" s="573"/>
      <c r="L37" s="571"/>
      <c r="M37" s="573"/>
      <c r="N37" s="571"/>
    </row>
    <row r="38" spans="2:14" x14ac:dyDescent="0.2">
      <c r="B38" s="565"/>
      <c r="C38" s="571"/>
      <c r="D38" s="571"/>
      <c r="E38" s="571"/>
      <c r="F38" s="571"/>
      <c r="G38" s="573"/>
      <c r="H38" s="571"/>
      <c r="I38" s="573"/>
      <c r="J38" s="571"/>
      <c r="K38" s="573"/>
      <c r="L38" s="571"/>
      <c r="M38" s="573"/>
      <c r="N38" s="571"/>
    </row>
    <row r="39" spans="2:14" x14ac:dyDescent="0.2">
      <c r="B39" s="565" t="s">
        <v>189</v>
      </c>
      <c r="C39" s="569" t="s">
        <v>238</v>
      </c>
      <c r="D39" s="588"/>
      <c r="E39" s="588"/>
      <c r="F39" s="588"/>
      <c r="G39" s="570"/>
      <c r="H39" s="588"/>
      <c r="I39" s="570"/>
      <c r="J39" s="588"/>
      <c r="K39" s="570"/>
      <c r="L39" s="588"/>
      <c r="M39" s="570"/>
      <c r="N39" s="588"/>
    </row>
    <row r="40" spans="2:14" x14ac:dyDescent="0.2">
      <c r="B40" s="565"/>
      <c r="C40" s="569" t="s">
        <v>239</v>
      </c>
      <c r="D40" s="589"/>
      <c r="E40" s="589"/>
      <c r="F40" s="589"/>
      <c r="G40" s="570"/>
      <c r="H40" s="589"/>
      <c r="I40" s="570"/>
      <c r="J40" s="589"/>
      <c r="K40" s="570"/>
      <c r="L40" s="589"/>
      <c r="M40" s="570"/>
      <c r="N40" s="589"/>
    </row>
    <row r="41" spans="2:14" x14ac:dyDescent="0.2">
      <c r="B41" s="565"/>
      <c r="C41" s="571"/>
      <c r="D41" s="571"/>
      <c r="E41" s="571"/>
      <c r="F41" s="571"/>
      <c r="G41" s="573"/>
      <c r="H41" s="571"/>
      <c r="I41" s="573"/>
      <c r="J41" s="571"/>
      <c r="K41" s="573"/>
      <c r="L41" s="571"/>
      <c r="M41" s="573"/>
      <c r="N41" s="571"/>
    </row>
    <row r="42" spans="2:14" x14ac:dyDescent="0.2">
      <c r="B42" s="565"/>
      <c r="C42" s="569" t="s">
        <v>112</v>
      </c>
      <c r="D42" s="574">
        <v>10</v>
      </c>
      <c r="E42" s="574">
        <v>13</v>
      </c>
      <c r="F42" s="574">
        <v>13</v>
      </c>
      <c r="G42" s="575"/>
      <c r="H42" s="574">
        <v>13</v>
      </c>
      <c r="I42" s="575"/>
      <c r="J42" s="574">
        <v>13</v>
      </c>
      <c r="K42" s="575"/>
      <c r="L42" s="574">
        <v>13</v>
      </c>
      <c r="M42" s="575"/>
      <c r="N42" s="574">
        <v>0</v>
      </c>
    </row>
    <row r="43" spans="2:14" x14ac:dyDescent="0.2">
      <c r="B43" s="565"/>
      <c r="C43" s="569" t="s">
        <v>81</v>
      </c>
      <c r="D43" s="590">
        <v>604378</v>
      </c>
      <c r="E43" s="590">
        <v>548407</v>
      </c>
      <c r="F43" s="590">
        <v>563396</v>
      </c>
      <c r="G43" s="576"/>
      <c r="H43" s="590">
        <v>563839</v>
      </c>
      <c r="I43" s="576"/>
      <c r="J43" s="590">
        <v>562067</v>
      </c>
      <c r="K43" s="576"/>
      <c r="L43" s="590">
        <v>559425.5</v>
      </c>
      <c r="M43" s="576"/>
      <c r="N43" s="590">
        <v>548559.64064566221</v>
      </c>
    </row>
    <row r="44" spans="2:14" x14ac:dyDescent="0.2">
      <c r="B44" s="565"/>
      <c r="C44" s="577" t="s">
        <v>240</v>
      </c>
      <c r="D44" s="578">
        <f>(D42*D39*12)+(D40*D43)</f>
        <v>0</v>
      </c>
      <c r="E44" s="578">
        <f t="shared" ref="E44:L44" si="3">(E42*E39*12)+(E40*E43)</f>
        <v>0</v>
      </c>
      <c r="F44" s="578">
        <f t="shared" si="3"/>
        <v>0</v>
      </c>
      <c r="G44" s="579"/>
      <c r="H44" s="578">
        <f t="shared" si="3"/>
        <v>0</v>
      </c>
      <c r="I44" s="579"/>
      <c r="J44" s="578">
        <f t="shared" si="3"/>
        <v>0</v>
      </c>
      <c r="K44" s="579"/>
      <c r="L44" s="578">
        <f t="shared" si="3"/>
        <v>0</v>
      </c>
      <c r="M44" s="579"/>
      <c r="N44" s="578">
        <f>(N42*N39*12)+(N40*N43)</f>
        <v>0</v>
      </c>
    </row>
    <row r="45" spans="2:14" x14ac:dyDescent="0.2">
      <c r="B45" s="565"/>
      <c r="C45" s="580"/>
      <c r="D45" s="580"/>
      <c r="E45" s="581" t="e">
        <f>(E44-D44)/D44</f>
        <v>#DIV/0!</v>
      </c>
      <c r="F45" s="581" t="e">
        <f>(F44-E44)/E44</f>
        <v>#DIV/0!</v>
      </c>
      <c r="G45" s="582"/>
      <c r="H45" s="581" t="e">
        <f>(H44-F44)/F44</f>
        <v>#DIV/0!</v>
      </c>
      <c r="I45" s="582"/>
      <c r="J45" s="581" t="e">
        <f>(J44-H44)/H44</f>
        <v>#DIV/0!</v>
      </c>
      <c r="K45" s="582"/>
      <c r="L45" s="581" t="e">
        <f>(L44-J44)/J44</f>
        <v>#DIV/0!</v>
      </c>
      <c r="M45" s="582"/>
      <c r="N45" s="581" t="e">
        <f>(N44-L44)/L44</f>
        <v>#DIV/0!</v>
      </c>
    </row>
    <row r="46" spans="2:14" x14ac:dyDescent="0.2">
      <c r="B46" s="565"/>
      <c r="C46" s="571"/>
      <c r="D46" s="571"/>
      <c r="E46" s="571"/>
      <c r="F46" s="571"/>
      <c r="G46" s="573"/>
      <c r="H46" s="571"/>
      <c r="I46" s="573"/>
      <c r="J46" s="571"/>
      <c r="K46" s="573"/>
      <c r="L46" s="571"/>
      <c r="M46" s="573"/>
      <c r="N46" s="571"/>
    </row>
    <row r="47" spans="2:14" x14ac:dyDescent="0.2">
      <c r="B47" s="565" t="s">
        <v>245</v>
      </c>
      <c r="C47" s="569" t="s">
        <v>238</v>
      </c>
      <c r="D47" s="588"/>
      <c r="E47" s="588"/>
      <c r="F47" s="588"/>
      <c r="G47" s="570"/>
      <c r="H47" s="588"/>
      <c r="I47" s="570"/>
      <c r="J47" s="588"/>
      <c r="K47" s="570"/>
      <c r="L47" s="588"/>
      <c r="M47" s="570"/>
      <c r="N47" s="588"/>
    </row>
    <row r="48" spans="2:14" x14ac:dyDescent="0.2">
      <c r="B48" s="583"/>
      <c r="C48" s="569" t="s">
        <v>239</v>
      </c>
      <c r="D48" s="589"/>
      <c r="E48" s="589"/>
      <c r="F48" s="589"/>
      <c r="G48" s="570"/>
      <c r="H48" s="589"/>
      <c r="I48" s="570"/>
      <c r="J48" s="589"/>
      <c r="K48" s="570"/>
      <c r="L48" s="589"/>
      <c r="M48" s="570"/>
      <c r="N48" s="589"/>
    </row>
    <row r="49" spans="2:14" x14ac:dyDescent="0.2">
      <c r="B49" s="565"/>
      <c r="C49" s="571"/>
      <c r="D49" s="571"/>
      <c r="E49" s="571"/>
      <c r="F49" s="571"/>
      <c r="G49" s="573"/>
      <c r="H49" s="571"/>
      <c r="I49" s="573"/>
      <c r="J49" s="571"/>
      <c r="K49" s="573"/>
      <c r="L49" s="571"/>
      <c r="M49" s="573"/>
      <c r="N49" s="571"/>
    </row>
    <row r="50" spans="2:14" x14ac:dyDescent="0.2">
      <c r="B50" s="565"/>
      <c r="C50" s="569" t="s">
        <v>112</v>
      </c>
      <c r="D50" s="590">
        <v>31</v>
      </c>
      <c r="E50" s="590">
        <v>31</v>
      </c>
      <c r="F50" s="590">
        <v>31</v>
      </c>
      <c r="G50" s="575"/>
      <c r="H50" s="590">
        <v>31</v>
      </c>
      <c r="I50" s="575"/>
      <c r="J50" s="590">
        <v>29</v>
      </c>
      <c r="K50" s="575"/>
      <c r="L50" s="590">
        <v>28.759248664054667</v>
      </c>
      <c r="M50" s="575"/>
      <c r="N50" s="590">
        <v>28.520495990376901</v>
      </c>
    </row>
    <row r="51" spans="2:14" x14ac:dyDescent="0.2">
      <c r="B51" s="565"/>
      <c r="C51" s="569" t="s">
        <v>81</v>
      </c>
      <c r="D51" s="590">
        <v>37461</v>
      </c>
      <c r="E51" s="590">
        <v>40676</v>
      </c>
      <c r="F51" s="590">
        <v>39274</v>
      </c>
      <c r="G51" s="576"/>
      <c r="H51" s="590">
        <v>39270</v>
      </c>
      <c r="I51" s="576"/>
      <c r="J51" s="590">
        <v>39303</v>
      </c>
      <c r="K51" s="576"/>
      <c r="L51" s="590">
        <v>39335.85434764708</v>
      </c>
      <c r="M51" s="576"/>
      <c r="N51" s="590">
        <v>38251.609932333376</v>
      </c>
    </row>
    <row r="52" spans="2:14" x14ac:dyDescent="0.2">
      <c r="B52" s="565"/>
      <c r="C52" s="569" t="s">
        <v>82</v>
      </c>
      <c r="D52" s="574">
        <v>104</v>
      </c>
      <c r="E52" s="574">
        <v>112.99000000000002</v>
      </c>
      <c r="F52" s="574">
        <v>109.09</v>
      </c>
      <c r="G52" s="576"/>
      <c r="H52" s="574">
        <v>109.08</v>
      </c>
      <c r="I52" s="576"/>
      <c r="J52" s="574">
        <v>109.18</v>
      </c>
      <c r="K52" s="576"/>
      <c r="L52" s="574">
        <v>109.2644934298052</v>
      </c>
      <c r="M52" s="576"/>
      <c r="N52" s="574">
        <v>106.25275213784484</v>
      </c>
    </row>
    <row r="53" spans="2:14" x14ac:dyDescent="0.2">
      <c r="B53" s="565"/>
      <c r="C53" s="577" t="s">
        <v>240</v>
      </c>
      <c r="D53" s="578">
        <f>(D49*D46*12)+(D47*D51)</f>
        <v>0</v>
      </c>
      <c r="E53" s="578">
        <f>(E49*E46*12)+(E47*E51)</f>
        <v>0</v>
      </c>
      <c r="F53" s="578">
        <f>(F49*F46*12)+(F47*F51)</f>
        <v>0</v>
      </c>
      <c r="G53" s="579"/>
      <c r="H53" s="578">
        <f>(H49*H46*12)+(H47*H51)</f>
        <v>0</v>
      </c>
      <c r="I53" s="579"/>
      <c r="J53" s="578">
        <f>(J49*J46*12)+(J47*J51)</f>
        <v>0</v>
      </c>
      <c r="K53" s="579"/>
      <c r="L53" s="578">
        <f>(L49*L46*12)+(L47*L51)</f>
        <v>0</v>
      </c>
      <c r="M53" s="579"/>
      <c r="N53" s="578">
        <f>(N49*N46*12)+(N47*N51)</f>
        <v>0</v>
      </c>
    </row>
    <row r="54" spans="2:14" x14ac:dyDescent="0.2">
      <c r="B54" s="565"/>
      <c r="C54" s="577"/>
      <c r="D54" s="578"/>
      <c r="E54" s="578"/>
      <c r="F54" s="578"/>
      <c r="G54" s="579"/>
      <c r="H54" s="578"/>
      <c r="I54" s="579"/>
      <c r="J54" s="578"/>
      <c r="K54" s="579"/>
      <c r="L54" s="578"/>
      <c r="M54" s="579"/>
      <c r="N54" s="578"/>
    </row>
    <row r="55" spans="2:14" x14ac:dyDescent="0.2">
      <c r="B55" s="565"/>
      <c r="C55" s="580"/>
      <c r="D55" s="571"/>
      <c r="E55" s="571"/>
      <c r="F55" s="571"/>
      <c r="G55" s="573"/>
      <c r="H55" s="571"/>
      <c r="I55" s="573"/>
      <c r="J55" s="571"/>
      <c r="K55" s="573"/>
      <c r="L55" s="571"/>
      <c r="M55" s="573"/>
      <c r="N55" s="571"/>
    </row>
    <row r="56" spans="2:14" x14ac:dyDescent="0.2">
      <c r="B56" s="565"/>
      <c r="C56" s="571"/>
      <c r="D56" s="571"/>
      <c r="E56" s="571"/>
      <c r="F56" s="571"/>
      <c r="G56" s="573"/>
      <c r="H56" s="571"/>
      <c r="I56" s="573"/>
      <c r="J56" s="571"/>
      <c r="K56" s="573"/>
      <c r="L56" s="571"/>
      <c r="M56" s="573"/>
      <c r="N56" s="571"/>
    </row>
    <row r="57" spans="2:14" x14ac:dyDescent="0.2">
      <c r="B57" s="565"/>
      <c r="C57" s="571"/>
      <c r="D57" s="571"/>
      <c r="E57" s="571"/>
      <c r="F57" s="571"/>
      <c r="G57" s="573"/>
      <c r="H57" s="571"/>
      <c r="I57" s="573"/>
      <c r="J57" s="571"/>
      <c r="K57" s="573"/>
      <c r="L57" s="571"/>
      <c r="M57" s="573"/>
      <c r="N57" s="571"/>
    </row>
    <row r="58" spans="2:14" x14ac:dyDescent="0.2">
      <c r="B58" s="565" t="s">
        <v>241</v>
      </c>
      <c r="C58" s="569" t="s">
        <v>238</v>
      </c>
      <c r="D58" s="588"/>
      <c r="E58" s="588"/>
      <c r="F58" s="588"/>
      <c r="G58" s="570"/>
      <c r="H58" s="588"/>
      <c r="I58" s="570"/>
      <c r="J58" s="588"/>
      <c r="K58" s="570"/>
      <c r="L58" s="588"/>
      <c r="M58" s="570"/>
      <c r="N58" s="588"/>
    </row>
    <row r="59" spans="2:14" x14ac:dyDescent="0.2">
      <c r="B59" s="565"/>
      <c r="C59" s="569" t="s">
        <v>239</v>
      </c>
      <c r="D59" s="589"/>
      <c r="E59" s="589"/>
      <c r="F59" s="589"/>
      <c r="G59" s="570"/>
      <c r="H59" s="589"/>
      <c r="I59" s="570"/>
      <c r="J59" s="589"/>
      <c r="K59" s="570"/>
      <c r="L59" s="589"/>
      <c r="M59" s="570"/>
      <c r="N59" s="589"/>
    </row>
    <row r="60" spans="2:14" x14ac:dyDescent="0.2">
      <c r="B60" s="565"/>
      <c r="C60" s="571"/>
      <c r="D60" s="571"/>
      <c r="E60" s="571"/>
      <c r="F60" s="571"/>
      <c r="G60" s="573"/>
      <c r="H60" s="571"/>
      <c r="I60" s="573"/>
      <c r="J60" s="571"/>
      <c r="K60" s="573"/>
      <c r="L60" s="571"/>
      <c r="M60" s="573"/>
      <c r="N60" s="571"/>
    </row>
    <row r="61" spans="2:14" x14ac:dyDescent="0.2">
      <c r="B61" s="571"/>
      <c r="C61" s="569" t="s">
        <v>112</v>
      </c>
      <c r="D61" s="590">
        <v>1738</v>
      </c>
      <c r="E61" s="590">
        <v>1696</v>
      </c>
      <c r="F61" s="590">
        <v>1705</v>
      </c>
      <c r="G61" s="575"/>
      <c r="H61" s="590">
        <v>1706.5</v>
      </c>
      <c r="I61" s="575"/>
      <c r="J61" s="590">
        <v>1704.5</v>
      </c>
      <c r="K61" s="575"/>
      <c r="L61" s="590">
        <v>1710.403456367013</v>
      </c>
      <c r="M61" s="575"/>
      <c r="N61" s="590">
        <v>1716.3273590802137</v>
      </c>
    </row>
    <row r="62" spans="2:14" x14ac:dyDescent="0.2">
      <c r="B62" s="571"/>
      <c r="C62" s="569" t="s">
        <v>81</v>
      </c>
      <c r="D62" s="590">
        <v>604378</v>
      </c>
      <c r="E62" s="590">
        <v>548407</v>
      </c>
      <c r="F62" s="590">
        <v>563396</v>
      </c>
      <c r="G62" s="576"/>
      <c r="H62" s="590">
        <v>563839</v>
      </c>
      <c r="I62" s="576"/>
      <c r="J62" s="590">
        <v>562067</v>
      </c>
      <c r="K62" s="576"/>
      <c r="L62" s="590">
        <v>559425.5</v>
      </c>
      <c r="M62" s="576"/>
      <c r="N62" s="590">
        <v>548559.64064566221</v>
      </c>
    </row>
    <row r="63" spans="2:14" x14ac:dyDescent="0.2">
      <c r="B63" s="571"/>
      <c r="C63" s="569" t="s">
        <v>82</v>
      </c>
      <c r="D63" s="574">
        <v>3162</v>
      </c>
      <c r="E63" s="574">
        <v>3174</v>
      </c>
      <c r="F63" s="574">
        <v>3151.1999999999994</v>
      </c>
      <c r="G63" s="576"/>
      <c r="H63" s="574">
        <v>2727.2</v>
      </c>
      <c r="I63" s="576"/>
      <c r="J63" s="574">
        <v>1555.2</v>
      </c>
      <c r="K63" s="576"/>
      <c r="L63" s="574">
        <v>1560.5863627703009</v>
      </c>
      <c r="M63" s="576"/>
      <c r="N63" s="574">
        <v>1560.5863627703009</v>
      </c>
    </row>
    <row r="64" spans="2:14" x14ac:dyDescent="0.2">
      <c r="B64" s="571"/>
      <c r="C64" s="577" t="s">
        <v>240</v>
      </c>
      <c r="D64" s="578">
        <f t="shared" ref="D64:L64" si="4">(D61*D59*12)+(D59*D63)</f>
        <v>0</v>
      </c>
      <c r="E64" s="578">
        <f t="shared" si="4"/>
        <v>0</v>
      </c>
      <c r="F64" s="578">
        <f t="shared" si="4"/>
        <v>0</v>
      </c>
      <c r="G64" s="579"/>
      <c r="H64" s="578">
        <f t="shared" si="4"/>
        <v>0</v>
      </c>
      <c r="I64" s="579"/>
      <c r="J64" s="578">
        <f t="shared" si="4"/>
        <v>0</v>
      </c>
      <c r="K64" s="579"/>
      <c r="L64" s="578">
        <f t="shared" si="4"/>
        <v>0</v>
      </c>
      <c r="M64" s="579"/>
      <c r="N64" s="578">
        <f>(N61*N59*12)+(N59*N63)</f>
        <v>0</v>
      </c>
    </row>
    <row r="65" spans="2:14" x14ac:dyDescent="0.2">
      <c r="B65" s="571"/>
      <c r="C65" s="580"/>
      <c r="D65" s="580"/>
      <c r="E65" s="581" t="e">
        <f>(E64-D64)/D64</f>
        <v>#DIV/0!</v>
      </c>
      <c r="F65" s="581" t="e">
        <f>(F64-E64)/E64</f>
        <v>#DIV/0!</v>
      </c>
      <c r="G65" s="582"/>
      <c r="H65" s="581" t="e">
        <f>(H64-F64)/F64</f>
        <v>#DIV/0!</v>
      </c>
      <c r="I65" s="582"/>
      <c r="J65" s="581" t="e">
        <f>(J64-H64)/H64</f>
        <v>#DIV/0!</v>
      </c>
      <c r="K65" s="582"/>
      <c r="L65" s="581" t="e">
        <f>(L64-J64)/J64</f>
        <v>#DIV/0!</v>
      </c>
      <c r="M65" s="582"/>
      <c r="N65" s="581" t="e">
        <f>(N64-L64)/L64</f>
        <v>#DIV/0!</v>
      </c>
    </row>
    <row r="66" spans="2:14" x14ac:dyDescent="0.2">
      <c r="B66" s="571"/>
      <c r="C66" s="571"/>
      <c r="D66" s="571"/>
      <c r="E66" s="571"/>
      <c r="F66" s="571"/>
      <c r="G66" s="573"/>
      <c r="H66" s="571"/>
      <c r="I66" s="573"/>
      <c r="J66" s="571"/>
      <c r="K66" s="573"/>
      <c r="L66" s="571"/>
      <c r="M66" s="573"/>
      <c r="N66" s="571"/>
    </row>
    <row r="67" spans="2:14" x14ac:dyDescent="0.2">
      <c r="B67" s="565" t="s">
        <v>83</v>
      </c>
      <c r="C67" s="566" t="s">
        <v>112</v>
      </c>
      <c r="D67" s="584">
        <f>D8+D16+D24+D33+D42+D50+D61</f>
        <v>8438</v>
      </c>
      <c r="E67" s="584">
        <f>E8+E16+E24+E33+E42+E50+E61</f>
        <v>8418.5</v>
      </c>
      <c r="F67" s="584">
        <f>F8+F16+F24+F33+F42+F50+F61</f>
        <v>8468.5</v>
      </c>
      <c r="G67" s="575"/>
      <c r="H67" s="584">
        <f>H8+H16+H24+H33+H42+H50+H61</f>
        <v>8493.5</v>
      </c>
      <c r="I67" s="575"/>
      <c r="J67" s="584">
        <f>J8+J16+J24+J33+J42+J50+J61</f>
        <v>8524</v>
      </c>
      <c r="K67" s="575"/>
      <c r="L67" s="584">
        <f>L8+L16+L24+L33+L42+L50+L61</f>
        <v>8595.7886971570915</v>
      </c>
      <c r="M67" s="575"/>
      <c r="N67" s="584">
        <f>N8+N16+N24+N33+N42+N50+N61</f>
        <v>1744.8478550705906</v>
      </c>
    </row>
    <row r="68" spans="2:14" x14ac:dyDescent="0.2">
      <c r="B68" s="565"/>
      <c r="C68" s="566" t="s">
        <v>81</v>
      </c>
      <c r="D68" s="584">
        <f>D9+D17+D25+D34+D43+D50+D62</f>
        <v>145695918</v>
      </c>
      <c r="E68" s="584">
        <f t="shared" ref="E68:N68" si="5">E9+E17+E25+E34+E43+E50+E62</f>
        <v>147281999</v>
      </c>
      <c r="F68" s="584">
        <f t="shared" si="5"/>
        <v>141360840</v>
      </c>
      <c r="G68" s="576"/>
      <c r="H68" s="584">
        <f t="shared" si="5"/>
        <v>137376525.59999999</v>
      </c>
      <c r="I68" s="576"/>
      <c r="J68" s="584">
        <f t="shared" si="5"/>
        <v>138190396</v>
      </c>
      <c r="K68" s="576"/>
      <c r="L68" s="584">
        <f t="shared" si="5"/>
        <v>146870620.16559488</v>
      </c>
      <c r="M68" s="576"/>
      <c r="N68" s="584">
        <f t="shared" si="5"/>
        <v>144316890.69406196</v>
      </c>
    </row>
    <row r="69" spans="2:14" x14ac:dyDescent="0.2">
      <c r="B69" s="565"/>
      <c r="C69" s="566" t="s">
        <v>82</v>
      </c>
      <c r="D69" s="584">
        <f t="shared" ref="D69:N69" si="6">D26+D35+D52+D63</f>
        <v>198322</v>
      </c>
      <c r="E69" s="584">
        <f t="shared" si="6"/>
        <v>211475.71</v>
      </c>
      <c r="F69" s="584">
        <f t="shared" si="6"/>
        <v>200783.59</v>
      </c>
      <c r="G69" s="576"/>
      <c r="H69" s="584">
        <f t="shared" si="6"/>
        <v>193245.98</v>
      </c>
      <c r="I69" s="576"/>
      <c r="J69" s="584">
        <f t="shared" si="6"/>
        <v>190379.58000000002</v>
      </c>
      <c r="K69" s="576"/>
      <c r="L69" s="584">
        <f t="shared" si="6"/>
        <v>209103.60896900989</v>
      </c>
      <c r="M69" s="576"/>
      <c r="N69" s="584">
        <f t="shared" si="6"/>
        <v>205497.0604300655</v>
      </c>
    </row>
    <row r="70" spans="2:14" x14ac:dyDescent="0.2">
      <c r="B70" s="565"/>
      <c r="C70" s="585"/>
      <c r="D70" s="586">
        <f>D10+D18+D27+D44+D64</f>
        <v>0</v>
      </c>
      <c r="E70" s="586">
        <f t="shared" ref="E70:L70" si="7">E10+E18+E27+E44+E64</f>
        <v>0</v>
      </c>
      <c r="F70" s="586">
        <f t="shared" si="7"/>
        <v>0</v>
      </c>
      <c r="G70" s="587"/>
      <c r="H70" s="586">
        <f t="shared" si="7"/>
        <v>0</v>
      </c>
      <c r="I70" s="587"/>
      <c r="J70" s="586">
        <f t="shared" si="7"/>
        <v>0</v>
      </c>
      <c r="K70" s="587"/>
      <c r="L70" s="586">
        <f t="shared" si="7"/>
        <v>0</v>
      </c>
      <c r="M70" s="587"/>
      <c r="N70" s="586">
        <f>N10+N18+N27+N44+N64</f>
        <v>0</v>
      </c>
    </row>
  </sheetData>
  <sheetProtection selectLockedCells="1" selectUnlockedCells="1"/>
  <mergeCells count="1">
    <mergeCell ref="B2:L2"/>
  </mergeCells>
  <pageMargins left="0.7" right="0.7" top="0.75" bottom="0.75" header="0.3" footer="0.3"/>
  <pageSetup orientation="portrait" horizontalDpi="4294967292"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J13"/>
  <sheetViews>
    <sheetView workbookViewId="0">
      <selection activeCell="O53" sqref="O53"/>
    </sheetView>
  </sheetViews>
  <sheetFormatPr defaultRowHeight="12.75" x14ac:dyDescent="0.2"/>
  <sheetData>
    <row r="1" spans="1:10" x14ac:dyDescent="0.2">
      <c r="B1">
        <v>2008</v>
      </c>
      <c r="C1">
        <v>2009</v>
      </c>
      <c r="D1">
        <v>2010</v>
      </c>
      <c r="E1">
        <v>2011</v>
      </c>
      <c r="F1">
        <v>2012</v>
      </c>
      <c r="G1">
        <v>2013</v>
      </c>
      <c r="H1">
        <v>2014</v>
      </c>
      <c r="I1">
        <v>2015</v>
      </c>
      <c r="J1">
        <v>2016</v>
      </c>
    </row>
    <row r="2" spans="1:10" x14ac:dyDescent="0.2">
      <c r="A2" t="s">
        <v>78</v>
      </c>
      <c r="B2">
        <v>15082878.82</v>
      </c>
      <c r="C2">
        <v>15005142.689999999</v>
      </c>
      <c r="D2">
        <v>14435761.82</v>
      </c>
      <c r="E2">
        <v>14553973.74</v>
      </c>
      <c r="F2">
        <v>14585568.310000001</v>
      </c>
      <c r="G2">
        <v>14721308.310000001</v>
      </c>
      <c r="H2">
        <v>14721918.530000001</v>
      </c>
      <c r="I2">
        <v>13987815.10923077</v>
      </c>
      <c r="J2">
        <v>13174537.98</v>
      </c>
    </row>
    <row r="3" spans="1:10" x14ac:dyDescent="0.2">
      <c r="A3" t="s">
        <v>77</v>
      </c>
      <c r="B3">
        <v>14030875.92</v>
      </c>
      <c r="C3">
        <v>13197883.27</v>
      </c>
      <c r="D3">
        <v>12846380.85</v>
      </c>
      <c r="E3">
        <v>12993844.84</v>
      </c>
      <c r="F3">
        <v>13424711.959999999</v>
      </c>
      <c r="G3">
        <v>13334088.129999999</v>
      </c>
      <c r="H3">
        <v>12985802.09</v>
      </c>
      <c r="I3">
        <v>13128236.121538462</v>
      </c>
      <c r="J3">
        <v>12284962.16</v>
      </c>
    </row>
    <row r="4" spans="1:10" x14ac:dyDescent="0.2">
      <c r="A4" t="s">
        <v>76</v>
      </c>
      <c r="B4">
        <v>14321155.43</v>
      </c>
      <c r="C4">
        <v>13841636.359999999</v>
      </c>
      <c r="D4">
        <v>13466440.77</v>
      </c>
      <c r="E4">
        <v>13683974.060000001</v>
      </c>
      <c r="F4">
        <v>13395036.780000001</v>
      </c>
      <c r="G4">
        <v>13602922.4</v>
      </c>
      <c r="H4">
        <v>13614018.57</v>
      </c>
      <c r="I4">
        <v>13204373.219230771</v>
      </c>
      <c r="J4">
        <v>12300226.49</v>
      </c>
    </row>
    <row r="5" spans="1:10" x14ac:dyDescent="0.2">
      <c r="A5" t="s">
        <v>75</v>
      </c>
      <c r="B5">
        <v>12696080.17</v>
      </c>
      <c r="C5">
        <v>12430879.66</v>
      </c>
      <c r="D5">
        <v>11695829.130000001</v>
      </c>
      <c r="E5">
        <v>11913552.879999999</v>
      </c>
      <c r="F5">
        <v>12290763.689999999</v>
      </c>
      <c r="G5">
        <v>12506882.4</v>
      </c>
      <c r="H5">
        <v>11649899.119999999</v>
      </c>
      <c r="I5">
        <v>11410552.486153847</v>
      </c>
      <c r="J5">
        <v>11457704.949999999</v>
      </c>
    </row>
    <row r="6" spans="1:10" x14ac:dyDescent="0.2">
      <c r="A6" t="s">
        <v>74</v>
      </c>
      <c r="B6">
        <v>12213415.609999999</v>
      </c>
      <c r="C6">
        <v>11568813.369999999</v>
      </c>
      <c r="D6">
        <v>12039396.98</v>
      </c>
      <c r="E6">
        <v>11611512.92</v>
      </c>
      <c r="F6">
        <v>12220935.48</v>
      </c>
      <c r="G6">
        <v>12028746.640000001</v>
      </c>
      <c r="H6">
        <v>11257042.020000001</v>
      </c>
      <c r="I6">
        <v>10958434.445384616</v>
      </c>
      <c r="J6">
        <v>11116983.68</v>
      </c>
    </row>
    <row r="7" spans="1:10" x14ac:dyDescent="0.2">
      <c r="A7" t="s">
        <v>73</v>
      </c>
      <c r="B7">
        <v>13029843.68</v>
      </c>
      <c r="C7">
        <v>12161991.470000001</v>
      </c>
      <c r="D7">
        <v>12588185.24</v>
      </c>
      <c r="E7">
        <v>12209704.779999999</v>
      </c>
      <c r="F7">
        <v>12944227.84</v>
      </c>
      <c r="G7">
        <v>12310607.66</v>
      </c>
      <c r="H7">
        <v>11926426.470000001</v>
      </c>
      <c r="I7">
        <v>11142226.466923079</v>
      </c>
      <c r="J7">
        <v>11688877.680000002</v>
      </c>
    </row>
    <row r="8" spans="1:10" x14ac:dyDescent="0.2">
      <c r="A8" t="s">
        <v>72</v>
      </c>
      <c r="B8">
        <v>13562922.75</v>
      </c>
      <c r="C8">
        <v>11877269.390000001</v>
      </c>
      <c r="D8">
        <v>13590961.939999999</v>
      </c>
      <c r="E8">
        <v>13541155.949999999</v>
      </c>
      <c r="F8">
        <v>14085492.18</v>
      </c>
      <c r="G8">
        <v>13491261.029999999</v>
      </c>
      <c r="H8">
        <v>12057150.84</v>
      </c>
      <c r="I8">
        <v>12019416.241538461</v>
      </c>
      <c r="J8">
        <v>12484094.970000001</v>
      </c>
    </row>
    <row r="9" spans="1:10" x14ac:dyDescent="0.2">
      <c r="A9" t="s">
        <v>71</v>
      </c>
      <c r="B9">
        <v>12738355.33</v>
      </c>
      <c r="C9">
        <v>12331632.6</v>
      </c>
      <c r="D9">
        <v>13165945.18</v>
      </c>
      <c r="E9">
        <v>12787062.35</v>
      </c>
      <c r="F9">
        <v>12866836.789999999</v>
      </c>
      <c r="G9">
        <v>12274415.560000001</v>
      </c>
      <c r="H9">
        <v>11607472.4</v>
      </c>
      <c r="I9">
        <v>11373887.692307692</v>
      </c>
      <c r="J9">
        <v>13068297.119999999</v>
      </c>
    </row>
    <row r="10" spans="1:10" x14ac:dyDescent="0.2">
      <c r="A10" t="s">
        <v>70</v>
      </c>
      <c r="B10">
        <v>13005195.66</v>
      </c>
      <c r="C10">
        <v>12154249.630000001</v>
      </c>
      <c r="D10">
        <v>12387488.950000001</v>
      </c>
      <c r="E10">
        <v>12157224.200000001</v>
      </c>
      <c r="F10">
        <v>11419289.079999998</v>
      </c>
      <c r="G10">
        <v>11911110.810000001</v>
      </c>
      <c r="H10">
        <v>11603450.52</v>
      </c>
      <c r="I10">
        <v>11797719.496923078</v>
      </c>
      <c r="J10">
        <v>11716455.57</v>
      </c>
    </row>
    <row r="11" spans="1:10" x14ac:dyDescent="0.2">
      <c r="A11" t="s">
        <v>69</v>
      </c>
      <c r="B11">
        <v>13176115.98</v>
      </c>
      <c r="C11">
        <v>12554878.109999999</v>
      </c>
      <c r="D11">
        <v>12591988.770000001</v>
      </c>
      <c r="E11">
        <v>12479238.459999999</v>
      </c>
      <c r="F11">
        <v>12504352.99</v>
      </c>
      <c r="G11">
        <v>12332005.879999999</v>
      </c>
      <c r="H11">
        <v>11860236.59</v>
      </c>
      <c r="I11">
        <v>11426239.485384615</v>
      </c>
      <c r="J11">
        <v>11516592.26</v>
      </c>
    </row>
    <row r="12" spans="1:10" x14ac:dyDescent="0.2">
      <c r="A12" t="s">
        <v>68</v>
      </c>
      <c r="B12">
        <v>13573281.85</v>
      </c>
      <c r="C12">
        <v>12741915.07</v>
      </c>
      <c r="D12">
        <v>13323219.41</v>
      </c>
      <c r="E12">
        <v>12750868.540000001</v>
      </c>
      <c r="F12">
        <v>13335727.779999999</v>
      </c>
      <c r="G12">
        <v>12760586.09</v>
      </c>
      <c r="H12">
        <v>12586538.52</v>
      </c>
      <c r="I12">
        <v>11667095.193846155</v>
      </c>
      <c r="J12">
        <v>11833726.34</v>
      </c>
    </row>
    <row r="13" spans="1:10" x14ac:dyDescent="0.2">
      <c r="A13" t="s">
        <v>67</v>
      </c>
      <c r="B13">
        <v>14286723.92</v>
      </c>
      <c r="C13">
        <v>14424067.26</v>
      </c>
      <c r="D13">
        <v>13800475.360000001</v>
      </c>
      <c r="E13">
        <v>13525392.880000001</v>
      </c>
      <c r="F13">
        <v>13423622.510000002</v>
      </c>
      <c r="G13">
        <v>13566672.9</v>
      </c>
      <c r="H13">
        <v>12891166.51</v>
      </c>
      <c r="I13">
        <v>12145135.487692308</v>
      </c>
      <c r="J13">
        <v>12494116.59</v>
      </c>
    </row>
  </sheetData>
  <sheetProtection selectLockedCells="1" selectUnlockedCells="1"/>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B2:X34"/>
  <sheetViews>
    <sheetView topLeftCell="J10" workbookViewId="0">
      <selection activeCell="X21" sqref="X21:X32"/>
    </sheetView>
  </sheetViews>
  <sheetFormatPr defaultColWidth="8.83203125" defaultRowHeight="12.75" x14ac:dyDescent="0.2"/>
  <cols>
    <col min="1" max="16384" width="8.83203125" style="12"/>
  </cols>
  <sheetData>
    <row r="2" spans="2:24" x14ac:dyDescent="0.2">
      <c r="B2" s="734"/>
      <c r="C2" s="734">
        <v>1997</v>
      </c>
      <c r="D2" s="734">
        <v>1998</v>
      </c>
      <c r="E2" s="734">
        <v>1999</v>
      </c>
      <c r="F2" s="734">
        <v>2000</v>
      </c>
      <c r="G2" s="734">
        <v>2001</v>
      </c>
      <c r="H2" s="734">
        <v>2002</v>
      </c>
      <c r="I2" s="734">
        <v>2003</v>
      </c>
      <c r="J2" s="734">
        <v>2004</v>
      </c>
      <c r="K2" s="734">
        <v>2005</v>
      </c>
      <c r="L2" s="734">
        <v>2006</v>
      </c>
      <c r="M2" s="734">
        <v>2007</v>
      </c>
      <c r="N2" s="734">
        <v>2008</v>
      </c>
      <c r="O2" s="734">
        <v>2009</v>
      </c>
      <c r="P2" s="734">
        <v>2010</v>
      </c>
      <c r="Q2" s="734">
        <v>2011</v>
      </c>
      <c r="R2" s="734">
        <v>2012</v>
      </c>
      <c r="S2" s="734">
        <v>2013</v>
      </c>
      <c r="T2" s="734">
        <v>2014</v>
      </c>
      <c r="U2" s="734">
        <v>2015</v>
      </c>
      <c r="V2" s="734">
        <v>2016</v>
      </c>
      <c r="W2" s="734" t="s">
        <v>296</v>
      </c>
      <c r="X2" s="734" t="s">
        <v>297</v>
      </c>
    </row>
    <row r="3" spans="2:24" x14ac:dyDescent="0.2">
      <c r="B3" s="734"/>
      <c r="C3" s="734"/>
      <c r="D3" s="734"/>
      <c r="E3" s="734"/>
      <c r="F3" s="734"/>
      <c r="G3" s="734"/>
      <c r="H3" s="734"/>
      <c r="I3" s="734"/>
      <c r="J3" s="734"/>
      <c r="K3" s="734"/>
      <c r="L3" s="734"/>
      <c r="M3" s="734"/>
      <c r="N3" s="734"/>
      <c r="O3" s="734"/>
      <c r="P3" s="734"/>
      <c r="Q3" s="734"/>
      <c r="R3" s="734"/>
      <c r="S3" s="734"/>
      <c r="T3" s="734"/>
      <c r="U3" s="734"/>
      <c r="V3" s="734"/>
      <c r="W3" s="734"/>
      <c r="X3" s="734"/>
    </row>
    <row r="4" spans="2:24" x14ac:dyDescent="0.2">
      <c r="B4" s="734" t="s">
        <v>298</v>
      </c>
      <c r="C4" s="734">
        <v>756.6</v>
      </c>
      <c r="D4" s="734">
        <v>624.79999999999995</v>
      </c>
      <c r="E4" s="734">
        <v>749.8</v>
      </c>
      <c r="F4" s="734">
        <v>738.9</v>
      </c>
      <c r="G4" s="734">
        <v>684.9</v>
      </c>
      <c r="H4" s="734">
        <v>572.20000000000005</v>
      </c>
      <c r="I4" s="734">
        <v>814.5</v>
      </c>
      <c r="J4" s="734">
        <v>849.1</v>
      </c>
      <c r="K4" s="734">
        <v>770</v>
      </c>
      <c r="L4" s="734">
        <v>551.79999999999995</v>
      </c>
      <c r="M4" s="734">
        <v>647.1</v>
      </c>
      <c r="N4" s="734">
        <v>676.8</v>
      </c>
      <c r="O4" s="734">
        <v>891.8</v>
      </c>
      <c r="P4" s="734">
        <v>721.1</v>
      </c>
      <c r="Q4" s="734">
        <v>822</v>
      </c>
      <c r="R4" s="734">
        <v>657.3</v>
      </c>
      <c r="S4" s="734">
        <v>681.3</v>
      </c>
      <c r="T4" s="734">
        <v>865.9</v>
      </c>
      <c r="U4" s="734">
        <v>800.8</v>
      </c>
      <c r="V4" s="734">
        <v>717.8</v>
      </c>
      <c r="W4" s="743">
        <f>AVERAGE(N4:V4)</f>
        <v>759.42222222222222</v>
      </c>
      <c r="X4" s="743">
        <f>-AVERAGE(C4:V4)</f>
        <v>-729.7249999999998</v>
      </c>
    </row>
    <row r="5" spans="2:24" x14ac:dyDescent="0.2">
      <c r="B5" s="734" t="s">
        <v>299</v>
      </c>
      <c r="C5" s="734">
        <v>593</v>
      </c>
      <c r="D5" s="734">
        <v>512.20000000000005</v>
      </c>
      <c r="E5" s="734">
        <v>548.1</v>
      </c>
      <c r="F5" s="734">
        <v>612.70000000000005</v>
      </c>
      <c r="G5" s="734">
        <v>587.6</v>
      </c>
      <c r="H5" s="734">
        <v>540.20000000000005</v>
      </c>
      <c r="I5" s="734">
        <v>699</v>
      </c>
      <c r="J5" s="734">
        <v>631.70000000000005</v>
      </c>
      <c r="K5" s="734">
        <v>616.4</v>
      </c>
      <c r="L5" s="734">
        <v>604.29999999999995</v>
      </c>
      <c r="M5" s="734">
        <v>740.1</v>
      </c>
      <c r="N5" s="734">
        <v>651.20000000000005</v>
      </c>
      <c r="O5" s="734">
        <v>649.6</v>
      </c>
      <c r="P5" s="734">
        <v>644.70000000000005</v>
      </c>
      <c r="Q5" s="734">
        <v>689.3</v>
      </c>
      <c r="R5" s="734">
        <v>573</v>
      </c>
      <c r="S5" s="734">
        <v>697.9</v>
      </c>
      <c r="T5" s="734">
        <v>831.2</v>
      </c>
      <c r="U5" s="734">
        <v>917.5</v>
      </c>
      <c r="V5" s="734">
        <v>627.4</v>
      </c>
      <c r="W5" s="743">
        <f t="shared" ref="W5:W15" si="0">AVERAGE(N5:V5)</f>
        <v>697.97777777777776</v>
      </c>
      <c r="X5" s="743">
        <f t="shared" ref="X5:X15" si="1">-AVERAGE(C5:V5)</f>
        <v>-648.35500000000002</v>
      </c>
    </row>
    <row r="6" spans="2:24" x14ac:dyDescent="0.2">
      <c r="B6" s="734" t="s">
        <v>300</v>
      </c>
      <c r="C6" s="734">
        <v>600</v>
      </c>
      <c r="D6" s="734">
        <v>492.3</v>
      </c>
      <c r="E6" s="734">
        <v>550.6</v>
      </c>
      <c r="F6" s="734">
        <v>418.6</v>
      </c>
      <c r="G6" s="734">
        <v>566.6</v>
      </c>
      <c r="H6" s="734">
        <v>545.6</v>
      </c>
      <c r="I6" s="734">
        <v>581.1</v>
      </c>
      <c r="J6" s="734">
        <v>487.3</v>
      </c>
      <c r="K6" s="734">
        <v>608.6</v>
      </c>
      <c r="L6" s="734">
        <v>516.6</v>
      </c>
      <c r="M6" s="734">
        <v>546.70000000000005</v>
      </c>
      <c r="N6" s="734">
        <v>686.1</v>
      </c>
      <c r="O6" s="734">
        <v>562.6</v>
      </c>
      <c r="P6" s="734">
        <v>470.9</v>
      </c>
      <c r="Q6" s="734">
        <v>622.29999999999995</v>
      </c>
      <c r="R6" s="734">
        <v>370.1</v>
      </c>
      <c r="S6" s="734">
        <v>612</v>
      </c>
      <c r="T6" s="734">
        <v>757</v>
      </c>
      <c r="U6" s="734">
        <v>538</v>
      </c>
      <c r="V6" s="734">
        <v>479.4</v>
      </c>
      <c r="W6" s="743">
        <f t="shared" si="0"/>
        <v>566.48888888888882</v>
      </c>
      <c r="X6" s="743">
        <f t="shared" si="1"/>
        <v>-550.62</v>
      </c>
    </row>
    <row r="7" spans="2:24" x14ac:dyDescent="0.2">
      <c r="B7" s="734" t="s">
        <v>301</v>
      </c>
      <c r="C7" s="734">
        <v>366.8</v>
      </c>
      <c r="D7" s="734">
        <v>282</v>
      </c>
      <c r="E7" s="734">
        <v>296.7</v>
      </c>
      <c r="F7" s="734">
        <v>339.2</v>
      </c>
      <c r="G7" s="734">
        <v>293.8</v>
      </c>
      <c r="H7" s="734">
        <v>329.5</v>
      </c>
      <c r="I7" s="734">
        <v>372.5</v>
      </c>
      <c r="J7" s="734">
        <v>331.5</v>
      </c>
      <c r="K7" s="734">
        <v>306.8</v>
      </c>
      <c r="L7" s="734">
        <v>293.3</v>
      </c>
      <c r="M7" s="734">
        <v>356.4</v>
      </c>
      <c r="N7" s="734">
        <v>297.89999999999998</v>
      </c>
      <c r="O7" s="734">
        <v>341.5</v>
      </c>
      <c r="P7" s="734">
        <v>260.60000000000002</v>
      </c>
      <c r="Q7" s="734">
        <v>349.6</v>
      </c>
      <c r="R7" s="734">
        <v>365.3</v>
      </c>
      <c r="S7" s="734">
        <v>384.7</v>
      </c>
      <c r="T7" s="734">
        <v>389.9</v>
      </c>
      <c r="U7" s="734">
        <v>359</v>
      </c>
      <c r="V7" s="734">
        <v>431.8</v>
      </c>
      <c r="W7" s="743">
        <f t="shared" si="0"/>
        <v>353.36666666666667</v>
      </c>
      <c r="X7" s="743">
        <f t="shared" si="1"/>
        <v>-337.44000000000005</v>
      </c>
    </row>
    <row r="8" spans="2:24" x14ac:dyDescent="0.2">
      <c r="B8" s="734" t="s">
        <v>74</v>
      </c>
      <c r="C8" s="734">
        <v>260.8</v>
      </c>
      <c r="D8" s="734">
        <v>59.1</v>
      </c>
      <c r="E8" s="734">
        <v>97.1</v>
      </c>
      <c r="F8" s="734">
        <v>139.6</v>
      </c>
      <c r="G8" s="734">
        <v>111.5</v>
      </c>
      <c r="H8" s="734">
        <v>227.5</v>
      </c>
      <c r="I8" s="734">
        <v>177.9</v>
      </c>
      <c r="J8" s="734">
        <v>158.9</v>
      </c>
      <c r="K8" s="734">
        <v>189.4</v>
      </c>
      <c r="L8" s="734">
        <v>136.9</v>
      </c>
      <c r="M8" s="734">
        <v>136.4</v>
      </c>
      <c r="N8" s="734">
        <v>243.1</v>
      </c>
      <c r="O8" s="734">
        <v>192.8</v>
      </c>
      <c r="P8" s="734">
        <v>144.69999999999999</v>
      </c>
      <c r="Q8" s="734">
        <v>156.69999999999999</v>
      </c>
      <c r="R8" s="734">
        <v>105.8</v>
      </c>
      <c r="S8" s="734">
        <v>152.1</v>
      </c>
      <c r="T8" s="734">
        <v>168.9</v>
      </c>
      <c r="U8" s="734">
        <v>116.2</v>
      </c>
      <c r="V8" s="734">
        <v>174.6</v>
      </c>
      <c r="W8" s="743">
        <f t="shared" si="0"/>
        <v>161.65555555555554</v>
      </c>
      <c r="X8" s="743">
        <f t="shared" si="1"/>
        <v>-157.5</v>
      </c>
    </row>
    <row r="9" spans="2:24" x14ac:dyDescent="0.2">
      <c r="B9" s="734" t="s">
        <v>302</v>
      </c>
      <c r="C9" s="734">
        <v>20.6</v>
      </c>
      <c r="D9" s="734">
        <v>54.7</v>
      </c>
      <c r="E9" s="734">
        <v>25</v>
      </c>
      <c r="F9" s="734">
        <v>34.5</v>
      </c>
      <c r="G9" s="734">
        <v>29.8</v>
      </c>
      <c r="H9" s="734">
        <v>36.200000000000003</v>
      </c>
      <c r="I9" s="734">
        <v>43.4</v>
      </c>
      <c r="J9" s="734">
        <v>44.2</v>
      </c>
      <c r="K9" s="734">
        <v>8.9</v>
      </c>
      <c r="L9" s="734">
        <v>19.5</v>
      </c>
      <c r="M9" s="734">
        <v>16.5</v>
      </c>
      <c r="N9" s="734">
        <v>40.6</v>
      </c>
      <c r="O9" s="734">
        <v>75.7</v>
      </c>
      <c r="P9" s="734">
        <v>37.700000000000003</v>
      </c>
      <c r="Q9" s="734">
        <v>48.5</v>
      </c>
      <c r="R9" s="734">
        <v>42.1</v>
      </c>
      <c r="S9" s="734">
        <v>52.6</v>
      </c>
      <c r="T9" s="734">
        <v>37.299999999999997</v>
      </c>
      <c r="U9" s="734">
        <v>54.7</v>
      </c>
      <c r="V9" s="734">
        <v>43.9</v>
      </c>
      <c r="W9" s="743">
        <f t="shared" si="0"/>
        <v>48.12222222222222</v>
      </c>
      <c r="X9" s="743">
        <f t="shared" si="1"/>
        <v>-38.32</v>
      </c>
    </row>
    <row r="10" spans="2:24" x14ac:dyDescent="0.2">
      <c r="B10" s="734" t="s">
        <v>303</v>
      </c>
      <c r="C10" s="734">
        <v>12.4</v>
      </c>
      <c r="D10" s="734">
        <v>1</v>
      </c>
      <c r="E10" s="734">
        <v>0</v>
      </c>
      <c r="F10" s="734">
        <v>6.6</v>
      </c>
      <c r="G10" s="734">
        <v>9.3000000000000007</v>
      </c>
      <c r="H10" s="734">
        <v>0</v>
      </c>
      <c r="I10" s="734">
        <v>0.2</v>
      </c>
      <c r="J10" s="734">
        <v>3.6</v>
      </c>
      <c r="K10" s="734">
        <v>0</v>
      </c>
      <c r="L10" s="734">
        <v>0</v>
      </c>
      <c r="M10" s="734">
        <v>3.2</v>
      </c>
      <c r="N10" s="734">
        <v>7.6</v>
      </c>
      <c r="O10" s="734">
        <v>37.6</v>
      </c>
      <c r="P10" s="734">
        <v>6.7</v>
      </c>
      <c r="Q10" s="734">
        <v>0.8</v>
      </c>
      <c r="R10" s="734">
        <v>0</v>
      </c>
      <c r="S10" s="734">
        <v>15.1</v>
      </c>
      <c r="T10" s="734">
        <v>36.799999999999997</v>
      </c>
      <c r="U10" s="734">
        <v>19.3</v>
      </c>
      <c r="V10" s="734">
        <v>19.3</v>
      </c>
      <c r="W10" s="743">
        <f t="shared" si="0"/>
        <v>15.91111111111111</v>
      </c>
      <c r="X10" s="743">
        <f t="shared" si="1"/>
        <v>-8.9749999999999996</v>
      </c>
    </row>
    <row r="11" spans="2:24" x14ac:dyDescent="0.2">
      <c r="B11" s="734" t="s">
        <v>304</v>
      </c>
      <c r="C11" s="734">
        <v>17</v>
      </c>
      <c r="D11" s="734">
        <v>3.4</v>
      </c>
      <c r="E11" s="734">
        <v>8.4</v>
      </c>
      <c r="F11" s="734">
        <v>11.5</v>
      </c>
      <c r="G11" s="734">
        <v>0</v>
      </c>
      <c r="H11" s="734">
        <v>0.2</v>
      </c>
      <c r="I11" s="734">
        <v>2</v>
      </c>
      <c r="J11" s="734">
        <v>12.8</v>
      </c>
      <c r="K11" s="734">
        <v>0.2</v>
      </c>
      <c r="L11" s="734">
        <v>4.2</v>
      </c>
      <c r="M11" s="734">
        <v>5.2</v>
      </c>
      <c r="N11" s="734">
        <v>36.200000000000003</v>
      </c>
      <c r="O11" s="734">
        <v>18.2</v>
      </c>
      <c r="P11" s="734">
        <v>14.2</v>
      </c>
      <c r="Q11" s="734">
        <v>6.9</v>
      </c>
      <c r="R11" s="734">
        <v>19.399999999999999</v>
      </c>
      <c r="S11" s="734">
        <v>32.700000000000003</v>
      </c>
      <c r="T11" s="734">
        <v>31.1</v>
      </c>
      <c r="U11" s="734">
        <v>29.5</v>
      </c>
      <c r="V11" s="734">
        <v>2.1</v>
      </c>
      <c r="W11" s="743">
        <f t="shared" si="0"/>
        <v>21.144444444444446</v>
      </c>
      <c r="X11" s="743">
        <f t="shared" si="1"/>
        <v>-12.76</v>
      </c>
    </row>
    <row r="12" spans="2:24" x14ac:dyDescent="0.2">
      <c r="B12" s="734" t="s">
        <v>305</v>
      </c>
      <c r="C12" s="734">
        <v>87.1</v>
      </c>
      <c r="D12" s="734">
        <v>39.700000000000003</v>
      </c>
      <c r="E12" s="734">
        <v>49.3</v>
      </c>
      <c r="F12" s="734">
        <v>99.5</v>
      </c>
      <c r="G12" s="734">
        <v>73.599999999999994</v>
      </c>
      <c r="H12" s="734">
        <v>21.8</v>
      </c>
      <c r="I12" s="734">
        <v>54.9</v>
      </c>
      <c r="J12" s="734">
        <v>30</v>
      </c>
      <c r="K12" s="734">
        <v>22.6</v>
      </c>
      <c r="L12" s="734">
        <v>80.900000000000006</v>
      </c>
      <c r="M12" s="734">
        <v>36.9</v>
      </c>
      <c r="N12" s="734">
        <v>93.2</v>
      </c>
      <c r="O12" s="734">
        <v>88.8</v>
      </c>
      <c r="P12" s="734">
        <v>122.7</v>
      </c>
      <c r="Q12" s="734">
        <v>98.4</v>
      </c>
      <c r="R12" s="734">
        <v>125.4</v>
      </c>
      <c r="S12" s="734">
        <v>128.1</v>
      </c>
      <c r="T12" s="734">
        <v>117.7</v>
      </c>
      <c r="U12" s="734">
        <v>58.2</v>
      </c>
      <c r="V12" s="734">
        <v>68.8</v>
      </c>
      <c r="W12" s="743">
        <f t="shared" si="0"/>
        <v>100.14444444444445</v>
      </c>
      <c r="X12" s="743">
        <f t="shared" si="1"/>
        <v>-74.88000000000001</v>
      </c>
    </row>
    <row r="13" spans="2:24" x14ac:dyDescent="0.2">
      <c r="B13" s="734" t="s">
        <v>306</v>
      </c>
      <c r="C13" s="734">
        <v>266.89999999999998</v>
      </c>
      <c r="D13" s="734">
        <v>223.4</v>
      </c>
      <c r="E13" s="734">
        <v>267.60000000000002</v>
      </c>
      <c r="F13" s="734">
        <v>212.7</v>
      </c>
      <c r="G13" s="734">
        <v>232.5</v>
      </c>
      <c r="H13" s="734">
        <v>292.2</v>
      </c>
      <c r="I13" s="734">
        <v>276</v>
      </c>
      <c r="J13" s="734">
        <v>226.3</v>
      </c>
      <c r="K13" s="734">
        <v>220.2</v>
      </c>
      <c r="L13" s="734">
        <v>288.3</v>
      </c>
      <c r="M13" s="734">
        <v>137.69999999999999</v>
      </c>
      <c r="N13" s="734">
        <v>325.7</v>
      </c>
      <c r="O13" s="734">
        <v>329.1</v>
      </c>
      <c r="P13" s="734">
        <v>284.60000000000002</v>
      </c>
      <c r="Q13" s="734">
        <v>279.89999999999998</v>
      </c>
      <c r="R13" s="734">
        <v>279.2</v>
      </c>
      <c r="S13" s="734">
        <v>262.10000000000002</v>
      </c>
      <c r="T13" s="734">
        <v>257.10000000000002</v>
      </c>
      <c r="U13" s="734">
        <v>290.10000000000002</v>
      </c>
      <c r="V13" s="734">
        <v>209.4</v>
      </c>
      <c r="W13" s="743">
        <f t="shared" si="0"/>
        <v>279.68888888888887</v>
      </c>
      <c r="X13" s="743">
        <f t="shared" si="1"/>
        <v>-258.05</v>
      </c>
    </row>
    <row r="14" spans="2:24" x14ac:dyDescent="0.2">
      <c r="B14" s="734" t="s">
        <v>307</v>
      </c>
      <c r="C14" s="734">
        <v>466.5</v>
      </c>
      <c r="D14" s="734">
        <v>392.6</v>
      </c>
      <c r="E14" s="734">
        <v>367.5</v>
      </c>
      <c r="F14" s="734">
        <v>432</v>
      </c>
      <c r="G14" s="734">
        <v>325.8</v>
      </c>
      <c r="H14" s="734">
        <v>445</v>
      </c>
      <c r="I14" s="734">
        <v>398.5</v>
      </c>
      <c r="J14" s="734">
        <v>379.1</v>
      </c>
      <c r="K14" s="734">
        <v>388.4</v>
      </c>
      <c r="L14" s="734">
        <v>382.2</v>
      </c>
      <c r="M14" s="734">
        <v>462.5</v>
      </c>
      <c r="N14" s="734">
        <v>499.7</v>
      </c>
      <c r="O14" s="734">
        <v>396.5</v>
      </c>
      <c r="P14" s="734">
        <v>424.1</v>
      </c>
      <c r="Q14" s="734">
        <v>382.4</v>
      </c>
      <c r="R14" s="734">
        <v>483.6</v>
      </c>
      <c r="S14" s="734">
        <v>517.70000000000005</v>
      </c>
      <c r="T14" s="734">
        <v>529.9</v>
      </c>
      <c r="U14" s="734">
        <v>391.1</v>
      </c>
      <c r="V14" s="734">
        <v>319.7</v>
      </c>
      <c r="W14" s="743">
        <f t="shared" si="0"/>
        <v>438.29999999999995</v>
      </c>
      <c r="X14" s="743">
        <f t="shared" si="1"/>
        <v>-419.23999999999995</v>
      </c>
    </row>
    <row r="15" spans="2:24" x14ac:dyDescent="0.2">
      <c r="B15" s="734" t="s">
        <v>308</v>
      </c>
      <c r="C15" s="734">
        <v>586.20000000000005</v>
      </c>
      <c r="D15" s="734">
        <v>535.1</v>
      </c>
      <c r="E15" s="734">
        <v>579.29999999999995</v>
      </c>
      <c r="F15" s="734">
        <v>780.3</v>
      </c>
      <c r="G15" s="734">
        <v>505</v>
      </c>
      <c r="H15" s="734">
        <v>619.4</v>
      </c>
      <c r="I15" s="734">
        <v>561.5</v>
      </c>
      <c r="J15" s="734">
        <v>643.4</v>
      </c>
      <c r="K15" s="734">
        <v>665.3</v>
      </c>
      <c r="L15" s="734">
        <v>500.5</v>
      </c>
      <c r="M15" s="734">
        <v>630.70000000000005</v>
      </c>
      <c r="N15" s="734">
        <v>694</v>
      </c>
      <c r="O15" s="734">
        <v>669.5</v>
      </c>
      <c r="P15" s="734">
        <v>719.4</v>
      </c>
      <c r="Q15" s="734">
        <v>574.79999999999995</v>
      </c>
      <c r="R15" s="734">
        <v>565.5</v>
      </c>
      <c r="S15" s="734">
        <v>727.3</v>
      </c>
      <c r="T15" s="734">
        <v>597.6</v>
      </c>
      <c r="U15" s="734">
        <v>453</v>
      </c>
      <c r="V15" s="734">
        <v>639.82000000000005</v>
      </c>
      <c r="W15" s="743">
        <f t="shared" si="0"/>
        <v>626.76888888888891</v>
      </c>
      <c r="X15" s="743">
        <f t="shared" si="1"/>
        <v>-612.38099999999997</v>
      </c>
    </row>
    <row r="16" spans="2:24" x14ac:dyDescent="0.2">
      <c r="B16" s="735"/>
      <c r="C16" s="735"/>
      <c r="D16" s="735"/>
      <c r="E16" s="735"/>
      <c r="F16" s="735"/>
      <c r="G16" s="735"/>
      <c r="H16" s="735"/>
      <c r="I16" s="735"/>
      <c r="J16" s="735"/>
      <c r="K16" s="735"/>
      <c r="L16" s="735"/>
      <c r="M16" s="735"/>
      <c r="N16" s="735"/>
      <c r="O16" s="735"/>
      <c r="P16" s="735"/>
      <c r="Q16" s="735"/>
      <c r="R16" s="735"/>
      <c r="S16" s="735"/>
      <c r="T16" s="735"/>
      <c r="U16" s="735"/>
      <c r="V16" s="735"/>
      <c r="W16" s="735"/>
      <c r="X16" s="736"/>
    </row>
    <row r="17" spans="2:24" x14ac:dyDescent="0.2">
      <c r="B17" s="735"/>
      <c r="C17" s="735"/>
      <c r="D17" s="735"/>
      <c r="E17" s="735"/>
      <c r="F17" s="735"/>
      <c r="G17" s="735"/>
      <c r="H17" s="735"/>
      <c r="I17" s="735"/>
      <c r="J17" s="735"/>
      <c r="K17" s="735"/>
      <c r="L17" s="735"/>
      <c r="M17" s="735"/>
      <c r="N17" s="735"/>
      <c r="O17" s="735"/>
      <c r="P17" s="735"/>
      <c r="Q17" s="735"/>
      <c r="R17" s="735"/>
      <c r="S17" s="735"/>
      <c r="T17" s="735"/>
      <c r="U17" s="735"/>
      <c r="V17" s="735"/>
      <c r="W17" s="735"/>
      <c r="X17" s="735"/>
    </row>
    <row r="18" spans="2:24" x14ac:dyDescent="0.2">
      <c r="B18" s="734"/>
      <c r="C18" s="734">
        <v>1997</v>
      </c>
      <c r="D18" s="734">
        <v>1998</v>
      </c>
      <c r="E18" s="734">
        <v>1999</v>
      </c>
      <c r="F18" s="734">
        <v>2000</v>
      </c>
      <c r="G18" s="734">
        <v>2001</v>
      </c>
      <c r="H18" s="734">
        <v>2002</v>
      </c>
      <c r="I18" s="734">
        <v>2003</v>
      </c>
      <c r="J18" s="734">
        <v>2004</v>
      </c>
      <c r="K18" s="734">
        <v>2005</v>
      </c>
      <c r="L18" s="734">
        <v>2006</v>
      </c>
      <c r="M18" s="734">
        <v>2007</v>
      </c>
      <c r="N18" s="734">
        <v>2008</v>
      </c>
      <c r="O18" s="734">
        <v>2009</v>
      </c>
      <c r="P18" s="734">
        <v>2010</v>
      </c>
      <c r="Q18" s="734">
        <v>2011</v>
      </c>
      <c r="R18" s="734">
        <v>2012</v>
      </c>
      <c r="S18" s="734">
        <v>2013</v>
      </c>
      <c r="T18" s="734">
        <v>2014</v>
      </c>
      <c r="U18" s="734">
        <v>2015</v>
      </c>
      <c r="V18" s="734">
        <v>2016</v>
      </c>
      <c r="W18" s="734" t="s">
        <v>296</v>
      </c>
      <c r="X18" s="734" t="s">
        <v>297</v>
      </c>
    </row>
    <row r="19" spans="2:24" x14ac:dyDescent="0.2">
      <c r="B19" s="734"/>
      <c r="C19" s="734"/>
      <c r="D19" s="734"/>
      <c r="E19" s="734"/>
      <c r="F19" s="734"/>
      <c r="G19" s="734"/>
      <c r="H19" s="734"/>
      <c r="I19" s="734"/>
      <c r="J19" s="734"/>
      <c r="K19" s="734"/>
      <c r="L19" s="734"/>
      <c r="M19" s="734"/>
      <c r="N19" s="734"/>
      <c r="O19" s="734"/>
      <c r="P19" s="734"/>
      <c r="Q19" s="734"/>
      <c r="R19" s="734"/>
      <c r="S19" s="734"/>
      <c r="T19" s="734"/>
      <c r="U19" s="734"/>
      <c r="V19" s="734"/>
      <c r="W19" s="734"/>
      <c r="X19" s="734"/>
    </row>
    <row r="20" spans="2:24" x14ac:dyDescent="0.2">
      <c r="B20" s="734" t="s">
        <v>51</v>
      </c>
      <c r="C20" s="734"/>
      <c r="D20" s="734"/>
      <c r="E20" s="734"/>
      <c r="F20" s="734"/>
      <c r="G20" s="734"/>
      <c r="H20" s="734"/>
      <c r="I20" s="734"/>
      <c r="J20" s="734"/>
      <c r="K20" s="734"/>
      <c r="L20" s="734"/>
      <c r="M20" s="734"/>
      <c r="N20" s="734"/>
      <c r="O20" s="734"/>
      <c r="P20" s="734"/>
      <c r="Q20" s="734"/>
      <c r="R20" s="734"/>
      <c r="S20" s="734"/>
      <c r="T20" s="734"/>
      <c r="U20" s="734"/>
      <c r="V20" s="734"/>
      <c r="W20" s="734"/>
      <c r="X20" s="734"/>
    </row>
    <row r="21" spans="2:24" x14ac:dyDescent="0.2">
      <c r="B21" s="734" t="s">
        <v>298</v>
      </c>
      <c r="C21" s="734">
        <v>0</v>
      </c>
      <c r="D21" s="734">
        <v>0</v>
      </c>
      <c r="E21" s="734">
        <v>0</v>
      </c>
      <c r="F21" s="734">
        <v>0</v>
      </c>
      <c r="G21" s="734">
        <v>0</v>
      </c>
      <c r="H21" s="734">
        <v>0</v>
      </c>
      <c r="I21" s="734">
        <v>0</v>
      </c>
      <c r="J21" s="734">
        <v>0</v>
      </c>
      <c r="K21" s="734">
        <v>0</v>
      </c>
      <c r="L21" s="734">
        <v>0</v>
      </c>
      <c r="M21" s="734">
        <v>0</v>
      </c>
      <c r="N21" s="734">
        <v>0</v>
      </c>
      <c r="O21" s="734">
        <v>0</v>
      </c>
      <c r="P21" s="734">
        <v>0</v>
      </c>
      <c r="Q21" s="734">
        <v>0</v>
      </c>
      <c r="R21" s="734">
        <v>0</v>
      </c>
      <c r="S21" s="734">
        <v>0</v>
      </c>
      <c r="T21" s="734">
        <v>0</v>
      </c>
      <c r="U21" s="734">
        <v>0</v>
      </c>
      <c r="V21" s="734">
        <v>0</v>
      </c>
      <c r="W21" s="743">
        <f t="shared" ref="W21:W23" si="2">AVERAGE(N21:V21)</f>
        <v>0</v>
      </c>
      <c r="X21" s="743">
        <f t="shared" ref="X21:X32" si="3">-AVERAGE(C21:V21)</f>
        <v>0</v>
      </c>
    </row>
    <row r="22" spans="2:24" x14ac:dyDescent="0.2">
      <c r="B22" s="734" t="s">
        <v>299</v>
      </c>
      <c r="C22" s="734">
        <v>0</v>
      </c>
      <c r="D22" s="734">
        <v>0</v>
      </c>
      <c r="E22" s="734">
        <v>0</v>
      </c>
      <c r="F22" s="734">
        <v>0</v>
      </c>
      <c r="G22" s="734">
        <v>0</v>
      </c>
      <c r="H22" s="734">
        <v>0</v>
      </c>
      <c r="I22" s="734">
        <v>0</v>
      </c>
      <c r="J22" s="734">
        <v>0</v>
      </c>
      <c r="K22" s="734">
        <v>0</v>
      </c>
      <c r="L22" s="734">
        <v>0</v>
      </c>
      <c r="M22" s="734">
        <v>0</v>
      </c>
      <c r="N22" s="734">
        <v>0</v>
      </c>
      <c r="O22" s="734">
        <v>0</v>
      </c>
      <c r="P22" s="734">
        <v>0</v>
      </c>
      <c r="Q22" s="734">
        <v>0</v>
      </c>
      <c r="R22" s="734">
        <v>0</v>
      </c>
      <c r="S22" s="734">
        <v>0</v>
      </c>
      <c r="T22" s="734">
        <v>0</v>
      </c>
      <c r="U22" s="734">
        <v>0</v>
      </c>
      <c r="V22" s="734">
        <v>0</v>
      </c>
      <c r="W22" s="743">
        <f t="shared" si="2"/>
        <v>0</v>
      </c>
      <c r="X22" s="743">
        <f t="shared" si="3"/>
        <v>0</v>
      </c>
    </row>
    <row r="23" spans="2:24" x14ac:dyDescent="0.2">
      <c r="B23" s="734" t="s">
        <v>300</v>
      </c>
      <c r="C23" s="734">
        <v>0</v>
      </c>
      <c r="D23" s="734">
        <v>0</v>
      </c>
      <c r="E23" s="734">
        <v>0</v>
      </c>
      <c r="F23" s="734">
        <v>0</v>
      </c>
      <c r="G23" s="734">
        <v>1.4</v>
      </c>
      <c r="H23" s="734">
        <v>8.3000000000000007</v>
      </c>
      <c r="I23" s="734">
        <v>2.4</v>
      </c>
      <c r="J23" s="734">
        <v>0</v>
      </c>
      <c r="K23" s="734">
        <v>0</v>
      </c>
      <c r="L23" s="734">
        <v>0</v>
      </c>
      <c r="M23" s="734">
        <v>0</v>
      </c>
      <c r="N23" s="734">
        <v>0</v>
      </c>
      <c r="O23" s="734">
        <v>0</v>
      </c>
      <c r="P23" s="734">
        <v>0</v>
      </c>
      <c r="Q23" s="734">
        <v>0</v>
      </c>
      <c r="R23" s="734">
        <v>0</v>
      </c>
      <c r="S23" s="734">
        <v>0</v>
      </c>
      <c r="T23" s="734">
        <v>0</v>
      </c>
      <c r="U23" s="734">
        <v>0</v>
      </c>
      <c r="V23" s="734">
        <v>0</v>
      </c>
      <c r="W23" s="743">
        <f t="shared" si="2"/>
        <v>0</v>
      </c>
      <c r="X23" s="743">
        <f t="shared" si="3"/>
        <v>-0.60500000000000009</v>
      </c>
    </row>
    <row r="24" spans="2:24" x14ac:dyDescent="0.2">
      <c r="B24" s="734" t="s">
        <v>301</v>
      </c>
      <c r="C24" s="734">
        <v>0</v>
      </c>
      <c r="D24" s="734">
        <v>28.6</v>
      </c>
      <c r="E24" s="734">
        <v>19.399999999999999</v>
      </c>
      <c r="F24" s="734">
        <v>23.7</v>
      </c>
      <c r="G24" s="734">
        <v>12.2</v>
      </c>
      <c r="H24" s="734">
        <v>7.8</v>
      </c>
      <c r="I24" s="734">
        <v>0</v>
      </c>
      <c r="J24" s="734">
        <v>8.6</v>
      </c>
      <c r="K24" s="734">
        <v>0.8</v>
      </c>
      <c r="L24" s="734">
        <v>26</v>
      </c>
      <c r="M24" s="734">
        <v>22.4</v>
      </c>
      <c r="N24" s="734">
        <v>0</v>
      </c>
      <c r="O24" s="734">
        <v>3.2</v>
      </c>
      <c r="P24" s="734">
        <v>0</v>
      </c>
      <c r="Q24" s="734">
        <v>0</v>
      </c>
      <c r="R24" s="734">
        <v>0</v>
      </c>
      <c r="S24" s="734">
        <v>0</v>
      </c>
      <c r="T24" s="734">
        <v>0</v>
      </c>
      <c r="U24" s="734">
        <v>0</v>
      </c>
      <c r="V24" s="734">
        <v>0</v>
      </c>
      <c r="W24" s="743">
        <f t="shared" ref="W24:W32" si="4">AVERAGE(N24:V24)</f>
        <v>0.35555555555555557</v>
      </c>
      <c r="X24" s="743">
        <f t="shared" si="3"/>
        <v>-7.6349999999999998</v>
      </c>
    </row>
    <row r="25" spans="2:24" x14ac:dyDescent="0.2">
      <c r="B25" s="734" t="s">
        <v>74</v>
      </c>
      <c r="C25" s="734">
        <v>73.2</v>
      </c>
      <c r="D25" s="734">
        <v>82.4</v>
      </c>
      <c r="E25" s="734">
        <v>96</v>
      </c>
      <c r="F25" s="734">
        <v>41.1</v>
      </c>
      <c r="G25" s="734">
        <v>79.7</v>
      </c>
      <c r="H25" s="734">
        <v>70</v>
      </c>
      <c r="I25" s="734">
        <v>52.9</v>
      </c>
      <c r="J25" s="734">
        <v>31.6</v>
      </c>
      <c r="K25" s="734">
        <v>146.30000000000001</v>
      </c>
      <c r="L25" s="734">
        <v>73.599999999999994</v>
      </c>
      <c r="M25" s="734">
        <v>99.2</v>
      </c>
      <c r="N25" s="734">
        <v>0.7</v>
      </c>
      <c r="O25" s="734">
        <v>2.2999999999999998</v>
      </c>
      <c r="P25" s="734">
        <v>21</v>
      </c>
      <c r="Q25" s="734">
        <v>13.2</v>
      </c>
      <c r="R25" s="734">
        <v>18.2</v>
      </c>
      <c r="S25" s="734">
        <v>19.600000000000001</v>
      </c>
      <c r="T25" s="734">
        <v>9</v>
      </c>
      <c r="U25" s="734">
        <v>29.8</v>
      </c>
      <c r="V25" s="734">
        <v>18.399999999999999</v>
      </c>
      <c r="W25" s="743">
        <f t="shared" si="4"/>
        <v>14.688888888888888</v>
      </c>
      <c r="X25" s="743">
        <f t="shared" si="3"/>
        <v>-48.910000000000011</v>
      </c>
    </row>
    <row r="26" spans="2:24" x14ac:dyDescent="0.2">
      <c r="B26" s="734" t="s">
        <v>302</v>
      </c>
      <c r="C26" s="734">
        <v>103</v>
      </c>
      <c r="D26" s="734">
        <v>101.3</v>
      </c>
      <c r="E26" s="734">
        <v>196.5</v>
      </c>
      <c r="F26" s="734">
        <v>71.8</v>
      </c>
      <c r="G26" s="734">
        <v>100.9</v>
      </c>
      <c r="H26" s="734">
        <v>192.4</v>
      </c>
      <c r="I26" s="734">
        <v>118.3</v>
      </c>
      <c r="J26" s="734">
        <v>86.4</v>
      </c>
      <c r="K26" s="734">
        <v>188.7</v>
      </c>
      <c r="L26" s="734">
        <v>167.3</v>
      </c>
      <c r="M26" s="734">
        <v>106.1</v>
      </c>
      <c r="N26" s="734">
        <v>53</v>
      </c>
      <c r="O26" s="734">
        <v>26.2</v>
      </c>
      <c r="P26" s="734">
        <v>32.6</v>
      </c>
      <c r="Q26" s="734">
        <v>21.6</v>
      </c>
      <c r="R26" s="734">
        <v>61.2</v>
      </c>
      <c r="S26" s="734">
        <v>31.3</v>
      </c>
      <c r="T26" s="734">
        <v>44.3</v>
      </c>
      <c r="U26" s="734">
        <v>15</v>
      </c>
      <c r="V26" s="734">
        <v>24.1</v>
      </c>
      <c r="W26" s="743">
        <f t="shared" si="4"/>
        <v>34.366666666666674</v>
      </c>
      <c r="X26" s="743">
        <f t="shared" si="3"/>
        <v>-87.09999999999998</v>
      </c>
    </row>
    <row r="27" spans="2:24" x14ac:dyDescent="0.2">
      <c r="B27" s="734" t="s">
        <v>303</v>
      </c>
      <c r="C27" s="734">
        <v>46.8</v>
      </c>
      <c r="D27" s="734">
        <v>117.7</v>
      </c>
      <c r="E27" s="734">
        <v>79.099999999999994</v>
      </c>
      <c r="F27" s="734">
        <v>92.5</v>
      </c>
      <c r="G27" s="734">
        <v>160</v>
      </c>
      <c r="H27" s="734">
        <v>142.69999999999999</v>
      </c>
      <c r="I27" s="734">
        <v>128</v>
      </c>
      <c r="J27" s="734">
        <v>59.6</v>
      </c>
      <c r="K27" s="734">
        <v>140.69999999999999</v>
      </c>
      <c r="L27" s="734">
        <v>101.6</v>
      </c>
      <c r="M27" s="734">
        <v>141</v>
      </c>
      <c r="N27" s="734">
        <v>75.8</v>
      </c>
      <c r="O27" s="734">
        <v>14.5</v>
      </c>
      <c r="P27" s="734">
        <v>106.6</v>
      </c>
      <c r="Q27" s="734">
        <v>129.69999999999999</v>
      </c>
      <c r="R27" s="734">
        <v>128.19999999999999</v>
      </c>
      <c r="S27" s="734">
        <v>86.5</v>
      </c>
      <c r="T27" s="734">
        <v>38.799999999999997</v>
      </c>
      <c r="U27" s="734">
        <v>57.7</v>
      </c>
      <c r="V27" s="734">
        <v>101.2</v>
      </c>
      <c r="W27" s="743">
        <f t="shared" si="4"/>
        <v>82.111111111111114</v>
      </c>
      <c r="X27" s="743">
        <f t="shared" si="3"/>
        <v>-97.434999999999988</v>
      </c>
    </row>
    <row r="28" spans="2:24" x14ac:dyDescent="0.2">
      <c r="B28" s="734" t="s">
        <v>304</v>
      </c>
      <c r="C28" s="734">
        <v>11.7</v>
      </c>
      <c r="D28" s="734">
        <v>45</v>
      </c>
      <c r="E28" s="734">
        <v>48.9</v>
      </c>
      <c r="F28" s="734">
        <v>35.200000000000003</v>
      </c>
      <c r="G28" s="734">
        <v>35.700000000000003</v>
      </c>
      <c r="H28" s="734">
        <v>87.6</v>
      </c>
      <c r="I28" s="734">
        <v>24</v>
      </c>
      <c r="J28" s="734">
        <v>41.2</v>
      </c>
      <c r="K28" s="734">
        <v>52.1</v>
      </c>
      <c r="L28" s="734">
        <v>12.9</v>
      </c>
      <c r="M28" s="734">
        <v>47.5</v>
      </c>
      <c r="N28" s="734">
        <v>29.5</v>
      </c>
      <c r="O28" s="734">
        <v>57.3</v>
      </c>
      <c r="P28" s="734">
        <v>85.3</v>
      </c>
      <c r="Q28" s="734">
        <v>60.1</v>
      </c>
      <c r="R28" s="734">
        <v>59.1</v>
      </c>
      <c r="S28" s="734">
        <v>42.1</v>
      </c>
      <c r="T28" s="734">
        <v>28.5</v>
      </c>
      <c r="U28" s="734">
        <v>47.9</v>
      </c>
      <c r="V28" s="734">
        <v>100.7</v>
      </c>
      <c r="W28" s="743">
        <f t="shared" si="4"/>
        <v>56.722222222222221</v>
      </c>
      <c r="X28" s="743">
        <f t="shared" si="3"/>
        <v>-47.615000000000002</v>
      </c>
    </row>
    <row r="29" spans="2:24" x14ac:dyDescent="0.2">
      <c r="B29" s="734" t="s">
        <v>305</v>
      </c>
      <c r="C29" s="734">
        <v>2.8</v>
      </c>
      <c r="D29" s="734">
        <v>0</v>
      </c>
      <c r="E29" s="734">
        <v>0</v>
      </c>
      <c r="F29" s="734">
        <v>1.2</v>
      </c>
      <c r="G29" s="734">
        <v>2</v>
      </c>
      <c r="H29" s="734">
        <v>10</v>
      </c>
      <c r="I29" s="734">
        <v>0</v>
      </c>
      <c r="J29" s="734">
        <v>1.5</v>
      </c>
      <c r="K29" s="734">
        <v>7.6</v>
      </c>
      <c r="L29" s="734">
        <v>1.1000000000000001</v>
      </c>
      <c r="M29" s="734">
        <v>19.8</v>
      </c>
      <c r="N29" s="734">
        <v>12</v>
      </c>
      <c r="O29" s="734">
        <v>5.5</v>
      </c>
      <c r="P29" s="734">
        <v>23</v>
      </c>
      <c r="Q29" s="734">
        <v>19.7</v>
      </c>
      <c r="R29" s="734">
        <v>16.399999999999999</v>
      </c>
      <c r="S29" s="734">
        <v>20.5</v>
      </c>
      <c r="T29" s="734">
        <v>11.4</v>
      </c>
      <c r="U29" s="734">
        <v>45.3</v>
      </c>
      <c r="V29" s="734">
        <v>16.100000000000001</v>
      </c>
      <c r="W29" s="743">
        <f t="shared" si="4"/>
        <v>18.87777777777778</v>
      </c>
      <c r="X29" s="743">
        <f t="shared" si="3"/>
        <v>-10.795</v>
      </c>
    </row>
    <row r="30" spans="2:24" x14ac:dyDescent="0.2">
      <c r="B30" s="734" t="s">
        <v>306</v>
      </c>
      <c r="C30" s="734">
        <v>0</v>
      </c>
      <c r="D30" s="734">
        <v>0</v>
      </c>
      <c r="E30" s="734">
        <v>0</v>
      </c>
      <c r="F30" s="734">
        <v>0</v>
      </c>
      <c r="G30" s="734">
        <v>0</v>
      </c>
      <c r="H30" s="734">
        <v>0</v>
      </c>
      <c r="I30" s="734">
        <v>0</v>
      </c>
      <c r="J30" s="734">
        <v>0</v>
      </c>
      <c r="K30" s="734">
        <v>0</v>
      </c>
      <c r="L30" s="734">
        <v>0</v>
      </c>
      <c r="M30" s="734">
        <v>0</v>
      </c>
      <c r="N30" s="734">
        <v>0</v>
      </c>
      <c r="O30" s="734">
        <v>0</v>
      </c>
      <c r="P30" s="734">
        <v>0</v>
      </c>
      <c r="Q30" s="734">
        <v>0</v>
      </c>
      <c r="R30" s="734">
        <v>0</v>
      </c>
      <c r="S30" s="734">
        <v>0</v>
      </c>
      <c r="T30" s="734">
        <v>0</v>
      </c>
      <c r="U30" s="734">
        <v>0</v>
      </c>
      <c r="V30" s="734">
        <v>1.9</v>
      </c>
      <c r="W30" s="743">
        <f t="shared" si="4"/>
        <v>0.21111111111111111</v>
      </c>
      <c r="X30" s="743">
        <f t="shared" si="3"/>
        <v>-9.5000000000000001E-2</v>
      </c>
    </row>
    <row r="31" spans="2:24" x14ac:dyDescent="0.2">
      <c r="B31" s="734" t="s">
        <v>307</v>
      </c>
      <c r="C31" s="734">
        <v>0</v>
      </c>
      <c r="D31" s="734">
        <v>0</v>
      </c>
      <c r="E31" s="734">
        <v>0</v>
      </c>
      <c r="F31" s="734">
        <v>0</v>
      </c>
      <c r="G31" s="734">
        <v>0</v>
      </c>
      <c r="H31" s="734">
        <v>0</v>
      </c>
      <c r="I31" s="734">
        <v>0</v>
      </c>
      <c r="J31" s="734">
        <v>0</v>
      </c>
      <c r="K31" s="734">
        <v>0</v>
      </c>
      <c r="L31" s="734">
        <v>0</v>
      </c>
      <c r="M31" s="734">
        <v>0</v>
      </c>
      <c r="N31" s="734">
        <v>0</v>
      </c>
      <c r="O31" s="734">
        <v>0</v>
      </c>
      <c r="P31" s="734">
        <v>0</v>
      </c>
      <c r="Q31" s="734">
        <v>0</v>
      </c>
      <c r="R31" s="734">
        <v>0</v>
      </c>
      <c r="S31" s="734">
        <v>0</v>
      </c>
      <c r="T31" s="734">
        <v>0</v>
      </c>
      <c r="U31" s="734">
        <v>0</v>
      </c>
      <c r="V31" s="734">
        <v>0</v>
      </c>
      <c r="W31" s="743">
        <f t="shared" si="4"/>
        <v>0</v>
      </c>
      <c r="X31" s="743">
        <f t="shared" si="3"/>
        <v>0</v>
      </c>
    </row>
    <row r="32" spans="2:24" x14ac:dyDescent="0.2">
      <c r="B32" s="734" t="s">
        <v>308</v>
      </c>
      <c r="C32" s="734">
        <v>0</v>
      </c>
      <c r="D32" s="734">
        <v>0</v>
      </c>
      <c r="E32" s="734">
        <v>0</v>
      </c>
      <c r="F32" s="734">
        <v>0</v>
      </c>
      <c r="G32" s="734">
        <v>0</v>
      </c>
      <c r="H32" s="734">
        <v>0</v>
      </c>
      <c r="I32" s="734">
        <v>0</v>
      </c>
      <c r="J32" s="734">
        <v>0</v>
      </c>
      <c r="K32" s="734">
        <v>0</v>
      </c>
      <c r="L32" s="734">
        <v>0</v>
      </c>
      <c r="M32" s="734">
        <v>0</v>
      </c>
      <c r="N32" s="734">
        <v>0</v>
      </c>
      <c r="O32" s="734">
        <v>0</v>
      </c>
      <c r="P32" s="734">
        <v>0</v>
      </c>
      <c r="Q32" s="734">
        <v>0</v>
      </c>
      <c r="R32" s="734">
        <v>0</v>
      </c>
      <c r="S32" s="734">
        <v>0</v>
      </c>
      <c r="T32" s="734">
        <v>0</v>
      </c>
      <c r="U32" s="734">
        <v>0</v>
      </c>
      <c r="V32" s="734">
        <v>0</v>
      </c>
      <c r="W32" s="743">
        <f t="shared" si="4"/>
        <v>0</v>
      </c>
      <c r="X32" s="743">
        <f t="shared" si="3"/>
        <v>0</v>
      </c>
    </row>
    <row r="33" spans="2:24" x14ac:dyDescent="0.2">
      <c r="B33" s="734"/>
      <c r="C33" s="734"/>
      <c r="D33" s="734"/>
      <c r="E33" s="734"/>
      <c r="F33" s="734"/>
      <c r="G33" s="734"/>
      <c r="H33" s="734"/>
      <c r="I33" s="734"/>
      <c r="J33" s="734"/>
      <c r="K33" s="734"/>
      <c r="L33" s="734"/>
      <c r="M33" s="734"/>
      <c r="N33" s="734"/>
      <c r="O33" s="734"/>
      <c r="P33" s="734"/>
      <c r="Q33" s="734"/>
      <c r="R33" s="734"/>
      <c r="S33" s="734"/>
      <c r="T33" s="734"/>
      <c r="U33" s="734"/>
      <c r="V33" s="734"/>
      <c r="W33" s="734"/>
      <c r="X33" s="734"/>
    </row>
    <row r="34" spans="2:24" x14ac:dyDescent="0.2">
      <c r="B34" s="734"/>
      <c r="C34" s="734"/>
      <c r="D34" s="734"/>
      <c r="E34" s="734"/>
      <c r="F34" s="734"/>
      <c r="G34" s="734"/>
      <c r="H34" s="734"/>
      <c r="I34" s="734"/>
      <c r="J34" s="734"/>
      <c r="K34" s="734"/>
      <c r="L34" s="734"/>
      <c r="M34" s="734"/>
      <c r="N34" s="734"/>
      <c r="O34" s="734"/>
      <c r="P34" s="734"/>
      <c r="Q34" s="734"/>
      <c r="R34" s="734"/>
      <c r="S34" s="734"/>
      <c r="T34" s="734"/>
      <c r="U34" s="734"/>
      <c r="V34" s="734"/>
      <c r="W34" s="734"/>
      <c r="X34" s="734"/>
    </row>
  </sheetData>
  <sheetProtection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4" tint="0.59999389629810485"/>
  </sheetPr>
  <dimension ref="A2:V136"/>
  <sheetViews>
    <sheetView showGridLines="0" topLeftCell="A79" zoomScale="80" zoomScaleNormal="80" workbookViewId="0">
      <selection activeCell="A131" sqref="A131"/>
    </sheetView>
  </sheetViews>
  <sheetFormatPr defaultColWidth="9.33203125" defaultRowHeight="12.75" x14ac:dyDescent="0.2"/>
  <cols>
    <col min="1" max="1" width="28.33203125" style="146" bestFit="1" customWidth="1"/>
    <col min="2" max="2" width="18" style="738" customWidth="1"/>
    <col min="3" max="7" width="16.5" style="248" customWidth="1"/>
    <col min="8" max="8" width="18" style="145" customWidth="1"/>
    <col min="9" max="9" width="6.33203125" style="151" customWidth="1"/>
    <col min="10" max="16" width="17" style="145" customWidth="1"/>
    <col min="17" max="17" width="4.1640625" style="144" customWidth="1"/>
    <col min="18" max="18" width="5.6640625" style="144" customWidth="1"/>
    <col min="19" max="19" width="9.33203125" style="144"/>
    <col min="20" max="20" width="10" style="144" bestFit="1" customWidth="1"/>
    <col min="21" max="16384" width="9.33203125" style="144"/>
  </cols>
  <sheetData>
    <row r="2" spans="1:22" ht="13.5" thickBot="1" x14ac:dyDescent="0.25"/>
    <row r="3" spans="1:22" ht="22.5" customHeight="1" x14ac:dyDescent="0.2">
      <c r="A3" s="763" t="s">
        <v>135</v>
      </c>
      <c r="B3" s="764"/>
      <c r="C3" s="764"/>
      <c r="D3" s="764"/>
      <c r="E3" s="764"/>
      <c r="F3" s="764"/>
      <c r="G3" s="764"/>
      <c r="H3" s="765"/>
      <c r="I3" s="229"/>
      <c r="J3" s="763" t="s">
        <v>97</v>
      </c>
      <c r="K3" s="764"/>
      <c r="L3" s="764"/>
      <c r="M3" s="764"/>
      <c r="N3" s="764"/>
      <c r="O3" s="764"/>
      <c r="P3" s="765"/>
    </row>
    <row r="4" spans="1:22" ht="33.75" x14ac:dyDescent="0.2">
      <c r="A4" s="230"/>
      <c r="B4" s="739" t="s">
        <v>96</v>
      </c>
      <c r="C4" s="226" t="s">
        <v>202</v>
      </c>
      <c r="D4" s="226" t="s">
        <v>219</v>
      </c>
      <c r="E4" s="226" t="s">
        <v>165</v>
      </c>
      <c r="F4" s="226" t="s">
        <v>165</v>
      </c>
      <c r="G4" s="226" t="s">
        <v>165</v>
      </c>
      <c r="H4" s="226" t="s">
        <v>95</v>
      </c>
      <c r="I4" s="225"/>
      <c r="J4" s="226" t="s">
        <v>50</v>
      </c>
      <c r="K4" s="226" t="s">
        <v>51</v>
      </c>
      <c r="L4" s="226" t="s">
        <v>199</v>
      </c>
      <c r="M4" s="226" t="s">
        <v>200</v>
      </c>
      <c r="N4" s="226" t="s">
        <v>191</v>
      </c>
      <c r="O4" s="226" t="s">
        <v>201</v>
      </c>
      <c r="P4" s="226" t="s">
        <v>58</v>
      </c>
      <c r="Q4" s="169"/>
    </row>
    <row r="5" spans="1:22" x14ac:dyDescent="0.2">
      <c r="A5" s="231" t="str">
        <f>CONCATENATE('Input - Customer Data'!A32,"-",'Input - Customer Data'!B32)</f>
        <v>2008-January</v>
      </c>
      <c r="B5" s="740">
        <v>15082878.82</v>
      </c>
      <c r="C5" s="438">
        <v>930289.5</v>
      </c>
      <c r="D5" s="439">
        <v>293887.75</v>
      </c>
      <c r="E5" s="439"/>
      <c r="F5" s="439"/>
      <c r="G5" s="439"/>
      <c r="H5" s="165">
        <f>B5-SUM(C5:G5)</f>
        <v>13858701.57</v>
      </c>
      <c r="I5" s="164"/>
      <c r="J5" s="440">
        <v>676.8</v>
      </c>
      <c r="K5" s="440">
        <v>0</v>
      </c>
      <c r="L5" s="440">
        <v>31</v>
      </c>
      <c r="M5" s="440">
        <v>656.3</v>
      </c>
      <c r="N5" s="516">
        <v>9.09</v>
      </c>
      <c r="O5" s="440">
        <v>0</v>
      </c>
      <c r="P5" s="440"/>
    </row>
    <row r="6" spans="1:22" x14ac:dyDescent="0.2">
      <c r="A6" s="231" t="str">
        <f>CONCATENATE('Input - Customer Data'!A33,"-",'Input - Customer Data'!B33)</f>
        <v>2008-February</v>
      </c>
      <c r="B6" s="740">
        <v>14030875.92</v>
      </c>
      <c r="C6" s="438">
        <v>893754.75</v>
      </c>
      <c r="D6" s="439">
        <v>267637.75</v>
      </c>
      <c r="E6" s="439"/>
      <c r="F6" s="439"/>
      <c r="G6" s="439"/>
      <c r="H6" s="165">
        <f t="shared" ref="H6:H69" si="0">B6-SUM(C6:G6)</f>
        <v>12869483.42</v>
      </c>
      <c r="I6" s="164"/>
      <c r="J6" s="440">
        <v>651.20000000000005</v>
      </c>
      <c r="K6" s="440">
        <v>0</v>
      </c>
      <c r="L6" s="440">
        <v>29</v>
      </c>
      <c r="M6" s="440">
        <v>651.20000000000005</v>
      </c>
      <c r="N6" s="516">
        <v>10.19</v>
      </c>
      <c r="O6" s="440">
        <v>0</v>
      </c>
      <c r="P6" s="440"/>
      <c r="U6"/>
      <c r="V6"/>
    </row>
    <row r="7" spans="1:22" x14ac:dyDescent="0.2">
      <c r="A7" s="231" t="str">
        <f>CONCATENATE('Input - Customer Data'!A34,"-",'Input - Customer Data'!B34)</f>
        <v>2008-March</v>
      </c>
      <c r="B7" s="740">
        <v>14321155.43</v>
      </c>
      <c r="C7" s="438">
        <v>882981</v>
      </c>
      <c r="D7" s="439">
        <v>285618.25</v>
      </c>
      <c r="E7" s="439"/>
      <c r="F7" s="439"/>
      <c r="G7" s="439"/>
      <c r="H7" s="165">
        <f t="shared" si="0"/>
        <v>13152556.18</v>
      </c>
      <c r="I7" s="164"/>
      <c r="J7" s="440">
        <v>686.1</v>
      </c>
      <c r="K7" s="440">
        <v>0</v>
      </c>
      <c r="L7" s="440">
        <v>31</v>
      </c>
      <c r="M7" s="440">
        <v>642.29999999999995</v>
      </c>
      <c r="N7" s="516">
        <v>11.51</v>
      </c>
      <c r="O7" s="440">
        <v>1</v>
      </c>
      <c r="P7" s="440"/>
    </row>
    <row r="8" spans="1:22" x14ac:dyDescent="0.2">
      <c r="A8" s="231" t="str">
        <f>CONCATENATE('Input - Customer Data'!A35,"-",'Input - Customer Data'!B35)</f>
        <v>2008-April</v>
      </c>
      <c r="B8" s="740">
        <v>12696080.17</v>
      </c>
      <c r="C8" s="438">
        <v>847014</v>
      </c>
      <c r="D8" s="439">
        <v>287332</v>
      </c>
      <c r="E8" s="439"/>
      <c r="F8" s="439"/>
      <c r="G8" s="439"/>
      <c r="H8" s="165">
        <f t="shared" si="0"/>
        <v>11561734.17</v>
      </c>
      <c r="I8" s="164"/>
      <c r="J8" s="440">
        <v>297.89999999999998</v>
      </c>
      <c r="K8" s="440">
        <v>0</v>
      </c>
      <c r="L8" s="440">
        <v>30</v>
      </c>
      <c r="M8" s="440">
        <v>642.29999999999995</v>
      </c>
      <c r="N8" s="516">
        <v>13.28</v>
      </c>
      <c r="O8" s="440">
        <v>1</v>
      </c>
      <c r="P8" s="440"/>
    </row>
    <row r="9" spans="1:22" x14ac:dyDescent="0.2">
      <c r="A9" s="231" t="str">
        <f>CONCATENATE('Input - Customer Data'!A36,"-",'Input - Customer Data'!B36)</f>
        <v>2008-May</v>
      </c>
      <c r="B9" s="740">
        <v>12213415.609999999</v>
      </c>
      <c r="C9" s="438">
        <v>844731.75</v>
      </c>
      <c r="D9" s="439">
        <v>298958</v>
      </c>
      <c r="E9" s="439"/>
      <c r="F9" s="439"/>
      <c r="G9" s="439"/>
      <c r="H9" s="165">
        <f t="shared" si="0"/>
        <v>11069725.859999999</v>
      </c>
      <c r="I9" s="164"/>
      <c r="J9" s="440">
        <v>243.1</v>
      </c>
      <c r="K9" s="440">
        <v>0.7</v>
      </c>
      <c r="L9" s="440">
        <v>31</v>
      </c>
      <c r="M9" s="440">
        <v>642.5</v>
      </c>
      <c r="N9" s="516">
        <v>14.52</v>
      </c>
      <c r="O9" s="440">
        <v>1</v>
      </c>
      <c r="P9" s="440"/>
    </row>
    <row r="10" spans="1:22" x14ac:dyDescent="0.2">
      <c r="A10" s="231" t="str">
        <f>CONCATENATE('Input - Customer Data'!A37,"-",'Input - Customer Data'!B37)</f>
        <v>2008-June</v>
      </c>
      <c r="B10" s="740">
        <v>13029843.68</v>
      </c>
      <c r="C10" s="438">
        <v>870177</v>
      </c>
      <c r="D10" s="439">
        <v>320464.25</v>
      </c>
      <c r="E10" s="439"/>
      <c r="F10" s="439"/>
      <c r="G10" s="439"/>
      <c r="H10" s="165">
        <f t="shared" si="0"/>
        <v>11839202.43</v>
      </c>
      <c r="I10" s="164"/>
      <c r="J10" s="440">
        <v>40.6</v>
      </c>
      <c r="K10" s="440">
        <v>53</v>
      </c>
      <c r="L10" s="440">
        <v>30</v>
      </c>
      <c r="M10" s="440">
        <v>648.20000000000005</v>
      </c>
      <c r="N10" s="516">
        <v>15.35</v>
      </c>
      <c r="O10" s="440">
        <v>0</v>
      </c>
      <c r="P10" s="440"/>
    </row>
    <row r="11" spans="1:22" x14ac:dyDescent="0.2">
      <c r="A11" s="231" t="str">
        <f>CONCATENATE('Input - Customer Data'!A38,"-",'Input - Customer Data'!B38)</f>
        <v>2008-July</v>
      </c>
      <c r="B11" s="740">
        <v>13562922.75</v>
      </c>
      <c r="C11" s="438">
        <v>784852.2</v>
      </c>
      <c r="D11" s="439">
        <v>339794.5</v>
      </c>
      <c r="E11" s="439"/>
      <c r="F11" s="439"/>
      <c r="G11" s="439"/>
      <c r="H11" s="165">
        <f t="shared" si="0"/>
        <v>12438276.050000001</v>
      </c>
      <c r="I11" s="164"/>
      <c r="J11" s="440">
        <v>7.6</v>
      </c>
      <c r="K11" s="440">
        <v>75.8</v>
      </c>
      <c r="L11" s="440">
        <v>31</v>
      </c>
      <c r="M11" s="440">
        <v>653.5</v>
      </c>
      <c r="N11" s="516">
        <v>15.15</v>
      </c>
      <c r="O11" s="440">
        <v>0</v>
      </c>
      <c r="P11" s="440"/>
    </row>
    <row r="12" spans="1:22" x14ac:dyDescent="0.2">
      <c r="A12" s="231" t="str">
        <f>CONCATENATE('Input - Customer Data'!A39,"-",'Input - Customer Data'!B39)</f>
        <v>2008-August</v>
      </c>
      <c r="B12" s="740">
        <v>12738355.33</v>
      </c>
      <c r="C12" s="438">
        <v>918531</v>
      </c>
      <c r="D12" s="439">
        <v>327703.5</v>
      </c>
      <c r="E12" s="439"/>
      <c r="F12" s="439"/>
      <c r="G12" s="439"/>
      <c r="H12" s="165">
        <f t="shared" si="0"/>
        <v>11492120.83</v>
      </c>
      <c r="I12" s="164"/>
      <c r="J12" s="440">
        <v>36.200000000000003</v>
      </c>
      <c r="K12" s="440">
        <v>29.5</v>
      </c>
      <c r="L12" s="440">
        <v>31</v>
      </c>
      <c r="M12" s="440">
        <v>656.2</v>
      </c>
      <c r="N12" s="516">
        <v>14.03</v>
      </c>
      <c r="O12" s="440">
        <v>0</v>
      </c>
      <c r="P12" s="440"/>
    </row>
    <row r="13" spans="1:22" x14ac:dyDescent="0.2">
      <c r="A13" s="231" t="str">
        <f>CONCATENATE('Input - Customer Data'!A40,"-",'Input - Customer Data'!B40)</f>
        <v>2008-September</v>
      </c>
      <c r="B13" s="740">
        <v>13005195.66</v>
      </c>
      <c r="C13" s="438">
        <v>941655.75</v>
      </c>
      <c r="D13" s="439">
        <v>298906.5</v>
      </c>
      <c r="E13" s="439"/>
      <c r="F13" s="439"/>
      <c r="G13" s="439"/>
      <c r="H13" s="165">
        <f t="shared" si="0"/>
        <v>11764633.41</v>
      </c>
      <c r="I13" s="164"/>
      <c r="J13" s="440">
        <v>93.2</v>
      </c>
      <c r="K13" s="440">
        <v>12</v>
      </c>
      <c r="L13" s="440">
        <v>30</v>
      </c>
      <c r="M13" s="440">
        <v>658.8</v>
      </c>
      <c r="N13" s="516">
        <v>12.29</v>
      </c>
      <c r="O13" s="440">
        <v>1</v>
      </c>
      <c r="P13" s="440"/>
    </row>
    <row r="14" spans="1:22" x14ac:dyDescent="0.2">
      <c r="A14" s="231" t="str">
        <f>CONCATENATE('Input - Customer Data'!A41,"-",'Input - Customer Data'!B41)</f>
        <v>2008-October</v>
      </c>
      <c r="B14" s="740">
        <v>13176115.98</v>
      </c>
      <c r="C14" s="438">
        <v>938846.25</v>
      </c>
      <c r="D14" s="439">
        <v>290176.5</v>
      </c>
      <c r="E14" s="439"/>
      <c r="F14" s="439"/>
      <c r="G14" s="439"/>
      <c r="H14" s="165">
        <f t="shared" si="0"/>
        <v>11947093.23</v>
      </c>
      <c r="I14" s="164"/>
      <c r="J14" s="440">
        <v>325.7</v>
      </c>
      <c r="K14" s="440">
        <v>0</v>
      </c>
      <c r="L14" s="440">
        <v>31</v>
      </c>
      <c r="M14" s="440">
        <v>661.5</v>
      </c>
      <c r="N14" s="516">
        <v>10.51</v>
      </c>
      <c r="O14" s="440">
        <v>1</v>
      </c>
      <c r="P14" s="440"/>
    </row>
    <row r="15" spans="1:22" x14ac:dyDescent="0.2">
      <c r="A15" s="231" t="str">
        <f>CONCATENATE('Input - Customer Data'!A42,"-",'Input - Customer Data'!B42)</f>
        <v>2008-November</v>
      </c>
      <c r="B15" s="740">
        <v>13573281.85</v>
      </c>
      <c r="C15" s="438">
        <v>865366.5</v>
      </c>
      <c r="D15" s="439">
        <v>280022</v>
      </c>
      <c r="E15" s="439"/>
      <c r="F15" s="439"/>
      <c r="G15" s="439"/>
      <c r="H15" s="165">
        <f t="shared" si="0"/>
        <v>12427893.35</v>
      </c>
      <c r="I15" s="164"/>
      <c r="J15" s="440">
        <v>499.7</v>
      </c>
      <c r="K15" s="440">
        <v>0</v>
      </c>
      <c r="L15" s="440">
        <v>30</v>
      </c>
      <c r="M15" s="440">
        <v>664.7</v>
      </c>
      <c r="N15" s="516">
        <v>9.2799999999999994</v>
      </c>
      <c r="O15" s="440">
        <v>1</v>
      </c>
      <c r="P15" s="440"/>
    </row>
    <row r="16" spans="1:22" x14ac:dyDescent="0.2">
      <c r="A16" s="231" t="str">
        <f>CONCATENATE('Input - Customer Data'!A43,"-",'Input - Customer Data'!B43)</f>
        <v>2008-December</v>
      </c>
      <c r="B16" s="740">
        <v>14286723.92</v>
      </c>
      <c r="C16" s="438">
        <v>768381.75</v>
      </c>
      <c r="D16" s="439">
        <v>295172.5</v>
      </c>
      <c r="E16" s="439"/>
      <c r="F16" s="439"/>
      <c r="G16" s="439"/>
      <c r="H16" s="165">
        <f t="shared" si="0"/>
        <v>13223169.67</v>
      </c>
      <c r="I16" s="164"/>
      <c r="J16" s="440">
        <v>694</v>
      </c>
      <c r="K16" s="440">
        <v>0</v>
      </c>
      <c r="L16" s="440">
        <v>31</v>
      </c>
      <c r="M16" s="440">
        <v>662.1</v>
      </c>
      <c r="N16" s="516">
        <v>8.4700000000000006</v>
      </c>
      <c r="O16" s="440">
        <v>0</v>
      </c>
      <c r="P16" s="440"/>
    </row>
    <row r="17" spans="1:16" x14ac:dyDescent="0.2">
      <c r="A17" s="231" t="str">
        <f>CONCATENATE('Input - Customer Data'!A44,"-",'Input - Customer Data'!B44)</f>
        <v>2009-January</v>
      </c>
      <c r="B17" s="740">
        <v>15005142.689999999</v>
      </c>
      <c r="C17" s="438">
        <v>906445.5</v>
      </c>
      <c r="D17" s="439">
        <v>293427.5</v>
      </c>
      <c r="E17" s="439"/>
      <c r="F17" s="439"/>
      <c r="G17" s="439"/>
      <c r="H17" s="165">
        <f t="shared" si="0"/>
        <v>13805269.689999999</v>
      </c>
      <c r="I17" s="164"/>
      <c r="J17" s="440">
        <v>891.8</v>
      </c>
      <c r="K17" s="440">
        <v>0</v>
      </c>
      <c r="L17" s="440">
        <v>31</v>
      </c>
      <c r="M17" s="440">
        <v>651.4</v>
      </c>
      <c r="N17" s="516">
        <v>9.09</v>
      </c>
      <c r="O17" s="440">
        <v>0</v>
      </c>
      <c r="P17" s="440"/>
    </row>
    <row r="18" spans="1:16" x14ac:dyDescent="0.2">
      <c r="A18" s="231" t="str">
        <f>CONCATENATE('Input - Customer Data'!A45,"-",'Input - Customer Data'!B45)</f>
        <v>2009-February</v>
      </c>
      <c r="B18" s="740">
        <v>13197883.27</v>
      </c>
      <c r="C18" s="438">
        <v>831641.25</v>
      </c>
      <c r="D18" s="439">
        <v>263702.5</v>
      </c>
      <c r="E18" s="439"/>
      <c r="F18" s="439"/>
      <c r="G18" s="439"/>
      <c r="H18" s="165">
        <f t="shared" si="0"/>
        <v>12102539.52</v>
      </c>
      <c r="I18" s="164"/>
      <c r="J18" s="440">
        <v>649.6</v>
      </c>
      <c r="K18" s="440">
        <v>0</v>
      </c>
      <c r="L18" s="440">
        <v>28</v>
      </c>
      <c r="M18" s="440">
        <v>639.4</v>
      </c>
      <c r="N18" s="516">
        <v>10.19</v>
      </c>
      <c r="O18" s="440">
        <v>0</v>
      </c>
      <c r="P18" s="440"/>
    </row>
    <row r="19" spans="1:16" x14ac:dyDescent="0.2">
      <c r="A19" s="231" t="str">
        <f>CONCATENATE('Input - Customer Data'!A46,"-",'Input - Customer Data'!B46)</f>
        <v>2009-March</v>
      </c>
      <c r="B19" s="740">
        <v>13841636.359999999</v>
      </c>
      <c r="C19" s="438">
        <v>923682</v>
      </c>
      <c r="D19" s="439">
        <v>293705</v>
      </c>
      <c r="E19" s="439"/>
      <c r="F19" s="439"/>
      <c r="G19" s="439"/>
      <c r="H19" s="165">
        <f t="shared" si="0"/>
        <v>12624249.359999999</v>
      </c>
      <c r="I19" s="164"/>
      <c r="J19" s="440">
        <v>562.6</v>
      </c>
      <c r="K19" s="440">
        <v>0</v>
      </c>
      <c r="L19" s="440">
        <v>31</v>
      </c>
      <c r="M19" s="440">
        <v>627.6</v>
      </c>
      <c r="N19" s="516">
        <v>11.51</v>
      </c>
      <c r="O19" s="440">
        <v>1</v>
      </c>
      <c r="P19" s="440"/>
    </row>
    <row r="20" spans="1:16" x14ac:dyDescent="0.2">
      <c r="A20" s="231" t="str">
        <f>CONCATENATE('Input - Customer Data'!A47,"-",'Input - Customer Data'!B47)</f>
        <v>2009-April</v>
      </c>
      <c r="B20" s="740">
        <v>12430879.66</v>
      </c>
      <c r="C20" s="438">
        <v>898268.25</v>
      </c>
      <c r="D20" s="439">
        <v>285214.5</v>
      </c>
      <c r="E20" s="439"/>
      <c r="F20" s="439"/>
      <c r="G20" s="439"/>
      <c r="H20" s="165">
        <f t="shared" si="0"/>
        <v>11247396.91</v>
      </c>
      <c r="I20" s="164"/>
      <c r="J20" s="440">
        <v>341.5</v>
      </c>
      <c r="K20" s="440">
        <v>3.2</v>
      </c>
      <c r="L20" s="440">
        <v>30</v>
      </c>
      <c r="M20" s="440">
        <v>623.9</v>
      </c>
      <c r="N20" s="516">
        <v>13.28</v>
      </c>
      <c r="O20" s="440">
        <v>1</v>
      </c>
      <c r="P20" s="440"/>
    </row>
    <row r="21" spans="1:16" x14ac:dyDescent="0.2">
      <c r="A21" s="231" t="str">
        <f>CONCATENATE('Input - Customer Data'!A48,"-",'Input - Customer Data'!B48)</f>
        <v>2009-May</v>
      </c>
      <c r="B21" s="740">
        <v>11568813.369999999</v>
      </c>
      <c r="C21" s="438">
        <v>879408.75</v>
      </c>
      <c r="D21" s="439">
        <v>295965.5</v>
      </c>
      <c r="E21" s="439"/>
      <c r="F21" s="439"/>
      <c r="G21" s="439"/>
      <c r="H21" s="165">
        <f t="shared" si="0"/>
        <v>10393439.119999999</v>
      </c>
      <c r="I21" s="164"/>
      <c r="J21" s="440">
        <v>192.8</v>
      </c>
      <c r="K21" s="440">
        <v>2.2999999999999998</v>
      </c>
      <c r="L21" s="440">
        <v>31</v>
      </c>
      <c r="M21" s="440">
        <v>622.70000000000005</v>
      </c>
      <c r="N21" s="516">
        <v>14.52</v>
      </c>
      <c r="O21" s="440">
        <v>1</v>
      </c>
      <c r="P21" s="440"/>
    </row>
    <row r="22" spans="1:16" x14ac:dyDescent="0.2">
      <c r="A22" s="231" t="str">
        <f>CONCATENATE('Input - Customer Data'!A49,"-",'Input - Customer Data'!B49)</f>
        <v>2009-June</v>
      </c>
      <c r="B22" s="740">
        <v>12161991.470000001</v>
      </c>
      <c r="C22" s="438">
        <v>917436</v>
      </c>
      <c r="D22" s="439">
        <v>305494.5</v>
      </c>
      <c r="E22" s="439"/>
      <c r="F22" s="439"/>
      <c r="G22" s="439"/>
      <c r="H22" s="165">
        <f t="shared" si="0"/>
        <v>10939060.970000001</v>
      </c>
      <c r="I22" s="164"/>
      <c r="J22" s="440">
        <v>75.7</v>
      </c>
      <c r="K22" s="440">
        <v>26.2</v>
      </c>
      <c r="L22" s="440">
        <v>30</v>
      </c>
      <c r="M22" s="440">
        <v>632.1</v>
      </c>
      <c r="N22" s="516">
        <v>15.35</v>
      </c>
      <c r="O22" s="440">
        <v>0</v>
      </c>
      <c r="P22" s="440"/>
    </row>
    <row r="23" spans="1:16" x14ac:dyDescent="0.2">
      <c r="A23" s="231" t="str">
        <f>CONCATENATE('Input - Customer Data'!A50,"-",'Input - Customer Data'!B50)</f>
        <v>2009-July</v>
      </c>
      <c r="B23" s="740">
        <v>11877269.390000001</v>
      </c>
      <c r="C23" s="438">
        <v>856247.25</v>
      </c>
      <c r="D23" s="439">
        <v>318493.5</v>
      </c>
      <c r="E23" s="439"/>
      <c r="F23" s="439"/>
      <c r="G23" s="439"/>
      <c r="H23" s="165">
        <f t="shared" si="0"/>
        <v>10702528.640000001</v>
      </c>
      <c r="I23" s="164"/>
      <c r="J23" s="440">
        <v>37.6</v>
      </c>
      <c r="K23" s="440">
        <v>14.5</v>
      </c>
      <c r="L23" s="440">
        <v>31</v>
      </c>
      <c r="M23" s="440">
        <v>637.9</v>
      </c>
      <c r="N23" s="516">
        <v>15.15</v>
      </c>
      <c r="O23" s="440">
        <v>0</v>
      </c>
      <c r="P23" s="440"/>
    </row>
    <row r="24" spans="1:16" x14ac:dyDescent="0.2">
      <c r="A24" s="231" t="str">
        <f>CONCATENATE('Input - Customer Data'!A51,"-",'Input - Customer Data'!B51)</f>
        <v>2009-August</v>
      </c>
      <c r="B24" s="740">
        <v>12331632.6</v>
      </c>
      <c r="C24" s="438">
        <v>910144.5</v>
      </c>
      <c r="D24" s="439">
        <v>325158</v>
      </c>
      <c r="E24" s="439"/>
      <c r="F24" s="439"/>
      <c r="G24" s="439"/>
      <c r="H24" s="165">
        <f t="shared" si="0"/>
        <v>11096330.1</v>
      </c>
      <c r="I24" s="164"/>
      <c r="J24" s="440">
        <v>18.2</v>
      </c>
      <c r="K24" s="440">
        <v>57.3</v>
      </c>
      <c r="L24" s="440">
        <v>31</v>
      </c>
      <c r="M24" s="440">
        <v>643</v>
      </c>
      <c r="N24" s="516">
        <v>14.03</v>
      </c>
      <c r="O24" s="440">
        <v>0</v>
      </c>
      <c r="P24" s="440"/>
    </row>
    <row r="25" spans="1:16" x14ac:dyDescent="0.2">
      <c r="A25" s="231" t="str">
        <f>CONCATENATE('Input - Customer Data'!A52,"-",'Input - Customer Data'!B52)</f>
        <v>2009-September</v>
      </c>
      <c r="B25" s="740">
        <v>12154249.630000001</v>
      </c>
      <c r="C25" s="438">
        <v>922287.75</v>
      </c>
      <c r="D25" s="439">
        <v>302555</v>
      </c>
      <c r="E25" s="439"/>
      <c r="F25" s="439"/>
      <c r="G25" s="439"/>
      <c r="H25" s="165">
        <f t="shared" si="0"/>
        <v>10929406.880000001</v>
      </c>
      <c r="I25" s="164"/>
      <c r="J25" s="440">
        <v>88.8</v>
      </c>
      <c r="K25" s="440">
        <v>5.5</v>
      </c>
      <c r="L25" s="440">
        <v>30</v>
      </c>
      <c r="M25" s="440">
        <v>643.29999999999995</v>
      </c>
      <c r="N25" s="516">
        <v>12.29</v>
      </c>
      <c r="O25" s="440">
        <v>1</v>
      </c>
      <c r="P25" s="440"/>
    </row>
    <row r="26" spans="1:16" x14ac:dyDescent="0.2">
      <c r="A26" s="231" t="str">
        <f>CONCATENATE('Input - Customer Data'!A53,"-",'Input - Customer Data'!B53)</f>
        <v>2009-October</v>
      </c>
      <c r="B26" s="740">
        <v>12554878.109999999</v>
      </c>
      <c r="C26" s="438">
        <v>961542.75</v>
      </c>
      <c r="D26" s="439">
        <v>288199</v>
      </c>
      <c r="E26" s="439"/>
      <c r="F26" s="439"/>
      <c r="G26" s="439"/>
      <c r="H26" s="165">
        <f t="shared" si="0"/>
        <v>11305136.359999999</v>
      </c>
      <c r="I26" s="164"/>
      <c r="J26" s="440">
        <v>329.1</v>
      </c>
      <c r="K26" s="440">
        <v>0</v>
      </c>
      <c r="L26" s="440">
        <v>31</v>
      </c>
      <c r="M26" s="440">
        <v>644.9</v>
      </c>
      <c r="N26" s="516">
        <v>10.51</v>
      </c>
      <c r="O26" s="440">
        <v>1</v>
      </c>
      <c r="P26" s="440"/>
    </row>
    <row r="27" spans="1:16" x14ac:dyDescent="0.2">
      <c r="A27" s="231" t="str">
        <f>CONCATENATE('Input - Customer Data'!A54,"-",'Input - Customer Data'!B54)</f>
        <v>2009-November</v>
      </c>
      <c r="B27" s="740">
        <v>12741915.07</v>
      </c>
      <c r="C27" s="438">
        <v>955250.25</v>
      </c>
      <c r="D27" s="439">
        <v>283650</v>
      </c>
      <c r="E27" s="439"/>
      <c r="F27" s="439"/>
      <c r="G27" s="439"/>
      <c r="H27" s="165">
        <f t="shared" si="0"/>
        <v>11503014.82</v>
      </c>
      <c r="I27" s="164"/>
      <c r="J27" s="440">
        <v>396.5</v>
      </c>
      <c r="K27" s="440">
        <v>0</v>
      </c>
      <c r="L27" s="440">
        <v>30</v>
      </c>
      <c r="M27" s="440">
        <v>642.20000000000005</v>
      </c>
      <c r="N27" s="516">
        <v>9.2799999999999994</v>
      </c>
      <c r="O27" s="440">
        <v>1</v>
      </c>
      <c r="P27" s="440"/>
    </row>
    <row r="28" spans="1:16" ht="13.5" customHeight="1" x14ac:dyDescent="0.2">
      <c r="A28" s="231" t="str">
        <f>CONCATENATE('Input - Customer Data'!A55,"-",'Input - Customer Data'!B55)</f>
        <v>2009-December</v>
      </c>
      <c r="B28" s="740">
        <v>14424067.26</v>
      </c>
      <c r="C28" s="438">
        <v>883485.75</v>
      </c>
      <c r="D28" s="439">
        <v>294708</v>
      </c>
      <c r="E28" s="439"/>
      <c r="F28" s="439"/>
      <c r="G28" s="439"/>
      <c r="H28" s="165">
        <f t="shared" si="0"/>
        <v>13245873.51</v>
      </c>
      <c r="I28" s="164"/>
      <c r="J28" s="440">
        <v>669.5</v>
      </c>
      <c r="K28" s="440">
        <v>0</v>
      </c>
      <c r="L28" s="440">
        <v>31</v>
      </c>
      <c r="M28" s="440">
        <v>639.1</v>
      </c>
      <c r="N28" s="516">
        <v>8.4700000000000006</v>
      </c>
      <c r="O28" s="440">
        <v>0</v>
      </c>
      <c r="P28" s="440"/>
    </row>
    <row r="29" spans="1:16" x14ac:dyDescent="0.2">
      <c r="A29" s="231" t="str">
        <f>CONCATENATE('Input - Customer Data'!A56,"-",'Input - Customer Data'!B56)</f>
        <v>2010-January</v>
      </c>
      <c r="B29" s="740">
        <v>14435761.82</v>
      </c>
      <c r="C29" s="438">
        <v>948342.75</v>
      </c>
      <c r="D29" s="439">
        <v>283334.75</v>
      </c>
      <c r="E29" s="439"/>
      <c r="F29" s="439"/>
      <c r="G29" s="439"/>
      <c r="H29" s="165">
        <f t="shared" si="0"/>
        <v>13204084.32</v>
      </c>
      <c r="I29" s="164"/>
      <c r="J29" s="440">
        <v>721.1</v>
      </c>
      <c r="K29" s="440">
        <v>0</v>
      </c>
      <c r="L29" s="440">
        <v>31</v>
      </c>
      <c r="M29" s="440">
        <v>633.6</v>
      </c>
      <c r="N29" s="516">
        <v>9.09</v>
      </c>
      <c r="O29" s="440">
        <v>0</v>
      </c>
      <c r="P29" s="440"/>
    </row>
    <row r="30" spans="1:16" x14ac:dyDescent="0.2">
      <c r="A30" s="231" t="str">
        <f>CONCATENATE('Input - Customer Data'!A57,"-",'Input - Customer Data'!B57)</f>
        <v>2010-February</v>
      </c>
      <c r="B30" s="740">
        <v>12846380.85</v>
      </c>
      <c r="C30" s="438">
        <v>854487.75</v>
      </c>
      <c r="D30" s="439">
        <v>250270.2</v>
      </c>
      <c r="E30" s="439"/>
      <c r="F30" s="439"/>
      <c r="G30" s="439"/>
      <c r="H30" s="165">
        <f t="shared" si="0"/>
        <v>11741622.9</v>
      </c>
      <c r="I30" s="164"/>
      <c r="J30" s="440">
        <v>644.70000000000005</v>
      </c>
      <c r="K30" s="440">
        <v>0</v>
      </c>
      <c r="L30" s="440">
        <v>28</v>
      </c>
      <c r="M30" s="440">
        <v>630.5</v>
      </c>
      <c r="N30" s="516">
        <v>10.19</v>
      </c>
      <c r="O30" s="440">
        <v>0</v>
      </c>
      <c r="P30" s="440"/>
    </row>
    <row r="31" spans="1:16" x14ac:dyDescent="0.2">
      <c r="A31" s="231" t="str">
        <f>CONCATENATE('Input - Customer Data'!A58,"-",'Input - Customer Data'!B58)</f>
        <v>2010-March</v>
      </c>
      <c r="B31" s="740">
        <v>13466440.77</v>
      </c>
      <c r="C31" s="438">
        <v>969330.75</v>
      </c>
      <c r="D31" s="439">
        <v>282977.40000000002</v>
      </c>
      <c r="E31" s="439"/>
      <c r="F31" s="439"/>
      <c r="G31" s="439"/>
      <c r="H31" s="165">
        <f t="shared" si="0"/>
        <v>12214132.619999999</v>
      </c>
      <c r="I31" s="164"/>
      <c r="J31" s="440">
        <v>470.9</v>
      </c>
      <c r="K31" s="440">
        <v>0</v>
      </c>
      <c r="L31" s="440">
        <v>31</v>
      </c>
      <c r="M31" s="440">
        <v>627.5</v>
      </c>
      <c r="N31" s="516">
        <v>11.51</v>
      </c>
      <c r="O31" s="440">
        <v>1</v>
      </c>
      <c r="P31" s="440"/>
    </row>
    <row r="32" spans="1:16" x14ac:dyDescent="0.2">
      <c r="A32" s="231" t="str">
        <f>CONCATENATE('Input - Customer Data'!A59,"-",'Input - Customer Data'!B59)</f>
        <v>2010-April</v>
      </c>
      <c r="B32" s="740">
        <v>11695829.130000001</v>
      </c>
      <c r="C32" s="438">
        <v>889725</v>
      </c>
      <c r="D32" s="439">
        <v>277311.3</v>
      </c>
      <c r="E32" s="439"/>
      <c r="F32" s="439"/>
      <c r="G32" s="439"/>
      <c r="H32" s="165">
        <f t="shared" si="0"/>
        <v>10528792.83</v>
      </c>
      <c r="I32" s="164"/>
      <c r="J32" s="440">
        <v>260.60000000000002</v>
      </c>
      <c r="K32" s="440">
        <v>0</v>
      </c>
      <c r="L32" s="440">
        <v>30</v>
      </c>
      <c r="M32" s="440">
        <v>631.6</v>
      </c>
      <c r="N32" s="516">
        <v>13.28</v>
      </c>
      <c r="O32" s="440">
        <v>1</v>
      </c>
      <c r="P32" s="440"/>
    </row>
    <row r="33" spans="1:16" x14ac:dyDescent="0.2">
      <c r="A33" s="231" t="str">
        <f>CONCATENATE('Input - Customer Data'!A60,"-",'Input - Customer Data'!B60)</f>
        <v>2010-May</v>
      </c>
      <c r="B33" s="740">
        <v>12039396.98</v>
      </c>
      <c r="C33" s="438">
        <v>983087.25</v>
      </c>
      <c r="D33" s="439">
        <v>307353.90000000002</v>
      </c>
      <c r="E33" s="439"/>
      <c r="F33" s="439"/>
      <c r="G33" s="439"/>
      <c r="H33" s="165">
        <f t="shared" si="0"/>
        <v>10748955.83</v>
      </c>
      <c r="I33" s="164"/>
      <c r="J33" s="440">
        <v>144.69999999999999</v>
      </c>
      <c r="K33" s="440">
        <v>21</v>
      </c>
      <c r="L33" s="440">
        <v>31</v>
      </c>
      <c r="M33" s="440">
        <v>641.5</v>
      </c>
      <c r="N33" s="516">
        <v>14.52</v>
      </c>
      <c r="O33" s="440">
        <v>1</v>
      </c>
      <c r="P33" s="440"/>
    </row>
    <row r="34" spans="1:16" x14ac:dyDescent="0.2">
      <c r="A34" s="231" t="str">
        <f>CONCATENATE('Input - Customer Data'!A61,"-",'Input - Customer Data'!B61)</f>
        <v>2010-June</v>
      </c>
      <c r="B34" s="740">
        <v>12588185.24</v>
      </c>
      <c r="C34" s="438">
        <v>993703.5</v>
      </c>
      <c r="D34" s="439">
        <v>305354.7</v>
      </c>
      <c r="E34" s="439"/>
      <c r="F34" s="439"/>
      <c r="G34" s="439"/>
      <c r="H34" s="165">
        <f t="shared" si="0"/>
        <v>11289127.040000001</v>
      </c>
      <c r="I34" s="164"/>
      <c r="J34" s="440">
        <v>37.700000000000003</v>
      </c>
      <c r="K34" s="440">
        <v>32.6</v>
      </c>
      <c r="L34" s="440">
        <v>30</v>
      </c>
      <c r="M34" s="440">
        <v>657.2</v>
      </c>
      <c r="N34" s="516">
        <v>15.35</v>
      </c>
      <c r="O34" s="440">
        <v>0</v>
      </c>
      <c r="P34" s="440"/>
    </row>
    <row r="35" spans="1:16" x14ac:dyDescent="0.2">
      <c r="A35" s="231" t="str">
        <f>CONCATENATE('Input - Customer Data'!A62,"-",'Input - Customer Data'!B62)</f>
        <v>2010-July</v>
      </c>
      <c r="B35" s="740">
        <v>13590961.939999999</v>
      </c>
      <c r="C35" s="438">
        <v>895740.75</v>
      </c>
      <c r="D35" s="439">
        <v>324751.8</v>
      </c>
      <c r="E35" s="439"/>
      <c r="F35" s="439"/>
      <c r="G35" s="439"/>
      <c r="H35" s="165">
        <f t="shared" si="0"/>
        <v>12370469.389999999</v>
      </c>
      <c r="I35" s="164"/>
      <c r="J35" s="440">
        <v>6.7</v>
      </c>
      <c r="K35" s="440">
        <v>106.6</v>
      </c>
      <c r="L35" s="440">
        <v>31</v>
      </c>
      <c r="M35" s="440">
        <v>669.8</v>
      </c>
      <c r="N35" s="516">
        <v>15.15</v>
      </c>
      <c r="O35" s="440">
        <v>0</v>
      </c>
      <c r="P35" s="440"/>
    </row>
    <row r="36" spans="1:16" x14ac:dyDescent="0.2">
      <c r="A36" s="231" t="str">
        <f>CONCATENATE('Input - Customer Data'!A63,"-",'Input - Customer Data'!B63)</f>
        <v>2010-August</v>
      </c>
      <c r="B36" s="740">
        <v>13165945.18</v>
      </c>
      <c r="C36" s="438">
        <v>1004868</v>
      </c>
      <c r="D36" s="439">
        <v>327550.5</v>
      </c>
      <c r="E36" s="439"/>
      <c r="F36" s="439"/>
      <c r="G36" s="439"/>
      <c r="H36" s="165">
        <f t="shared" si="0"/>
        <v>11833526.68</v>
      </c>
      <c r="I36" s="164"/>
      <c r="J36" s="440">
        <v>14.2</v>
      </c>
      <c r="K36" s="440">
        <v>85.3</v>
      </c>
      <c r="L36" s="440">
        <v>31</v>
      </c>
      <c r="M36" s="440">
        <v>672</v>
      </c>
      <c r="N36" s="516">
        <v>14.03</v>
      </c>
      <c r="O36" s="440">
        <v>0</v>
      </c>
      <c r="P36" s="440"/>
    </row>
    <row r="37" spans="1:16" x14ac:dyDescent="0.2">
      <c r="A37" s="231" t="str">
        <f>CONCATENATE('Input - Customer Data'!A64,"-",'Input - Customer Data'!B64)</f>
        <v>2010-September</v>
      </c>
      <c r="B37" s="740">
        <v>12387488.950000001</v>
      </c>
      <c r="C37" s="438">
        <v>947171.25</v>
      </c>
      <c r="D37" s="439">
        <v>297967.5</v>
      </c>
      <c r="E37" s="439"/>
      <c r="F37" s="439"/>
      <c r="G37" s="439"/>
      <c r="H37" s="165">
        <f t="shared" si="0"/>
        <v>11142350.200000001</v>
      </c>
      <c r="I37" s="164"/>
      <c r="J37" s="440">
        <v>122.7</v>
      </c>
      <c r="K37" s="440">
        <v>23</v>
      </c>
      <c r="L37" s="440">
        <v>30</v>
      </c>
      <c r="M37" s="440">
        <v>665.1</v>
      </c>
      <c r="N37" s="516">
        <v>12.29</v>
      </c>
      <c r="O37" s="440">
        <v>1</v>
      </c>
      <c r="P37" s="440"/>
    </row>
    <row r="38" spans="1:16" x14ac:dyDescent="0.2">
      <c r="A38" s="231" t="str">
        <f>CONCATENATE('Input - Customer Data'!A65,"-",'Input - Customer Data'!B65)</f>
        <v>2010-October</v>
      </c>
      <c r="B38" s="740">
        <v>12591988.770000001</v>
      </c>
      <c r="C38" s="438">
        <v>928317</v>
      </c>
      <c r="D38" s="439">
        <v>297583.5</v>
      </c>
      <c r="E38" s="439"/>
      <c r="F38" s="439"/>
      <c r="G38" s="439"/>
      <c r="H38" s="165">
        <f t="shared" si="0"/>
        <v>11366088.270000001</v>
      </c>
      <c r="I38" s="164"/>
      <c r="J38" s="440">
        <v>284.60000000000002</v>
      </c>
      <c r="K38" s="440">
        <v>0</v>
      </c>
      <c r="L38" s="440">
        <v>31</v>
      </c>
      <c r="M38" s="440">
        <v>657.2</v>
      </c>
      <c r="N38" s="516">
        <v>10.51</v>
      </c>
      <c r="O38" s="440">
        <v>1</v>
      </c>
      <c r="P38" s="440"/>
    </row>
    <row r="39" spans="1:16" x14ac:dyDescent="0.2">
      <c r="A39" s="231" t="str">
        <f>CONCATENATE('Input - Customer Data'!A66,"-",'Input - Customer Data'!B66)</f>
        <v>2010-November</v>
      </c>
      <c r="B39" s="740">
        <v>13323219.41</v>
      </c>
      <c r="C39" s="438">
        <v>973789.5</v>
      </c>
      <c r="D39" s="439">
        <v>283889.7</v>
      </c>
      <c r="E39" s="439"/>
      <c r="F39" s="439"/>
      <c r="G39" s="439"/>
      <c r="H39" s="165">
        <f t="shared" si="0"/>
        <v>12065540.210000001</v>
      </c>
      <c r="I39" s="164"/>
      <c r="J39" s="440">
        <v>424.1</v>
      </c>
      <c r="K39" s="440">
        <v>0</v>
      </c>
      <c r="L39" s="440">
        <v>30</v>
      </c>
      <c r="M39" s="440">
        <v>655.20000000000005</v>
      </c>
      <c r="N39" s="516">
        <v>9.2799999999999994</v>
      </c>
      <c r="O39" s="440">
        <v>1</v>
      </c>
      <c r="P39" s="440"/>
    </row>
    <row r="40" spans="1:16" x14ac:dyDescent="0.2">
      <c r="A40" s="231" t="str">
        <f>CONCATENATE('Input - Customer Data'!A67,"-",'Input - Customer Data'!B67)</f>
        <v>2010-December</v>
      </c>
      <c r="B40" s="740">
        <v>13800475.360000001</v>
      </c>
      <c r="C40" s="438">
        <v>877779.75</v>
      </c>
      <c r="D40" s="439">
        <v>286858.2</v>
      </c>
      <c r="E40" s="439"/>
      <c r="F40" s="439"/>
      <c r="G40" s="439"/>
      <c r="H40" s="165">
        <f t="shared" si="0"/>
        <v>12635837.410000002</v>
      </c>
      <c r="I40" s="164"/>
      <c r="J40" s="440">
        <v>719.4</v>
      </c>
      <c r="K40" s="440">
        <v>0</v>
      </c>
      <c r="L40" s="440">
        <v>31</v>
      </c>
      <c r="M40" s="440">
        <v>653.29999999999995</v>
      </c>
      <c r="N40" s="516">
        <v>8.4700000000000006</v>
      </c>
      <c r="O40" s="440">
        <v>0</v>
      </c>
      <c r="P40" s="440"/>
    </row>
    <row r="41" spans="1:16" x14ac:dyDescent="0.2">
      <c r="A41" s="231" t="str">
        <f>CONCATENATE('Input - Customer Data'!A68,"-",'Input - Customer Data'!B68)</f>
        <v>2011-January</v>
      </c>
      <c r="B41" s="740">
        <v>14553973.74</v>
      </c>
      <c r="C41" s="438">
        <v>890927.25</v>
      </c>
      <c r="D41" s="439">
        <v>284591.40000000002</v>
      </c>
      <c r="E41" s="439"/>
      <c r="F41" s="439"/>
      <c r="G41" s="439"/>
      <c r="H41" s="165">
        <f t="shared" si="0"/>
        <v>13378455.09</v>
      </c>
      <c r="I41" s="164"/>
      <c r="J41" s="440">
        <v>822</v>
      </c>
      <c r="K41" s="440">
        <v>0</v>
      </c>
      <c r="L41" s="440">
        <v>31</v>
      </c>
      <c r="M41" s="440">
        <v>649.29999999999995</v>
      </c>
      <c r="N41" s="516">
        <v>9.09</v>
      </c>
      <c r="O41" s="440">
        <v>0</v>
      </c>
      <c r="P41" s="440"/>
    </row>
    <row r="42" spans="1:16" x14ac:dyDescent="0.2">
      <c r="A42" s="231" t="str">
        <f>CONCATENATE('Input - Customer Data'!A69,"-",'Input - Customer Data'!B69)</f>
        <v>2011-February</v>
      </c>
      <c r="B42" s="740">
        <v>12993844.84</v>
      </c>
      <c r="C42" s="438">
        <v>814548</v>
      </c>
      <c r="D42" s="439">
        <v>256467.3</v>
      </c>
      <c r="E42" s="439"/>
      <c r="F42" s="439"/>
      <c r="G42" s="439"/>
      <c r="H42" s="165">
        <f t="shared" si="0"/>
        <v>11922829.539999999</v>
      </c>
      <c r="I42" s="164"/>
      <c r="J42" s="440">
        <v>689.3</v>
      </c>
      <c r="K42" s="440">
        <v>0</v>
      </c>
      <c r="L42" s="440">
        <v>28</v>
      </c>
      <c r="M42" s="440">
        <v>651.20000000000005</v>
      </c>
      <c r="N42" s="516">
        <v>10.19</v>
      </c>
      <c r="O42" s="440">
        <v>0</v>
      </c>
      <c r="P42" s="440"/>
    </row>
    <row r="43" spans="1:16" x14ac:dyDescent="0.2">
      <c r="A43" s="231" t="str">
        <f>CONCATENATE('Input - Customer Data'!A70,"-",'Input - Customer Data'!B70)</f>
        <v>2011-March</v>
      </c>
      <c r="B43" s="740">
        <v>13683974.060000001</v>
      </c>
      <c r="C43" s="438">
        <v>876211.5</v>
      </c>
      <c r="D43" s="439">
        <v>291548.7</v>
      </c>
      <c r="E43" s="439"/>
      <c r="F43" s="439"/>
      <c r="G43" s="439"/>
      <c r="H43" s="165">
        <f t="shared" si="0"/>
        <v>12516213.860000001</v>
      </c>
      <c r="I43" s="164"/>
      <c r="J43" s="440">
        <v>622.29999999999995</v>
      </c>
      <c r="K43" s="440">
        <v>0</v>
      </c>
      <c r="L43" s="440">
        <v>31</v>
      </c>
      <c r="M43" s="440">
        <v>657.1</v>
      </c>
      <c r="N43" s="516">
        <v>11.51</v>
      </c>
      <c r="O43" s="440">
        <v>1</v>
      </c>
      <c r="P43" s="440"/>
    </row>
    <row r="44" spans="1:16" x14ac:dyDescent="0.2">
      <c r="A44" s="231" t="str">
        <f>CONCATENATE('Input - Customer Data'!A71,"-",'Input - Customer Data'!B71)</f>
        <v>2011-April</v>
      </c>
      <c r="B44" s="740">
        <v>11913552.879999999</v>
      </c>
      <c r="C44" s="438">
        <v>815261.25</v>
      </c>
      <c r="D44" s="439">
        <v>285969</v>
      </c>
      <c r="E44" s="439"/>
      <c r="F44" s="439"/>
      <c r="G44" s="439"/>
      <c r="H44" s="165">
        <f t="shared" si="0"/>
        <v>10812322.629999999</v>
      </c>
      <c r="I44" s="164"/>
      <c r="J44" s="440">
        <v>349.6</v>
      </c>
      <c r="K44" s="440">
        <v>0</v>
      </c>
      <c r="L44" s="440">
        <v>30</v>
      </c>
      <c r="M44" s="440">
        <v>666.4</v>
      </c>
      <c r="N44" s="516">
        <v>13.28</v>
      </c>
      <c r="O44" s="440">
        <v>1</v>
      </c>
      <c r="P44" s="440"/>
    </row>
    <row r="45" spans="1:16" x14ac:dyDescent="0.2">
      <c r="A45" s="231" t="str">
        <f>CONCATENATE('Input - Customer Data'!A72,"-",'Input - Customer Data'!B72)</f>
        <v>2011-May</v>
      </c>
      <c r="B45" s="740">
        <v>11611512.92</v>
      </c>
      <c r="C45" s="438">
        <v>886779.75</v>
      </c>
      <c r="D45" s="439">
        <v>310073.09999999998</v>
      </c>
      <c r="E45" s="439"/>
      <c r="F45" s="439"/>
      <c r="G45" s="439"/>
      <c r="H45" s="165">
        <f t="shared" si="0"/>
        <v>10414660.07</v>
      </c>
      <c r="I45" s="164"/>
      <c r="J45" s="440">
        <v>156.69999999999999</v>
      </c>
      <c r="K45" s="440">
        <v>13.2</v>
      </c>
      <c r="L45" s="440">
        <v>31</v>
      </c>
      <c r="M45" s="440">
        <v>671.5</v>
      </c>
      <c r="N45" s="516">
        <v>14.52</v>
      </c>
      <c r="O45" s="440">
        <v>1</v>
      </c>
      <c r="P45" s="440"/>
    </row>
    <row r="46" spans="1:16" x14ac:dyDescent="0.2">
      <c r="A46" s="231" t="str">
        <f>CONCATENATE('Input - Customer Data'!A73,"-",'Input - Customer Data'!B73)</f>
        <v>2011-June</v>
      </c>
      <c r="B46" s="740">
        <v>12209704.779999999</v>
      </c>
      <c r="C46" s="438">
        <v>901943.25</v>
      </c>
      <c r="D46" s="439">
        <v>317302.5</v>
      </c>
      <c r="E46" s="439"/>
      <c r="F46" s="439"/>
      <c r="G46" s="439"/>
      <c r="H46" s="165">
        <f t="shared" si="0"/>
        <v>10990459.029999999</v>
      </c>
      <c r="I46" s="164"/>
      <c r="J46" s="440">
        <v>48.5</v>
      </c>
      <c r="K46" s="440">
        <v>21.6</v>
      </c>
      <c r="L46" s="440">
        <v>30</v>
      </c>
      <c r="M46" s="440">
        <v>681.8</v>
      </c>
      <c r="N46" s="516">
        <v>15.35</v>
      </c>
      <c r="O46" s="440">
        <v>0</v>
      </c>
      <c r="P46" s="440"/>
    </row>
    <row r="47" spans="1:16" x14ac:dyDescent="0.2">
      <c r="A47" s="231" t="str">
        <f>CONCATENATE('Input - Customer Data'!A74,"-",'Input - Customer Data'!B74)</f>
        <v>2011-July</v>
      </c>
      <c r="B47" s="740">
        <v>13541155.949999999</v>
      </c>
      <c r="C47" s="438">
        <v>836556.75</v>
      </c>
      <c r="D47" s="439">
        <v>347668.5</v>
      </c>
      <c r="E47" s="439"/>
      <c r="F47" s="439"/>
      <c r="G47" s="439"/>
      <c r="H47" s="165">
        <f t="shared" si="0"/>
        <v>12356930.699999999</v>
      </c>
      <c r="I47" s="164"/>
      <c r="J47" s="440">
        <v>0.8</v>
      </c>
      <c r="K47" s="440">
        <v>129.69999999999999</v>
      </c>
      <c r="L47" s="440">
        <v>31</v>
      </c>
      <c r="M47" s="440">
        <v>691.5</v>
      </c>
      <c r="N47" s="516">
        <v>15.15</v>
      </c>
      <c r="O47" s="440">
        <v>0</v>
      </c>
      <c r="P47" s="440"/>
    </row>
    <row r="48" spans="1:16" x14ac:dyDescent="0.2">
      <c r="A48" s="231" t="str">
        <f>CONCATENATE('Input - Customer Data'!A75,"-",'Input - Customer Data'!B75)</f>
        <v>2011-August</v>
      </c>
      <c r="B48" s="740">
        <v>12787062.35</v>
      </c>
      <c r="C48" s="438">
        <v>939744</v>
      </c>
      <c r="D48" s="439">
        <v>326499.90000000002</v>
      </c>
      <c r="E48" s="439"/>
      <c r="F48" s="439"/>
      <c r="G48" s="439"/>
      <c r="H48" s="165">
        <f t="shared" si="0"/>
        <v>11520818.449999999</v>
      </c>
      <c r="I48" s="164"/>
      <c r="J48" s="440">
        <v>6.9</v>
      </c>
      <c r="K48" s="440">
        <v>60.1</v>
      </c>
      <c r="L48" s="440">
        <v>31</v>
      </c>
      <c r="M48" s="440">
        <v>694.9</v>
      </c>
      <c r="N48" s="516">
        <v>14.03</v>
      </c>
      <c r="O48" s="440">
        <v>0</v>
      </c>
      <c r="P48" s="440"/>
    </row>
    <row r="49" spans="1:16" x14ac:dyDescent="0.2">
      <c r="A49" s="231" t="str">
        <f>CONCATENATE('Input - Customer Data'!A76,"-",'Input - Customer Data'!B76)</f>
        <v>2011-September</v>
      </c>
      <c r="B49" s="740">
        <v>12157224.200000001</v>
      </c>
      <c r="C49" s="438">
        <v>867267</v>
      </c>
      <c r="D49" s="439">
        <v>294017.40000000002</v>
      </c>
      <c r="E49" s="439"/>
      <c r="F49" s="439"/>
      <c r="G49" s="439"/>
      <c r="H49" s="165">
        <f t="shared" si="0"/>
        <v>10995939.800000001</v>
      </c>
      <c r="I49" s="164"/>
      <c r="J49" s="440">
        <v>98.4</v>
      </c>
      <c r="K49" s="440">
        <v>19.7</v>
      </c>
      <c r="L49" s="440">
        <v>30</v>
      </c>
      <c r="M49" s="440">
        <v>688.6</v>
      </c>
      <c r="N49" s="516">
        <v>12.29</v>
      </c>
      <c r="O49" s="440">
        <v>1</v>
      </c>
      <c r="P49" s="440"/>
    </row>
    <row r="50" spans="1:16" x14ac:dyDescent="0.2">
      <c r="A50" s="231" t="str">
        <f>CONCATENATE('Input - Customer Data'!A77,"-",'Input - Customer Data'!B77)</f>
        <v>2011-October</v>
      </c>
      <c r="B50" s="740">
        <v>12479238.459999999</v>
      </c>
      <c r="C50" s="438">
        <v>840586.8</v>
      </c>
      <c r="D50" s="439">
        <v>291995.7</v>
      </c>
      <c r="E50" s="439"/>
      <c r="F50" s="439"/>
      <c r="G50" s="439"/>
      <c r="H50" s="165">
        <f t="shared" si="0"/>
        <v>11346655.959999999</v>
      </c>
      <c r="I50" s="164"/>
      <c r="J50" s="440">
        <v>279.89999999999998</v>
      </c>
      <c r="K50" s="440">
        <v>0</v>
      </c>
      <c r="L50" s="440">
        <v>31</v>
      </c>
      <c r="M50" s="440">
        <v>682.2</v>
      </c>
      <c r="N50" s="516">
        <v>10.51</v>
      </c>
      <c r="O50" s="440">
        <v>1</v>
      </c>
      <c r="P50" s="440"/>
    </row>
    <row r="51" spans="1:16" x14ac:dyDescent="0.2">
      <c r="A51" s="231" t="str">
        <f>CONCATENATE('Input - Customer Data'!A78,"-",'Input - Customer Data'!B78)</f>
        <v>2011-November</v>
      </c>
      <c r="B51" s="740">
        <v>12750868.540000001</v>
      </c>
      <c r="C51" s="438">
        <v>891857.4</v>
      </c>
      <c r="D51" s="439">
        <v>273960</v>
      </c>
      <c r="E51" s="439"/>
      <c r="F51" s="439"/>
      <c r="G51" s="439"/>
      <c r="H51" s="165">
        <f t="shared" si="0"/>
        <v>11585051.140000001</v>
      </c>
      <c r="I51" s="164"/>
      <c r="J51" s="440">
        <v>382.4</v>
      </c>
      <c r="K51" s="440">
        <v>0</v>
      </c>
      <c r="L51" s="440">
        <v>30</v>
      </c>
      <c r="M51" s="440">
        <v>677</v>
      </c>
      <c r="N51" s="516">
        <v>9.2799999999999994</v>
      </c>
      <c r="O51" s="440">
        <v>1</v>
      </c>
      <c r="P51" s="440"/>
    </row>
    <row r="52" spans="1:16" x14ac:dyDescent="0.2">
      <c r="A52" s="231" t="str">
        <f>CONCATENATE('Input - Customer Data'!A79,"-",'Input - Customer Data'!B79)</f>
        <v>2011-December</v>
      </c>
      <c r="B52" s="740">
        <v>13532542.880000001</v>
      </c>
      <c r="C52" s="438">
        <v>816194.55</v>
      </c>
      <c r="D52" s="439">
        <v>277776.59999999998</v>
      </c>
      <c r="E52" s="439"/>
      <c r="F52" s="439"/>
      <c r="G52" s="439"/>
      <c r="H52" s="165">
        <f t="shared" si="0"/>
        <v>12438571.73</v>
      </c>
      <c r="I52" s="164"/>
      <c r="J52" s="440">
        <v>574.79999999999995</v>
      </c>
      <c r="K52" s="440">
        <v>0</v>
      </c>
      <c r="L52" s="440">
        <v>31</v>
      </c>
      <c r="M52" s="440">
        <v>676.6</v>
      </c>
      <c r="N52" s="516">
        <v>8.4700000000000006</v>
      </c>
      <c r="O52" s="440">
        <v>0</v>
      </c>
      <c r="P52" s="440"/>
    </row>
    <row r="53" spans="1:16" x14ac:dyDescent="0.2">
      <c r="A53" s="231" t="str">
        <f>CONCATENATE('Input - Customer Data'!A80,"-",'Input - Customer Data'!B80)</f>
        <v>2012-January</v>
      </c>
      <c r="B53" s="740">
        <v>14585568.360000001</v>
      </c>
      <c r="C53" s="438">
        <v>935142.45</v>
      </c>
      <c r="D53" s="439">
        <v>272840.7</v>
      </c>
      <c r="E53" s="439"/>
      <c r="F53" s="439"/>
      <c r="G53" s="439"/>
      <c r="H53" s="165">
        <f t="shared" si="0"/>
        <v>13377585.210000001</v>
      </c>
      <c r="I53" s="164"/>
      <c r="J53" s="440">
        <v>657.3</v>
      </c>
      <c r="K53" s="440">
        <v>0</v>
      </c>
      <c r="L53" s="440">
        <v>31</v>
      </c>
      <c r="M53" s="440">
        <v>670.9</v>
      </c>
      <c r="N53" s="516">
        <v>9.09</v>
      </c>
      <c r="O53" s="440">
        <v>0</v>
      </c>
      <c r="P53" s="440"/>
    </row>
    <row r="54" spans="1:16" x14ac:dyDescent="0.2">
      <c r="A54" s="231" t="str">
        <f>CONCATENATE('Input - Customer Data'!A81,"-",'Input - Customer Data'!B81)</f>
        <v>2012-February</v>
      </c>
      <c r="B54" s="740">
        <v>13424711.959999999</v>
      </c>
      <c r="C54" s="438">
        <v>869366.55</v>
      </c>
      <c r="D54" s="439">
        <v>257403.3</v>
      </c>
      <c r="E54" s="439"/>
      <c r="F54" s="439"/>
      <c r="G54" s="439"/>
      <c r="H54" s="165">
        <f t="shared" si="0"/>
        <v>12297942.109999999</v>
      </c>
      <c r="I54" s="164"/>
      <c r="J54" s="440">
        <v>573</v>
      </c>
      <c r="K54" s="440">
        <v>0</v>
      </c>
      <c r="L54" s="440">
        <v>29</v>
      </c>
      <c r="M54" s="440">
        <v>668.7</v>
      </c>
      <c r="N54" s="516">
        <v>10.19</v>
      </c>
      <c r="O54" s="440">
        <v>0</v>
      </c>
      <c r="P54" s="440"/>
    </row>
    <row r="55" spans="1:16" x14ac:dyDescent="0.2">
      <c r="A55" s="231" t="str">
        <f>CONCATENATE('Input - Customer Data'!A82,"-",'Input - Customer Data'!B82)</f>
        <v>2012-March</v>
      </c>
      <c r="B55" s="740">
        <v>13395036.790000001</v>
      </c>
      <c r="C55" s="438">
        <v>922200.45</v>
      </c>
      <c r="D55" s="439">
        <v>283807.2</v>
      </c>
      <c r="E55" s="439"/>
      <c r="F55" s="439"/>
      <c r="G55" s="439"/>
      <c r="H55" s="165">
        <f t="shared" si="0"/>
        <v>12189029.140000001</v>
      </c>
      <c r="I55" s="164"/>
      <c r="J55" s="440">
        <v>370.1</v>
      </c>
      <c r="K55" s="440">
        <v>0</v>
      </c>
      <c r="L55" s="440">
        <v>31</v>
      </c>
      <c r="M55" s="440">
        <v>666</v>
      </c>
      <c r="N55" s="516">
        <v>11.51</v>
      </c>
      <c r="O55" s="440">
        <v>1</v>
      </c>
      <c r="P55" s="440"/>
    </row>
    <row r="56" spans="1:16" x14ac:dyDescent="0.2">
      <c r="A56" s="231" t="str">
        <f>CONCATENATE('Input - Customer Data'!A83,"-",'Input - Customer Data'!B83)</f>
        <v>2012-April</v>
      </c>
      <c r="B56" s="740">
        <v>12290763.73</v>
      </c>
      <c r="C56" s="438">
        <v>853750.35</v>
      </c>
      <c r="D56" s="439">
        <v>272601.59999999998</v>
      </c>
      <c r="E56" s="439"/>
      <c r="F56" s="439"/>
      <c r="G56" s="439"/>
      <c r="H56" s="165">
        <f t="shared" si="0"/>
        <v>11164411.780000001</v>
      </c>
      <c r="I56" s="164"/>
      <c r="J56" s="440">
        <v>365.3</v>
      </c>
      <c r="K56" s="440">
        <v>0</v>
      </c>
      <c r="L56" s="440">
        <v>30</v>
      </c>
      <c r="M56" s="440">
        <v>667.4</v>
      </c>
      <c r="N56" s="516">
        <v>13.28</v>
      </c>
      <c r="O56" s="440">
        <v>1</v>
      </c>
      <c r="P56" s="440"/>
    </row>
    <row r="57" spans="1:16" x14ac:dyDescent="0.2">
      <c r="A57" s="231" t="str">
        <f>CONCATENATE('Input - Customer Data'!A84,"-",'Input - Customer Data'!B84)</f>
        <v>2012-May</v>
      </c>
      <c r="B57" s="740">
        <v>12220935.399999999</v>
      </c>
      <c r="C57" s="438">
        <v>907708.05</v>
      </c>
      <c r="D57" s="439">
        <v>297869.7</v>
      </c>
      <c r="E57" s="439"/>
      <c r="F57" s="439"/>
      <c r="G57" s="439"/>
      <c r="H57" s="165">
        <f t="shared" si="0"/>
        <v>11015357.649999999</v>
      </c>
      <c r="I57" s="164"/>
      <c r="J57" s="440">
        <v>105.8</v>
      </c>
      <c r="K57" s="440">
        <v>18.2</v>
      </c>
      <c r="L57" s="440">
        <v>31</v>
      </c>
      <c r="M57" s="440">
        <v>672.1</v>
      </c>
      <c r="N57" s="516">
        <v>14.52</v>
      </c>
      <c r="O57" s="440">
        <v>1</v>
      </c>
      <c r="P57" s="440"/>
    </row>
    <row r="58" spans="1:16" x14ac:dyDescent="0.2">
      <c r="A58" s="231" t="str">
        <f>CONCATENATE('Input - Customer Data'!A85,"-",'Input - Customer Data'!B85)</f>
        <v>2012-June</v>
      </c>
      <c r="B58" s="740">
        <v>12944227.869999999</v>
      </c>
      <c r="C58" s="438">
        <v>901851.45</v>
      </c>
      <c r="D58" s="439">
        <v>300585.59999999998</v>
      </c>
      <c r="E58" s="439"/>
      <c r="F58" s="439"/>
      <c r="G58" s="439"/>
      <c r="H58" s="165">
        <f t="shared" si="0"/>
        <v>11741790.82</v>
      </c>
      <c r="I58" s="164"/>
      <c r="J58" s="440">
        <v>42.1</v>
      </c>
      <c r="K58" s="440">
        <v>61.2</v>
      </c>
      <c r="L58" s="440">
        <v>30</v>
      </c>
      <c r="M58" s="440">
        <v>678.4</v>
      </c>
      <c r="N58" s="516">
        <v>15.35</v>
      </c>
      <c r="O58" s="440">
        <v>0</v>
      </c>
      <c r="P58" s="440"/>
    </row>
    <row r="59" spans="1:16" x14ac:dyDescent="0.2">
      <c r="A59" s="231" t="str">
        <f>CONCATENATE('Input - Customer Data'!A86,"-",'Input - Customer Data'!B86)</f>
        <v>2012-July</v>
      </c>
      <c r="B59" s="740">
        <v>14085492.17</v>
      </c>
      <c r="C59" s="438">
        <v>874125.9</v>
      </c>
      <c r="D59" s="439">
        <v>321338.40000000002</v>
      </c>
      <c r="E59" s="439"/>
      <c r="F59" s="439"/>
      <c r="G59" s="439"/>
      <c r="H59" s="165">
        <f t="shared" si="0"/>
        <v>12890027.869999999</v>
      </c>
      <c r="I59" s="164"/>
      <c r="J59" s="440">
        <v>0</v>
      </c>
      <c r="K59" s="440">
        <v>128.19999999999999</v>
      </c>
      <c r="L59" s="440">
        <v>31</v>
      </c>
      <c r="M59" s="440">
        <v>682</v>
      </c>
      <c r="N59" s="516">
        <v>15.15</v>
      </c>
      <c r="O59" s="440">
        <v>0</v>
      </c>
      <c r="P59" s="440"/>
    </row>
    <row r="60" spans="1:16" x14ac:dyDescent="0.2">
      <c r="A60" s="231" t="str">
        <f>CONCATENATE('Input - Customer Data'!A87,"-",'Input - Customer Data'!B87)</f>
        <v>2012-August</v>
      </c>
      <c r="B60" s="740">
        <v>12866836.83</v>
      </c>
      <c r="C60" s="438">
        <v>937434</v>
      </c>
      <c r="D60" s="439">
        <v>152537.4</v>
      </c>
      <c r="E60" s="439"/>
      <c r="F60" s="439"/>
      <c r="G60" s="439"/>
      <c r="H60" s="165">
        <f t="shared" si="0"/>
        <v>11776865.43</v>
      </c>
      <c r="I60" s="164"/>
      <c r="J60" s="440">
        <v>19.399999999999999</v>
      </c>
      <c r="K60" s="440">
        <v>59.1</v>
      </c>
      <c r="L60" s="440">
        <v>31</v>
      </c>
      <c r="M60" s="440">
        <v>678.5</v>
      </c>
      <c r="N60" s="516">
        <v>14.03</v>
      </c>
      <c r="O60" s="440">
        <v>0</v>
      </c>
      <c r="P60" s="440"/>
    </row>
    <row r="61" spans="1:16" x14ac:dyDescent="0.2">
      <c r="A61" s="231" t="str">
        <f>CONCATENATE('Input - Customer Data'!A88,"-",'Input - Customer Data'!B88)</f>
        <v>2012-September</v>
      </c>
      <c r="B61" s="740">
        <v>11419289.09</v>
      </c>
      <c r="C61" s="438">
        <v>862795.65</v>
      </c>
      <c r="D61" s="439"/>
      <c r="E61" s="439"/>
      <c r="F61" s="439"/>
      <c r="G61" s="439"/>
      <c r="H61" s="165">
        <f t="shared" si="0"/>
        <v>10556493.439999999</v>
      </c>
      <c r="I61" s="164"/>
      <c r="J61" s="440">
        <v>125.4</v>
      </c>
      <c r="K61" s="440">
        <v>16.399999999999999</v>
      </c>
      <c r="L61" s="440">
        <v>30</v>
      </c>
      <c r="M61" s="440">
        <v>671.9</v>
      </c>
      <c r="N61" s="516">
        <v>12.29</v>
      </c>
      <c r="O61" s="440">
        <v>1</v>
      </c>
      <c r="P61" s="440"/>
    </row>
    <row r="62" spans="1:16" x14ac:dyDescent="0.2">
      <c r="A62" s="231" t="str">
        <f>CONCATENATE('Input - Customer Data'!A89,"-",'Input - Customer Data'!B89)</f>
        <v>2012-October</v>
      </c>
      <c r="B62" s="740">
        <v>12504352.98</v>
      </c>
      <c r="C62" s="438">
        <v>887428.2</v>
      </c>
      <c r="D62" s="439"/>
      <c r="E62" s="439"/>
      <c r="F62" s="439"/>
      <c r="G62" s="439"/>
      <c r="H62" s="165">
        <f t="shared" si="0"/>
        <v>11616924.780000001</v>
      </c>
      <c r="I62" s="164"/>
      <c r="J62" s="440">
        <v>279.2</v>
      </c>
      <c r="K62" s="440">
        <v>0</v>
      </c>
      <c r="L62" s="440">
        <v>31</v>
      </c>
      <c r="M62" s="440">
        <v>672.8</v>
      </c>
      <c r="N62" s="516">
        <v>10.51</v>
      </c>
      <c r="O62" s="440">
        <v>1</v>
      </c>
      <c r="P62" s="440"/>
    </row>
    <row r="63" spans="1:16" x14ac:dyDescent="0.2">
      <c r="A63" s="231" t="str">
        <f>CONCATENATE('Input - Customer Data'!A90,"-",'Input - Customer Data'!B90)</f>
        <v>2012-November</v>
      </c>
      <c r="B63" s="740">
        <v>13335727.790000001</v>
      </c>
      <c r="C63" s="438">
        <v>895243.95</v>
      </c>
      <c r="D63" s="439"/>
      <c r="E63" s="439"/>
      <c r="F63" s="439"/>
      <c r="G63" s="439"/>
      <c r="H63" s="165">
        <f t="shared" si="0"/>
        <v>12440483.840000002</v>
      </c>
      <c r="I63" s="164"/>
      <c r="J63" s="440">
        <v>483.6</v>
      </c>
      <c r="K63" s="440">
        <v>0</v>
      </c>
      <c r="L63" s="440">
        <v>30</v>
      </c>
      <c r="M63" s="440">
        <v>676.8</v>
      </c>
      <c r="N63" s="516">
        <v>9.2799999999999994</v>
      </c>
      <c r="O63" s="440">
        <v>1</v>
      </c>
      <c r="P63" s="440"/>
    </row>
    <row r="64" spans="1:16" x14ac:dyDescent="0.2">
      <c r="A64" s="231" t="str">
        <f>CONCATENATE('Input - Customer Data'!A91,"-",'Input - Customer Data'!B91)</f>
        <v>2012-December</v>
      </c>
      <c r="B64" s="740">
        <v>13427701.48</v>
      </c>
      <c r="C64" s="438">
        <v>777790.95</v>
      </c>
      <c r="D64" s="439"/>
      <c r="E64" s="439"/>
      <c r="F64" s="439"/>
      <c r="G64" s="439"/>
      <c r="H64" s="165">
        <f t="shared" si="0"/>
        <v>12649910.530000001</v>
      </c>
      <c r="I64" s="164"/>
      <c r="J64" s="440">
        <v>565.5</v>
      </c>
      <c r="K64" s="440">
        <v>0</v>
      </c>
      <c r="L64" s="440">
        <v>31</v>
      </c>
      <c r="M64" s="440">
        <v>682.7</v>
      </c>
      <c r="N64" s="516">
        <v>8.4700000000000006</v>
      </c>
      <c r="O64" s="440">
        <v>0</v>
      </c>
      <c r="P64" s="440"/>
    </row>
    <row r="65" spans="1:16" x14ac:dyDescent="0.2">
      <c r="A65" s="231" t="str">
        <f>CONCATENATE('Input - Customer Data'!A92,"-",'Input - Customer Data'!B92)</f>
        <v>2013-January</v>
      </c>
      <c r="B65" s="740">
        <v>14721308.309999999</v>
      </c>
      <c r="C65" s="438">
        <v>920048.1</v>
      </c>
      <c r="D65" s="439"/>
      <c r="E65" s="439"/>
      <c r="F65" s="439"/>
      <c r="G65" s="439"/>
      <c r="H65" s="165">
        <f t="shared" si="0"/>
        <v>13801260.209999999</v>
      </c>
      <c r="I65" s="164"/>
      <c r="J65" s="440">
        <v>681.3</v>
      </c>
      <c r="K65" s="440">
        <v>0</v>
      </c>
      <c r="L65" s="440">
        <v>31</v>
      </c>
      <c r="M65" s="440">
        <v>681.6</v>
      </c>
      <c r="N65" s="516">
        <v>9.09</v>
      </c>
      <c r="O65" s="440">
        <v>0</v>
      </c>
      <c r="P65" s="440"/>
    </row>
    <row r="66" spans="1:16" x14ac:dyDescent="0.2">
      <c r="A66" s="231" t="str">
        <f>CONCATENATE('Input - Customer Data'!A93,"-",'Input - Customer Data'!B93)</f>
        <v>2013-February</v>
      </c>
      <c r="B66" s="740">
        <v>13334088.139999999</v>
      </c>
      <c r="C66" s="438">
        <v>804206.25</v>
      </c>
      <c r="D66" s="439"/>
      <c r="E66" s="439"/>
      <c r="F66" s="439"/>
      <c r="G66" s="439"/>
      <c r="H66" s="165">
        <f t="shared" si="0"/>
        <v>12529881.889999999</v>
      </c>
      <c r="I66" s="164"/>
      <c r="J66" s="440">
        <v>697.9</v>
      </c>
      <c r="K66" s="440">
        <v>0</v>
      </c>
      <c r="L66" s="440">
        <v>28</v>
      </c>
      <c r="M66" s="440">
        <v>682.6</v>
      </c>
      <c r="N66" s="516">
        <v>10.19</v>
      </c>
      <c r="O66" s="440">
        <v>0</v>
      </c>
      <c r="P66" s="440"/>
    </row>
    <row r="67" spans="1:16" x14ac:dyDescent="0.2">
      <c r="A67" s="231" t="str">
        <f>CONCATENATE('Input - Customer Data'!A94,"-",'Input - Customer Data'!B94)</f>
        <v>2013-March</v>
      </c>
      <c r="B67" s="740">
        <v>13602922.4</v>
      </c>
      <c r="C67" s="438">
        <v>893818.8</v>
      </c>
      <c r="D67" s="439"/>
      <c r="E67" s="439"/>
      <c r="F67" s="439"/>
      <c r="G67" s="439"/>
      <c r="H67" s="165">
        <f t="shared" si="0"/>
        <v>12709103.6</v>
      </c>
      <c r="I67" s="164"/>
      <c r="J67" s="440">
        <v>612</v>
      </c>
      <c r="K67" s="440">
        <v>0</v>
      </c>
      <c r="L67" s="440">
        <v>31</v>
      </c>
      <c r="M67" s="440">
        <v>683.6</v>
      </c>
      <c r="N67" s="516">
        <v>11.51</v>
      </c>
      <c r="O67" s="440">
        <v>1</v>
      </c>
      <c r="P67" s="440"/>
    </row>
    <row r="68" spans="1:16" x14ac:dyDescent="0.2">
      <c r="A68" s="231" t="str">
        <f>CONCATENATE('Input - Customer Data'!A95,"-",'Input - Customer Data'!B95)</f>
        <v>2013-April</v>
      </c>
      <c r="B68" s="740">
        <v>12506882.4</v>
      </c>
      <c r="C68" s="438">
        <v>895464.3</v>
      </c>
      <c r="D68" s="439"/>
      <c r="E68" s="439"/>
      <c r="F68" s="439"/>
      <c r="G68" s="439"/>
      <c r="H68" s="165">
        <f t="shared" si="0"/>
        <v>11611418.1</v>
      </c>
      <c r="I68" s="164"/>
      <c r="J68" s="440">
        <v>384.7</v>
      </c>
      <c r="K68" s="440">
        <v>0</v>
      </c>
      <c r="L68" s="440">
        <v>30</v>
      </c>
      <c r="M68" s="440">
        <v>685.4</v>
      </c>
      <c r="N68" s="516">
        <v>13.28</v>
      </c>
      <c r="O68" s="440">
        <v>1</v>
      </c>
      <c r="P68" s="440"/>
    </row>
    <row r="69" spans="1:16" x14ac:dyDescent="0.2">
      <c r="A69" s="231" t="str">
        <f>CONCATENATE('Input - Customer Data'!A96,"-",'Input - Customer Data'!B96)</f>
        <v>2013-May</v>
      </c>
      <c r="B69" s="740">
        <v>12028746.65</v>
      </c>
      <c r="C69" s="438">
        <v>881176.8</v>
      </c>
      <c r="D69" s="439"/>
      <c r="E69" s="439"/>
      <c r="F69" s="439"/>
      <c r="G69" s="439"/>
      <c r="H69" s="165">
        <f t="shared" si="0"/>
        <v>11147569.85</v>
      </c>
      <c r="I69" s="164"/>
      <c r="J69" s="440">
        <v>152.1</v>
      </c>
      <c r="K69" s="440">
        <v>19.600000000000001</v>
      </c>
      <c r="L69" s="440">
        <v>31</v>
      </c>
      <c r="M69" s="440">
        <v>690.3</v>
      </c>
      <c r="N69" s="516">
        <v>14.52</v>
      </c>
      <c r="O69" s="440">
        <v>1</v>
      </c>
      <c r="P69" s="440"/>
    </row>
    <row r="70" spans="1:16" x14ac:dyDescent="0.2">
      <c r="A70" s="231" t="str">
        <f>CONCATENATE('Input - Customer Data'!A97,"-",'Input - Customer Data'!B97)</f>
        <v>2013-June</v>
      </c>
      <c r="B70" s="740">
        <v>12310607.65</v>
      </c>
      <c r="C70" s="438">
        <v>793200</v>
      </c>
      <c r="D70" s="439"/>
      <c r="E70" s="439"/>
      <c r="F70" s="439"/>
      <c r="G70" s="439"/>
      <c r="H70" s="165">
        <f t="shared" ref="H70:H111" si="1">B70-SUM(C70:G70)</f>
        <v>11517407.65</v>
      </c>
      <c r="I70" s="164"/>
      <c r="J70" s="440">
        <v>52.6</v>
      </c>
      <c r="K70" s="440">
        <v>31.3</v>
      </c>
      <c r="L70" s="440">
        <v>30</v>
      </c>
      <c r="M70" s="440">
        <v>696.7</v>
      </c>
      <c r="N70" s="516">
        <v>15.35</v>
      </c>
      <c r="O70" s="440">
        <v>0</v>
      </c>
      <c r="P70" s="440"/>
    </row>
    <row r="71" spans="1:16" x14ac:dyDescent="0.2">
      <c r="A71" s="231" t="str">
        <f>CONCATENATE('Input - Customer Data'!A98,"-",'Input - Customer Data'!B98)</f>
        <v>2013-July</v>
      </c>
      <c r="B71" s="740">
        <v>13491261.029999999</v>
      </c>
      <c r="C71" s="438">
        <v>661510.65</v>
      </c>
      <c r="D71" s="439"/>
      <c r="E71" s="439"/>
      <c r="F71" s="439"/>
      <c r="G71" s="439"/>
      <c r="H71" s="165">
        <f t="shared" si="1"/>
        <v>12829750.379999999</v>
      </c>
      <c r="I71" s="164"/>
      <c r="J71" s="440">
        <v>15.1</v>
      </c>
      <c r="K71" s="440">
        <v>86.5</v>
      </c>
      <c r="L71" s="440">
        <v>31</v>
      </c>
      <c r="M71" s="440">
        <v>702.8</v>
      </c>
      <c r="N71" s="516">
        <v>15.15</v>
      </c>
      <c r="O71" s="440">
        <v>0</v>
      </c>
      <c r="P71" s="440"/>
    </row>
    <row r="72" spans="1:16" x14ac:dyDescent="0.2">
      <c r="A72" s="231" t="str">
        <f>CONCATENATE('Input - Customer Data'!A99,"-",'Input - Customer Data'!B99)</f>
        <v>2013-August</v>
      </c>
      <c r="B72" s="740">
        <v>12274415.57</v>
      </c>
      <c r="C72" s="438">
        <v>534529.19999999995</v>
      </c>
      <c r="D72" s="439"/>
      <c r="E72" s="439"/>
      <c r="F72" s="439"/>
      <c r="G72" s="439"/>
      <c r="H72" s="165">
        <f t="shared" si="1"/>
        <v>11739886.370000001</v>
      </c>
      <c r="I72" s="164"/>
      <c r="J72" s="440">
        <v>32.700000000000003</v>
      </c>
      <c r="K72" s="440">
        <v>42.1</v>
      </c>
      <c r="L72" s="440">
        <v>31</v>
      </c>
      <c r="M72" s="440">
        <v>701.4</v>
      </c>
      <c r="N72" s="516">
        <v>14.03</v>
      </c>
      <c r="O72" s="440">
        <v>0</v>
      </c>
      <c r="P72" s="440"/>
    </row>
    <row r="73" spans="1:16" x14ac:dyDescent="0.2">
      <c r="A73" s="231" t="str">
        <f>CONCATENATE('Input - Customer Data'!A100,"-",'Input - Customer Data'!B100)</f>
        <v>2013-September</v>
      </c>
      <c r="B73" s="740">
        <v>11911110.810000001</v>
      </c>
      <c r="C73" s="438">
        <v>442564.35</v>
      </c>
      <c r="D73" s="439"/>
      <c r="E73" s="439"/>
      <c r="F73" s="439"/>
      <c r="G73" s="439"/>
      <c r="H73" s="165">
        <f t="shared" si="1"/>
        <v>11468546.460000001</v>
      </c>
      <c r="I73" s="164"/>
      <c r="J73" s="440">
        <v>128.1</v>
      </c>
      <c r="K73" s="440">
        <v>20.5</v>
      </c>
      <c r="L73" s="440">
        <v>30</v>
      </c>
      <c r="M73" s="440">
        <v>698.4</v>
      </c>
      <c r="N73" s="516">
        <v>12.29</v>
      </c>
      <c r="O73" s="440">
        <v>1</v>
      </c>
      <c r="P73" s="440"/>
    </row>
    <row r="74" spans="1:16" x14ac:dyDescent="0.2">
      <c r="A74" s="231" t="str">
        <f>CONCATENATE('Input - Customer Data'!A101,"-",'Input - Customer Data'!B101)</f>
        <v>2013-October</v>
      </c>
      <c r="B74" s="740">
        <v>12332005.879999999</v>
      </c>
      <c r="C74" s="438">
        <v>434736.75</v>
      </c>
      <c r="D74" s="439"/>
      <c r="E74" s="439"/>
      <c r="F74" s="439"/>
      <c r="G74" s="439"/>
      <c r="H74" s="165">
        <f t="shared" si="1"/>
        <v>11897269.129999999</v>
      </c>
      <c r="I74" s="164"/>
      <c r="J74" s="440">
        <v>262.10000000000002</v>
      </c>
      <c r="K74" s="440">
        <v>0</v>
      </c>
      <c r="L74" s="440">
        <v>31</v>
      </c>
      <c r="M74" s="440">
        <v>698.4</v>
      </c>
      <c r="N74" s="516">
        <v>10.51</v>
      </c>
      <c r="O74" s="440">
        <v>1</v>
      </c>
      <c r="P74" s="440"/>
    </row>
    <row r="75" spans="1:16" x14ac:dyDescent="0.2">
      <c r="A75" s="231" t="str">
        <f>CONCATENATE('Input - Customer Data'!A102,"-",'Input - Customer Data'!B102)</f>
        <v>2013-November</v>
      </c>
      <c r="B75" s="740">
        <v>12760586.1</v>
      </c>
      <c r="C75" s="438">
        <v>432851.85</v>
      </c>
      <c r="D75" s="439"/>
      <c r="E75" s="439"/>
      <c r="F75" s="439"/>
      <c r="G75" s="439"/>
      <c r="H75" s="165">
        <f t="shared" si="1"/>
        <v>12327734.25</v>
      </c>
      <c r="I75" s="164"/>
      <c r="J75" s="440">
        <v>517.70000000000005</v>
      </c>
      <c r="K75" s="440">
        <v>0</v>
      </c>
      <c r="L75" s="440">
        <v>30</v>
      </c>
      <c r="M75" s="440">
        <v>700</v>
      </c>
      <c r="N75" s="516">
        <v>9.2799999999999994</v>
      </c>
      <c r="O75" s="440">
        <v>1</v>
      </c>
      <c r="P75" s="440"/>
    </row>
    <row r="76" spans="1:16" x14ac:dyDescent="0.2">
      <c r="A76" s="231" t="str">
        <f>CONCATENATE('Input - Customer Data'!A103,"-",'Input - Customer Data'!B103)</f>
        <v>2013-December</v>
      </c>
      <c r="B76" s="740">
        <v>13521418.9</v>
      </c>
      <c r="C76" s="438">
        <v>434689.2</v>
      </c>
      <c r="D76" s="439"/>
      <c r="E76" s="439"/>
      <c r="F76" s="439"/>
      <c r="G76" s="439"/>
      <c r="H76" s="165">
        <f t="shared" si="1"/>
        <v>13086729.700000001</v>
      </c>
      <c r="I76" s="164"/>
      <c r="J76" s="440">
        <v>727.3</v>
      </c>
      <c r="K76" s="440">
        <v>0</v>
      </c>
      <c r="L76" s="440">
        <v>31</v>
      </c>
      <c r="M76" s="440">
        <v>695.4</v>
      </c>
      <c r="N76" s="516">
        <v>8.4700000000000006</v>
      </c>
      <c r="O76" s="440">
        <v>0</v>
      </c>
      <c r="P76" s="440"/>
    </row>
    <row r="77" spans="1:16" x14ac:dyDescent="0.2">
      <c r="A77" s="231" t="str">
        <f>CONCATENATE('Input - Customer Data'!A104,"-",'Input - Customer Data'!B104)</f>
        <v>2014-January</v>
      </c>
      <c r="B77" s="740">
        <v>14721918.540000001</v>
      </c>
      <c r="C77" s="438">
        <v>395081.1</v>
      </c>
      <c r="D77" s="439"/>
      <c r="E77" s="439"/>
      <c r="F77" s="439"/>
      <c r="G77" s="439"/>
      <c r="H77" s="165">
        <f t="shared" si="1"/>
        <v>14326837.440000001</v>
      </c>
      <c r="I77" s="164"/>
      <c r="J77" s="440">
        <v>865.9</v>
      </c>
      <c r="K77" s="440">
        <v>0</v>
      </c>
      <c r="L77" s="440">
        <v>31</v>
      </c>
      <c r="M77" s="440">
        <v>689.4</v>
      </c>
      <c r="N77" s="516">
        <v>9.09</v>
      </c>
      <c r="O77" s="440">
        <v>0</v>
      </c>
      <c r="P77" s="440"/>
    </row>
    <row r="78" spans="1:16" x14ac:dyDescent="0.2">
      <c r="A78" s="231" t="str">
        <f>CONCATENATE('Input - Customer Data'!A105,"-",'Input - Customer Data'!B105)</f>
        <v>2014-February</v>
      </c>
      <c r="B78" s="740">
        <v>12985802.100000001</v>
      </c>
      <c r="C78" s="438">
        <v>330761.09999999998</v>
      </c>
      <c r="D78" s="439"/>
      <c r="E78" s="439"/>
      <c r="F78" s="439"/>
      <c r="G78" s="439"/>
      <c r="H78" s="165">
        <f t="shared" si="1"/>
        <v>12655041.000000002</v>
      </c>
      <c r="I78" s="164"/>
      <c r="J78" s="440">
        <v>831.2</v>
      </c>
      <c r="K78" s="440">
        <v>0</v>
      </c>
      <c r="L78" s="440">
        <v>28</v>
      </c>
      <c r="M78" s="440">
        <v>682.3</v>
      </c>
      <c r="N78" s="516">
        <v>10.19</v>
      </c>
      <c r="O78" s="440">
        <v>0</v>
      </c>
      <c r="P78" s="440"/>
    </row>
    <row r="79" spans="1:16" x14ac:dyDescent="0.2">
      <c r="A79" s="231" t="str">
        <f>CONCATENATE('Input - Customer Data'!A106,"-",'Input - Customer Data'!B106)</f>
        <v>2014-March</v>
      </c>
      <c r="B79" s="740">
        <v>13614018.57</v>
      </c>
      <c r="C79" s="438">
        <v>325721.25</v>
      </c>
      <c r="D79" s="439"/>
      <c r="E79" s="439"/>
      <c r="F79" s="439"/>
      <c r="G79" s="439"/>
      <c r="H79" s="165">
        <f t="shared" si="1"/>
        <v>13288297.32</v>
      </c>
      <c r="I79" s="164"/>
      <c r="J79" s="440">
        <v>757</v>
      </c>
      <c r="K79" s="440">
        <v>0</v>
      </c>
      <c r="L79" s="440">
        <v>31</v>
      </c>
      <c r="M79" s="440">
        <v>680.2</v>
      </c>
      <c r="N79" s="516">
        <v>11.51</v>
      </c>
      <c r="O79" s="440">
        <v>1</v>
      </c>
      <c r="P79" s="440"/>
    </row>
    <row r="80" spans="1:16" x14ac:dyDescent="0.2">
      <c r="A80" s="231" t="str">
        <f>CONCATENATE('Input - Customer Data'!A107,"-",'Input - Customer Data'!B107)</f>
        <v>2014-April</v>
      </c>
      <c r="B80" s="740">
        <v>11649899.110000001</v>
      </c>
      <c r="C80" s="438">
        <v>289708.5</v>
      </c>
      <c r="D80" s="439"/>
      <c r="E80" s="439"/>
      <c r="F80" s="439"/>
      <c r="G80" s="439"/>
      <c r="H80" s="165">
        <f t="shared" si="1"/>
        <v>11360190.610000001</v>
      </c>
      <c r="I80" s="164"/>
      <c r="J80" s="440">
        <v>389.9</v>
      </c>
      <c r="K80" s="440">
        <v>0</v>
      </c>
      <c r="L80" s="440">
        <v>30</v>
      </c>
      <c r="M80" s="440">
        <v>679.4</v>
      </c>
      <c r="N80" s="516">
        <v>13.28</v>
      </c>
      <c r="O80" s="440">
        <v>1</v>
      </c>
      <c r="P80" s="440"/>
    </row>
    <row r="81" spans="1:16" x14ac:dyDescent="0.2">
      <c r="A81" s="231" t="str">
        <f>CONCATENATE('Input - Customer Data'!A108,"-",'Input - Customer Data'!B108)</f>
        <v>2014-May</v>
      </c>
      <c r="B81" s="740">
        <v>11257042.020000001</v>
      </c>
      <c r="C81" s="438">
        <v>293286.45</v>
      </c>
      <c r="D81" s="439"/>
      <c r="E81" s="439"/>
      <c r="F81" s="439"/>
      <c r="G81" s="439"/>
      <c r="H81" s="165">
        <f t="shared" si="1"/>
        <v>10963755.570000002</v>
      </c>
      <c r="I81" s="164"/>
      <c r="J81" s="440">
        <v>168.9</v>
      </c>
      <c r="K81" s="440">
        <v>9</v>
      </c>
      <c r="L81" s="440">
        <v>31</v>
      </c>
      <c r="M81" s="440">
        <v>690</v>
      </c>
      <c r="N81" s="516">
        <v>14.52</v>
      </c>
      <c r="O81" s="440">
        <v>1</v>
      </c>
      <c r="P81" s="440"/>
    </row>
    <row r="82" spans="1:16" x14ac:dyDescent="0.2">
      <c r="A82" s="231" t="str">
        <f>CONCATENATE('Input - Customer Data'!A109,"-",'Input - Customer Data'!B109)</f>
        <v>2014-June</v>
      </c>
      <c r="B82" s="740">
        <v>11926426.470000001</v>
      </c>
      <c r="C82" s="438">
        <v>278266.5</v>
      </c>
      <c r="D82" s="439"/>
      <c r="E82" s="439"/>
      <c r="F82" s="439"/>
      <c r="G82" s="439"/>
      <c r="H82" s="165">
        <f t="shared" si="1"/>
        <v>11648159.970000001</v>
      </c>
      <c r="I82" s="164"/>
      <c r="J82" s="440">
        <v>37.299999999999997</v>
      </c>
      <c r="K82" s="440">
        <v>44.3</v>
      </c>
      <c r="L82" s="440">
        <v>30</v>
      </c>
      <c r="M82" s="440">
        <v>704.4</v>
      </c>
      <c r="N82" s="516">
        <v>15.35</v>
      </c>
      <c r="O82" s="440">
        <v>0</v>
      </c>
      <c r="P82" s="440"/>
    </row>
    <row r="83" spans="1:16" x14ac:dyDescent="0.2">
      <c r="A83" s="231" t="str">
        <f>CONCATENATE('Input - Customer Data'!A110,"-",'Input - Customer Data'!B110)</f>
        <v>2014-July</v>
      </c>
      <c r="B83" s="740">
        <v>12057150.84</v>
      </c>
      <c r="C83" s="438">
        <v>290515.05</v>
      </c>
      <c r="D83" s="439"/>
      <c r="E83" s="439"/>
      <c r="F83" s="439"/>
      <c r="G83" s="439"/>
      <c r="H83" s="165">
        <f t="shared" si="1"/>
        <v>11766635.789999999</v>
      </c>
      <c r="I83" s="164"/>
      <c r="J83" s="440">
        <v>36.799999999999997</v>
      </c>
      <c r="K83" s="440">
        <v>38.799999999999997</v>
      </c>
      <c r="L83" s="440">
        <v>31</v>
      </c>
      <c r="M83" s="440">
        <v>715.1</v>
      </c>
      <c r="N83" s="516">
        <v>15.15</v>
      </c>
      <c r="O83" s="440">
        <v>0</v>
      </c>
      <c r="P83" s="440"/>
    </row>
    <row r="84" spans="1:16" x14ac:dyDescent="0.2">
      <c r="A84" s="231" t="str">
        <f>CONCATENATE('Input - Customer Data'!A111,"-",'Input - Customer Data'!B111)</f>
        <v>2014-August</v>
      </c>
      <c r="B84" s="740">
        <v>11607472.4</v>
      </c>
      <c r="C84" s="438">
        <v>298547.84999999998</v>
      </c>
      <c r="D84" s="439"/>
      <c r="E84" s="439"/>
      <c r="F84" s="439"/>
      <c r="G84" s="439"/>
      <c r="H84" s="165">
        <f t="shared" si="1"/>
        <v>11308924.550000001</v>
      </c>
      <c r="I84" s="164"/>
      <c r="J84" s="440">
        <v>31.1</v>
      </c>
      <c r="K84" s="440">
        <v>28.5</v>
      </c>
      <c r="L84" s="440">
        <v>31</v>
      </c>
      <c r="M84" s="440">
        <v>718.7</v>
      </c>
      <c r="N84" s="516">
        <v>14.03</v>
      </c>
      <c r="O84" s="440">
        <v>0</v>
      </c>
      <c r="P84" s="440"/>
    </row>
    <row r="85" spans="1:16" x14ac:dyDescent="0.2">
      <c r="A85" s="231" t="str">
        <f>CONCATENATE('Input - Customer Data'!A112,"-",'Input - Customer Data'!B112)</f>
        <v>2014-September</v>
      </c>
      <c r="B85" s="740">
        <v>11603450.51</v>
      </c>
      <c r="C85" s="438">
        <v>191478.3</v>
      </c>
      <c r="D85" s="439"/>
      <c r="E85" s="439"/>
      <c r="F85" s="439"/>
      <c r="G85" s="439"/>
      <c r="H85" s="165">
        <f t="shared" si="1"/>
        <v>11411972.209999999</v>
      </c>
      <c r="I85" s="164"/>
      <c r="J85" s="440">
        <v>117.7</v>
      </c>
      <c r="K85" s="440">
        <v>11.4</v>
      </c>
      <c r="L85" s="440">
        <v>30</v>
      </c>
      <c r="M85" s="440">
        <v>719.3</v>
      </c>
      <c r="N85" s="516">
        <v>12.29</v>
      </c>
      <c r="O85" s="440">
        <v>1</v>
      </c>
      <c r="P85" s="440"/>
    </row>
    <row r="86" spans="1:16" x14ac:dyDescent="0.2">
      <c r="A86" s="231" t="str">
        <f>CONCATENATE('Input - Customer Data'!A113,"-",'Input - Customer Data'!B113)</f>
        <v>2014-October</v>
      </c>
      <c r="B86" s="740">
        <v>11860236.59</v>
      </c>
      <c r="C86" s="438">
        <v>135452.54999999999</v>
      </c>
      <c r="D86" s="439"/>
      <c r="E86" s="439"/>
      <c r="F86" s="439"/>
      <c r="G86" s="439"/>
      <c r="H86" s="165">
        <f t="shared" si="1"/>
        <v>11724784.039999999</v>
      </c>
      <c r="I86" s="164"/>
      <c r="J86" s="440">
        <v>257.10000000000002</v>
      </c>
      <c r="K86" s="440">
        <v>0</v>
      </c>
      <c r="L86" s="440">
        <v>31</v>
      </c>
      <c r="M86" s="440">
        <v>723.5</v>
      </c>
      <c r="N86" s="516">
        <v>10.51</v>
      </c>
      <c r="O86" s="440">
        <v>1</v>
      </c>
      <c r="P86" s="440"/>
    </row>
    <row r="87" spans="1:16" x14ac:dyDescent="0.2">
      <c r="A87" s="231" t="str">
        <f>CONCATENATE('Input - Customer Data'!A114,"-",'Input - Customer Data'!B114)</f>
        <v>2014-November</v>
      </c>
      <c r="B87" s="740">
        <v>12586538.52</v>
      </c>
      <c r="C87" s="438">
        <v>135431.54999999999</v>
      </c>
      <c r="D87" s="439"/>
      <c r="E87" s="439"/>
      <c r="F87" s="439"/>
      <c r="G87" s="439"/>
      <c r="H87" s="165">
        <f t="shared" si="1"/>
        <v>12451106.969999999</v>
      </c>
      <c r="I87" s="164"/>
      <c r="J87" s="440">
        <v>529.9</v>
      </c>
      <c r="K87" s="440">
        <v>0</v>
      </c>
      <c r="L87" s="440">
        <v>30</v>
      </c>
      <c r="M87" s="440">
        <v>721</v>
      </c>
      <c r="N87" s="516">
        <v>9.2799999999999994</v>
      </c>
      <c r="O87" s="440">
        <v>1</v>
      </c>
      <c r="P87" s="440"/>
    </row>
    <row r="88" spans="1:16" x14ac:dyDescent="0.2">
      <c r="A88" s="231" t="str">
        <f>CONCATENATE('Input - Customer Data'!A115,"-",'Input - Customer Data'!B115)</f>
        <v>2014-December</v>
      </c>
      <c r="B88" s="740">
        <v>12848023.51</v>
      </c>
      <c r="C88" s="438">
        <v>135343.95000000001</v>
      </c>
      <c r="D88" s="439"/>
      <c r="E88" s="439"/>
      <c r="F88" s="439"/>
      <c r="G88" s="439"/>
      <c r="H88" s="165">
        <f t="shared" si="1"/>
        <v>12712679.560000001</v>
      </c>
      <c r="I88" s="164"/>
      <c r="J88" s="440">
        <v>597.6</v>
      </c>
      <c r="K88" s="440">
        <v>0</v>
      </c>
      <c r="L88" s="440">
        <v>31</v>
      </c>
      <c r="M88" s="440">
        <v>714.3</v>
      </c>
      <c r="N88" s="516">
        <v>8.4700000000000006</v>
      </c>
      <c r="O88" s="440">
        <v>0</v>
      </c>
      <c r="P88" s="440"/>
    </row>
    <row r="89" spans="1:16" x14ac:dyDescent="0.2">
      <c r="A89" s="231" t="str">
        <f>CONCATENATE('Input - Customer Data'!A116,"-",'Input - Customer Data'!B116)</f>
        <v>2015-January</v>
      </c>
      <c r="B89" s="740">
        <v>13987821.579999998</v>
      </c>
      <c r="C89" s="438">
        <v>139759.5</v>
      </c>
      <c r="D89" s="439"/>
      <c r="E89" s="439"/>
      <c r="F89" s="439"/>
      <c r="G89" s="439"/>
      <c r="H89" s="165">
        <f t="shared" si="1"/>
        <v>13848062.079999998</v>
      </c>
      <c r="I89" s="164"/>
      <c r="J89" s="440">
        <v>800.80000000000018</v>
      </c>
      <c r="K89" s="440">
        <v>0</v>
      </c>
      <c r="L89" s="440">
        <v>31</v>
      </c>
      <c r="M89" s="440">
        <v>705.7</v>
      </c>
      <c r="N89" s="516">
        <v>9.09</v>
      </c>
      <c r="O89" s="440">
        <v>0</v>
      </c>
      <c r="P89" s="440"/>
    </row>
    <row r="90" spans="1:16" x14ac:dyDescent="0.2">
      <c r="A90" s="231" t="str">
        <f>CONCATENATE('Input - Customer Data'!A117,"-",'Input - Customer Data'!B117)</f>
        <v>2015-February</v>
      </c>
      <c r="B90" s="740">
        <v>13128222.029999999</v>
      </c>
      <c r="C90" s="438">
        <v>132542.54999999999</v>
      </c>
      <c r="D90" s="439"/>
      <c r="E90" s="439"/>
      <c r="F90" s="439"/>
      <c r="G90" s="439"/>
      <c r="H90" s="165">
        <f t="shared" si="1"/>
        <v>12995679.479999999</v>
      </c>
      <c r="I90" s="164"/>
      <c r="J90" s="440">
        <v>917.5</v>
      </c>
      <c r="K90" s="440">
        <v>0</v>
      </c>
      <c r="L90" s="440">
        <v>28</v>
      </c>
      <c r="M90" s="440">
        <v>700.1</v>
      </c>
      <c r="N90" s="516">
        <v>10.19</v>
      </c>
      <c r="O90" s="440">
        <v>0</v>
      </c>
      <c r="P90" s="440"/>
    </row>
    <row r="91" spans="1:16" x14ac:dyDescent="0.2">
      <c r="A91" s="231" t="str">
        <f>CONCATENATE('Input - Customer Data'!A118,"-",'Input - Customer Data'!B118)</f>
        <v>2015-March</v>
      </c>
      <c r="B91" s="740">
        <v>13204404.550000001</v>
      </c>
      <c r="C91" s="438">
        <v>130716.6</v>
      </c>
      <c r="D91" s="439"/>
      <c r="E91" s="439"/>
      <c r="F91" s="439"/>
      <c r="G91" s="439"/>
      <c r="H91" s="165">
        <f t="shared" si="1"/>
        <v>13073687.950000001</v>
      </c>
      <c r="I91" s="164"/>
      <c r="J91" s="440">
        <v>538</v>
      </c>
      <c r="K91" s="440">
        <v>0</v>
      </c>
      <c r="L91" s="440">
        <v>31</v>
      </c>
      <c r="M91" s="440">
        <v>698.3</v>
      </c>
      <c r="N91" s="516">
        <v>11.51</v>
      </c>
      <c r="O91" s="440">
        <v>1</v>
      </c>
      <c r="P91" s="440"/>
    </row>
    <row r="92" spans="1:16" x14ac:dyDescent="0.2">
      <c r="A92" s="231" t="str">
        <f>CONCATENATE('Input - Customer Data'!A119,"-",'Input - Customer Data'!B119)</f>
        <v>2015-April</v>
      </c>
      <c r="B92" s="740">
        <v>11410544.119999999</v>
      </c>
      <c r="C92" s="438">
        <v>112637.1</v>
      </c>
      <c r="D92" s="439"/>
      <c r="E92" s="439"/>
      <c r="F92" s="439"/>
      <c r="G92" s="439"/>
      <c r="H92" s="165">
        <f t="shared" si="1"/>
        <v>11297907.02</v>
      </c>
      <c r="I92" s="164"/>
      <c r="J92" s="440">
        <v>359.00000000000011</v>
      </c>
      <c r="K92" s="440">
        <v>0</v>
      </c>
      <c r="L92" s="440">
        <v>30</v>
      </c>
      <c r="M92" s="440">
        <v>697.6</v>
      </c>
      <c r="N92" s="516">
        <v>13.28</v>
      </c>
      <c r="O92" s="440">
        <v>1</v>
      </c>
      <c r="P92" s="440"/>
    </row>
    <row r="93" spans="1:16" x14ac:dyDescent="0.2">
      <c r="A93" s="231" t="str">
        <f>CONCATENATE('Input - Customer Data'!A120,"-",'Input - Customer Data'!B120)</f>
        <v>2015-May</v>
      </c>
      <c r="B93" s="740">
        <v>10958503.810000001</v>
      </c>
      <c r="C93" s="438">
        <v>101161.5</v>
      </c>
      <c r="D93" s="439"/>
      <c r="E93" s="439"/>
      <c r="F93" s="439"/>
      <c r="G93" s="439"/>
      <c r="H93" s="165">
        <f t="shared" si="1"/>
        <v>10857342.310000001</v>
      </c>
      <c r="I93" s="164"/>
      <c r="J93" s="440">
        <v>116.20000000000002</v>
      </c>
      <c r="K93" s="440">
        <v>29.8</v>
      </c>
      <c r="L93" s="440">
        <v>31</v>
      </c>
      <c r="M93" s="440">
        <v>704.9</v>
      </c>
      <c r="N93" s="516">
        <v>14.52</v>
      </c>
      <c r="O93" s="440">
        <v>1</v>
      </c>
      <c r="P93" s="440"/>
    </row>
    <row r="94" spans="1:16" x14ac:dyDescent="0.2">
      <c r="A94" s="231" t="str">
        <f>CONCATENATE('Input - Customer Data'!A121,"-",'Input - Customer Data'!B121)</f>
        <v>2015-June</v>
      </c>
      <c r="B94" s="740">
        <v>11142211.15</v>
      </c>
      <c r="C94" s="438">
        <v>102907.8</v>
      </c>
      <c r="D94" s="439"/>
      <c r="E94" s="439"/>
      <c r="F94" s="439"/>
      <c r="G94" s="439"/>
      <c r="H94" s="165">
        <f t="shared" si="1"/>
        <v>11039303.35</v>
      </c>
      <c r="I94" s="164"/>
      <c r="J94" s="440">
        <v>54.699999999999996</v>
      </c>
      <c r="K94" s="440">
        <v>15</v>
      </c>
      <c r="L94" s="440">
        <v>30</v>
      </c>
      <c r="M94" s="440">
        <v>715.1</v>
      </c>
      <c r="N94" s="516">
        <v>15.35</v>
      </c>
      <c r="O94" s="440">
        <v>0</v>
      </c>
      <c r="P94" s="440"/>
    </row>
    <row r="95" spans="1:16" x14ac:dyDescent="0.2">
      <c r="A95" s="231" t="str">
        <f>CONCATENATE('Input - Customer Data'!A122,"-",'Input - Customer Data'!B122)</f>
        <v>2015-July</v>
      </c>
      <c r="B95" s="740">
        <v>12015769.999999998</v>
      </c>
      <c r="C95" s="438">
        <v>101661</v>
      </c>
      <c r="D95" s="439"/>
      <c r="E95" s="439"/>
      <c r="F95" s="439"/>
      <c r="G95" s="439"/>
      <c r="H95" s="165">
        <f t="shared" si="1"/>
        <v>11914108.999999998</v>
      </c>
      <c r="I95" s="164"/>
      <c r="J95" s="440">
        <v>19.3</v>
      </c>
      <c r="K95" s="440">
        <v>57.70000000000001</v>
      </c>
      <c r="L95" s="440">
        <v>31</v>
      </c>
      <c r="M95" s="440">
        <v>716.6</v>
      </c>
      <c r="N95" s="516">
        <v>15.15</v>
      </c>
      <c r="O95" s="440">
        <v>0</v>
      </c>
      <c r="P95" s="440"/>
    </row>
    <row r="96" spans="1:16" x14ac:dyDescent="0.2">
      <c r="A96" s="231" t="str">
        <f>CONCATENATE('Input - Customer Data'!A123,"-",'Input - Customer Data'!B123)</f>
        <v>2015-August</v>
      </c>
      <c r="B96" s="740">
        <v>11373907.26</v>
      </c>
      <c r="C96" s="438">
        <v>92323.65</v>
      </c>
      <c r="D96" s="439"/>
      <c r="E96" s="439"/>
      <c r="F96" s="439"/>
      <c r="G96" s="439"/>
      <c r="H96" s="165">
        <f t="shared" si="1"/>
        <v>11281583.609999999</v>
      </c>
      <c r="I96" s="164"/>
      <c r="J96" s="440">
        <v>29.500000000000004</v>
      </c>
      <c r="K96" s="440">
        <v>47.899999999999991</v>
      </c>
      <c r="L96" s="440">
        <v>31</v>
      </c>
      <c r="M96" s="440">
        <v>713.1</v>
      </c>
      <c r="N96" s="516">
        <v>14.03</v>
      </c>
      <c r="O96" s="440">
        <v>0</v>
      </c>
      <c r="P96" s="440"/>
    </row>
    <row r="97" spans="1:16" x14ac:dyDescent="0.2">
      <c r="A97" s="231" t="str">
        <f>CONCATENATE('Input - Customer Data'!A124,"-",'Input - Customer Data'!B124)</f>
        <v>2015-September</v>
      </c>
      <c r="B97" s="740">
        <v>11797715.430000002</v>
      </c>
      <c r="C97" s="438">
        <v>103640.25</v>
      </c>
      <c r="D97" s="439"/>
      <c r="E97" s="439"/>
      <c r="F97" s="439"/>
      <c r="G97" s="439"/>
      <c r="H97" s="165">
        <f t="shared" si="1"/>
        <v>11694075.180000002</v>
      </c>
      <c r="I97" s="164"/>
      <c r="J97" s="440">
        <v>58.20000000000001</v>
      </c>
      <c r="K97" s="440">
        <v>45.300000000000004</v>
      </c>
      <c r="L97" s="440">
        <v>30</v>
      </c>
      <c r="M97" s="440">
        <v>710.2</v>
      </c>
      <c r="N97" s="516">
        <v>12.29</v>
      </c>
      <c r="O97" s="440">
        <v>1</v>
      </c>
      <c r="P97" s="440"/>
    </row>
    <row r="98" spans="1:16" x14ac:dyDescent="0.2">
      <c r="A98" s="231" t="str">
        <f>CONCATENATE('Input - Customer Data'!A125,"-",'Input - Customer Data'!B125)</f>
        <v>2015-October</v>
      </c>
      <c r="B98" s="740">
        <v>11391036.42</v>
      </c>
      <c r="C98" s="438">
        <v>105957</v>
      </c>
      <c r="D98" s="439"/>
      <c r="E98" s="439"/>
      <c r="F98" s="439"/>
      <c r="G98" s="439"/>
      <c r="H98" s="165">
        <f t="shared" si="1"/>
        <v>11285079.42</v>
      </c>
      <c r="I98" s="164"/>
      <c r="J98" s="440">
        <v>290.09999999999991</v>
      </c>
      <c r="K98" s="440">
        <v>0</v>
      </c>
      <c r="L98" s="440">
        <v>31</v>
      </c>
      <c r="M98" s="440">
        <v>716.9</v>
      </c>
      <c r="N98" s="516">
        <v>10.51</v>
      </c>
      <c r="O98" s="440">
        <v>1</v>
      </c>
      <c r="P98" s="440"/>
    </row>
    <row r="99" spans="1:16" x14ac:dyDescent="0.2">
      <c r="A99" s="231" t="str">
        <f>CONCATENATE('Input - Customer Data'!A126,"-",'Input - Customer Data'!B126)</f>
        <v>2015-November</v>
      </c>
      <c r="B99" s="740">
        <v>11637091.83</v>
      </c>
      <c r="C99" s="438">
        <v>97376.25</v>
      </c>
      <c r="D99" s="439"/>
      <c r="E99" s="439"/>
      <c r="F99" s="439"/>
      <c r="G99" s="439"/>
      <c r="H99" s="165">
        <f t="shared" si="1"/>
        <v>11539715.58</v>
      </c>
      <c r="I99" s="164"/>
      <c r="J99" s="440">
        <v>391.1</v>
      </c>
      <c r="K99" s="440">
        <v>0</v>
      </c>
      <c r="L99" s="440">
        <v>30</v>
      </c>
      <c r="M99" s="440">
        <v>721</v>
      </c>
      <c r="N99" s="516">
        <v>9.2799999999999994</v>
      </c>
      <c r="O99" s="440">
        <v>1</v>
      </c>
      <c r="P99" s="440"/>
    </row>
    <row r="100" spans="1:16" x14ac:dyDescent="0.2">
      <c r="A100" s="231" t="str">
        <f>CONCATENATE('Input - Customer Data'!A127,"-",'Input - Customer Data'!B127)</f>
        <v>2015-December</v>
      </c>
      <c r="B100" s="740">
        <v>12174696.16</v>
      </c>
      <c r="C100" s="438">
        <v>100471.35</v>
      </c>
      <c r="D100" s="439"/>
      <c r="E100" s="439"/>
      <c r="F100" s="439"/>
      <c r="G100" s="439"/>
      <c r="H100" s="165">
        <f t="shared" si="1"/>
        <v>12074224.810000001</v>
      </c>
      <c r="I100" s="164"/>
      <c r="J100" s="440">
        <v>452.99999999999994</v>
      </c>
      <c r="K100" s="440">
        <v>0</v>
      </c>
      <c r="L100" s="440">
        <v>31</v>
      </c>
      <c r="M100" s="440">
        <v>718.7</v>
      </c>
      <c r="N100" s="516">
        <v>8.4700000000000006</v>
      </c>
      <c r="O100" s="440">
        <v>0</v>
      </c>
      <c r="P100" s="440"/>
    </row>
    <row r="101" spans="1:16" x14ac:dyDescent="0.2">
      <c r="A101" s="231" t="str">
        <f>CONCATENATE('Input - Customer Data'!A128,"-",'Input - Customer Data'!B128)</f>
        <v>2016-January</v>
      </c>
      <c r="B101" s="740">
        <v>13174500.390000001</v>
      </c>
      <c r="C101" s="438">
        <v>114011.85</v>
      </c>
      <c r="D101" s="439"/>
      <c r="E101" s="439"/>
      <c r="F101" s="439"/>
      <c r="G101" s="439"/>
      <c r="H101" s="165">
        <f t="shared" si="1"/>
        <v>13060488.540000001</v>
      </c>
      <c r="I101" s="164"/>
      <c r="J101" s="440">
        <v>717.8</v>
      </c>
      <c r="K101" s="440">
        <v>0</v>
      </c>
      <c r="L101" s="440">
        <v>31</v>
      </c>
      <c r="M101" s="440">
        <v>715.8</v>
      </c>
      <c r="N101" s="426">
        <v>9.09</v>
      </c>
      <c r="O101" s="440">
        <v>0</v>
      </c>
      <c r="P101" s="440"/>
    </row>
    <row r="102" spans="1:16" x14ac:dyDescent="0.2">
      <c r="A102" s="231" t="str">
        <f>CONCATENATE('Input - Customer Data'!A129,"-",'Input - Customer Data'!B129)</f>
        <v>2016-February</v>
      </c>
      <c r="B102" s="740">
        <v>12284958.659999998</v>
      </c>
      <c r="C102" s="438">
        <v>105050.55</v>
      </c>
      <c r="D102" s="439"/>
      <c r="E102" s="439"/>
      <c r="F102" s="439"/>
      <c r="G102" s="439"/>
      <c r="H102" s="165">
        <f t="shared" si="1"/>
        <v>12179908.109999998</v>
      </c>
      <c r="I102" s="164"/>
      <c r="J102" s="440">
        <v>627.4</v>
      </c>
      <c r="K102" s="440">
        <v>0</v>
      </c>
      <c r="L102" s="440">
        <v>29</v>
      </c>
      <c r="M102" s="440">
        <v>710.9</v>
      </c>
      <c r="N102" s="426">
        <v>10.19</v>
      </c>
      <c r="O102" s="440">
        <v>0</v>
      </c>
      <c r="P102" s="440"/>
    </row>
    <row r="103" spans="1:16" x14ac:dyDescent="0.2">
      <c r="A103" s="231" t="str">
        <f>CONCATENATE('Input - Customer Data'!A130,"-",'Input - Customer Data'!B130)</f>
        <v>2016-March</v>
      </c>
      <c r="B103" s="740">
        <v>12300188.119999999</v>
      </c>
      <c r="C103" s="438">
        <v>99085.95</v>
      </c>
      <c r="D103" s="439"/>
      <c r="E103" s="439"/>
      <c r="F103" s="439"/>
      <c r="G103" s="439"/>
      <c r="H103" s="165">
        <f t="shared" si="1"/>
        <v>12201102.17</v>
      </c>
      <c r="I103" s="164"/>
      <c r="J103" s="440">
        <v>479.4</v>
      </c>
      <c r="K103" s="440">
        <v>0</v>
      </c>
      <c r="L103" s="440">
        <v>31</v>
      </c>
      <c r="M103" s="440">
        <v>709.4</v>
      </c>
      <c r="N103" s="426">
        <v>11.51</v>
      </c>
      <c r="O103" s="440">
        <v>1</v>
      </c>
      <c r="P103" s="440"/>
    </row>
    <row r="104" spans="1:16" x14ac:dyDescent="0.2">
      <c r="A104" s="231" t="str">
        <f>CONCATENATE('Input - Customer Data'!A131,"-",'Input - Customer Data'!B131)</f>
        <v>2016-April</v>
      </c>
      <c r="B104" s="740">
        <v>11470601</v>
      </c>
      <c r="C104" s="438">
        <v>93345.45</v>
      </c>
      <c r="D104" s="439"/>
      <c r="E104" s="439"/>
      <c r="F104" s="439"/>
      <c r="G104" s="439"/>
      <c r="H104" s="165">
        <f t="shared" si="1"/>
        <v>11377255.550000001</v>
      </c>
      <c r="I104" s="164"/>
      <c r="J104" s="440">
        <v>431.8</v>
      </c>
      <c r="K104" s="440">
        <v>0</v>
      </c>
      <c r="L104" s="440">
        <v>30</v>
      </c>
      <c r="M104" s="440">
        <v>707.4</v>
      </c>
      <c r="N104" s="426">
        <v>13.28</v>
      </c>
      <c r="O104" s="440">
        <v>1</v>
      </c>
      <c r="P104" s="440"/>
    </row>
    <row r="105" spans="1:16" x14ac:dyDescent="0.2">
      <c r="A105" s="231" t="str">
        <f>CONCATENATE('Input - Customer Data'!A132,"-",'Input - Customer Data'!B132)</f>
        <v>2016-May</v>
      </c>
      <c r="B105" s="740">
        <v>11103630.91</v>
      </c>
      <c r="C105" s="438">
        <v>86769.45</v>
      </c>
      <c r="D105" s="439"/>
      <c r="E105" s="439"/>
      <c r="F105" s="439"/>
      <c r="G105" s="439"/>
      <c r="H105" s="165">
        <f t="shared" si="1"/>
        <v>11016861.460000001</v>
      </c>
      <c r="I105" s="164"/>
      <c r="J105" s="440">
        <v>174.6</v>
      </c>
      <c r="K105" s="440">
        <v>18.399999999999999</v>
      </c>
      <c r="L105" s="440">
        <v>31</v>
      </c>
      <c r="M105" s="440">
        <v>712.4</v>
      </c>
      <c r="N105" s="426">
        <v>14.52</v>
      </c>
      <c r="O105" s="440">
        <v>1</v>
      </c>
      <c r="P105" s="440"/>
    </row>
    <row r="106" spans="1:16" x14ac:dyDescent="0.2">
      <c r="A106" s="231" t="str">
        <f>CONCATENATE('Input - Customer Data'!A133,"-",'Input - Customer Data'!B133)</f>
        <v>2016-June</v>
      </c>
      <c r="B106" s="740">
        <v>11688885.210000001</v>
      </c>
      <c r="C106" s="438">
        <v>90018.75</v>
      </c>
      <c r="D106" s="439"/>
      <c r="E106" s="439"/>
      <c r="F106" s="439"/>
      <c r="G106" s="439"/>
      <c r="H106" s="165">
        <f t="shared" si="1"/>
        <v>11598866.460000001</v>
      </c>
      <c r="I106" s="164"/>
      <c r="J106" s="440">
        <v>43.9</v>
      </c>
      <c r="K106" s="440">
        <v>24.1</v>
      </c>
      <c r="L106" s="440">
        <v>30</v>
      </c>
      <c r="M106" s="440">
        <v>714.6</v>
      </c>
      <c r="N106" s="426">
        <v>15.35</v>
      </c>
      <c r="O106" s="440">
        <v>0</v>
      </c>
      <c r="P106" s="440"/>
    </row>
    <row r="107" spans="1:16" x14ac:dyDescent="0.2">
      <c r="A107" s="231" t="str">
        <f>CONCATENATE('Input - Customer Data'!A134,"-",'Input - Customer Data'!B134)</f>
        <v>2016-July</v>
      </c>
      <c r="B107" s="740">
        <v>12484078.879999999</v>
      </c>
      <c r="C107" s="438">
        <v>94849.65</v>
      </c>
      <c r="D107" s="439"/>
      <c r="E107" s="439"/>
      <c r="F107" s="439"/>
      <c r="G107" s="439"/>
      <c r="H107" s="165">
        <f t="shared" si="1"/>
        <v>12389229.229999999</v>
      </c>
      <c r="I107" s="164"/>
      <c r="J107" s="440">
        <v>19.3</v>
      </c>
      <c r="K107" s="440">
        <v>101.2</v>
      </c>
      <c r="L107" s="440">
        <v>31</v>
      </c>
      <c r="M107" s="440">
        <v>712.3</v>
      </c>
      <c r="N107" s="426">
        <v>15.15</v>
      </c>
      <c r="O107" s="440">
        <v>0</v>
      </c>
      <c r="P107" s="440"/>
    </row>
    <row r="108" spans="1:16" x14ac:dyDescent="0.2">
      <c r="A108" s="231" t="str">
        <f>CONCATENATE('Input - Customer Data'!A135,"-",'Input - Customer Data'!B135)</f>
        <v>2016-August</v>
      </c>
      <c r="B108" s="740">
        <v>13068282.76</v>
      </c>
      <c r="C108" s="438">
        <v>102159.45</v>
      </c>
      <c r="D108" s="439"/>
      <c r="E108" s="439"/>
      <c r="F108" s="439"/>
      <c r="G108" s="439"/>
      <c r="H108" s="165">
        <f t="shared" si="1"/>
        <v>12966123.310000001</v>
      </c>
      <c r="I108" s="164"/>
      <c r="J108" s="440">
        <v>2.1</v>
      </c>
      <c r="K108" s="440">
        <v>100.7</v>
      </c>
      <c r="L108" s="440">
        <v>31</v>
      </c>
      <c r="M108" s="440">
        <v>707.1</v>
      </c>
      <c r="N108" s="426">
        <v>14.03</v>
      </c>
      <c r="O108" s="440">
        <v>0</v>
      </c>
      <c r="P108" s="440"/>
    </row>
    <row r="109" spans="1:16" x14ac:dyDescent="0.2">
      <c r="A109" s="231" t="str">
        <f>CONCATENATE('Input - Customer Data'!A136,"-",'Input - Customer Data'!B136)</f>
        <v>2016-September</v>
      </c>
      <c r="B109" s="740">
        <v>11716427.66</v>
      </c>
      <c r="C109" s="438">
        <v>91362.75</v>
      </c>
      <c r="D109" s="439"/>
      <c r="E109" s="439"/>
      <c r="F109" s="439"/>
      <c r="G109" s="439"/>
      <c r="H109" s="165">
        <f t="shared" si="1"/>
        <v>11625064.91</v>
      </c>
      <c r="I109" s="164"/>
      <c r="J109" s="440">
        <v>68.8</v>
      </c>
      <c r="K109" s="440">
        <v>16.100000000000001</v>
      </c>
      <c r="L109" s="440">
        <v>30</v>
      </c>
      <c r="M109" s="440">
        <v>702.4</v>
      </c>
      <c r="N109" s="426">
        <v>12.29</v>
      </c>
      <c r="O109" s="440">
        <v>1</v>
      </c>
      <c r="P109" s="440"/>
    </row>
    <row r="110" spans="1:16" x14ac:dyDescent="0.2">
      <c r="A110" s="231" t="str">
        <f>CONCATENATE('Input - Customer Data'!A137,"-",'Input - Customer Data'!B137)</f>
        <v>2016-October</v>
      </c>
      <c r="B110" s="740">
        <v>11516576.609999999</v>
      </c>
      <c r="C110" s="438">
        <v>93852.45</v>
      </c>
      <c r="D110" s="439"/>
      <c r="E110" s="439"/>
      <c r="F110" s="439"/>
      <c r="G110" s="439"/>
      <c r="H110" s="165">
        <f t="shared" si="1"/>
        <v>11422724.16</v>
      </c>
      <c r="I110" s="164"/>
      <c r="J110" s="440">
        <v>209.4</v>
      </c>
      <c r="K110" s="440">
        <v>1.9</v>
      </c>
      <c r="L110" s="440">
        <v>31</v>
      </c>
      <c r="M110" s="440">
        <v>702.3</v>
      </c>
      <c r="N110" s="426">
        <v>10.51</v>
      </c>
      <c r="O110" s="440">
        <v>1</v>
      </c>
      <c r="P110" s="440"/>
    </row>
    <row r="111" spans="1:16" x14ac:dyDescent="0.2">
      <c r="A111" s="231" t="str">
        <f>CONCATENATE('Input - Customer Data'!A138,"-",'Input - Customer Data'!B138)</f>
        <v>2016-November</v>
      </c>
      <c r="B111" s="740">
        <v>11833877.720000001</v>
      </c>
      <c r="C111" s="438">
        <v>99523.199999999997</v>
      </c>
      <c r="D111" s="439"/>
      <c r="E111" s="439"/>
      <c r="F111" s="439"/>
      <c r="G111" s="439"/>
      <c r="H111" s="165">
        <f t="shared" si="1"/>
        <v>11734354.520000001</v>
      </c>
      <c r="I111" s="164"/>
      <c r="J111" s="440">
        <v>319.7</v>
      </c>
      <c r="K111" s="440">
        <v>0</v>
      </c>
      <c r="L111" s="440">
        <v>30</v>
      </c>
      <c r="M111" s="440">
        <v>680.07777777777778</v>
      </c>
      <c r="N111" s="426">
        <v>9.2799999999999994</v>
      </c>
      <c r="O111" s="440">
        <v>1</v>
      </c>
      <c r="P111" s="440"/>
    </row>
    <row r="112" spans="1:16" x14ac:dyDescent="0.2">
      <c r="A112" s="231" t="str">
        <f>CONCATENATE('Input - Customer Data'!A139,"-",'Input - Customer Data'!B139)</f>
        <v>2016-December</v>
      </c>
      <c r="B112" s="740">
        <v>12494090.520000001</v>
      </c>
      <c r="C112" s="438">
        <v>106667.7</v>
      </c>
      <c r="D112" s="439"/>
      <c r="E112" s="439"/>
      <c r="F112" s="439"/>
      <c r="G112" s="439"/>
      <c r="H112" s="165">
        <f>B112-SUM(C112:G112)</f>
        <v>12387422.820000002</v>
      </c>
      <c r="I112" s="164"/>
      <c r="J112" s="440">
        <v>639.81578947368416</v>
      </c>
      <c r="K112" s="440">
        <v>0</v>
      </c>
      <c r="L112" s="440">
        <v>31</v>
      </c>
      <c r="M112" s="440">
        <v>678.4666666666667</v>
      </c>
      <c r="N112" s="426">
        <v>8.4700000000000006</v>
      </c>
      <c r="O112" s="440">
        <v>0</v>
      </c>
      <c r="P112" s="440"/>
    </row>
    <row r="113" spans="1:16" x14ac:dyDescent="0.2">
      <c r="A113" s="231" t="str">
        <f>CONCATENATE('Input - Customer Data'!A140,"-",'Input - Customer Data'!B140)</f>
        <v>2017-January</v>
      </c>
      <c r="B113" s="740"/>
      <c r="C113" s="438"/>
      <c r="D113" s="439"/>
      <c r="E113" s="439"/>
      <c r="F113" s="439"/>
      <c r="G113" s="439"/>
      <c r="H113" s="165">
        <f t="shared" ref="H113:H124" si="2">B113+SUM(C113:G113)</f>
        <v>0</v>
      </c>
      <c r="I113" s="164"/>
      <c r="J113" s="440"/>
      <c r="K113" s="440"/>
      <c r="L113" s="440"/>
      <c r="M113" s="440"/>
      <c r="N113" s="426"/>
      <c r="O113" s="440"/>
      <c r="P113" s="440"/>
    </row>
    <row r="114" spans="1:16" x14ac:dyDescent="0.2">
      <c r="A114" s="231" t="str">
        <f>CONCATENATE('Input - Customer Data'!A141,"-",'Input - Customer Data'!B141)</f>
        <v>2017-February</v>
      </c>
      <c r="B114" s="740"/>
      <c r="C114" s="438"/>
      <c r="D114" s="439"/>
      <c r="E114" s="439"/>
      <c r="F114" s="439"/>
      <c r="G114" s="439"/>
      <c r="H114" s="165">
        <f t="shared" si="2"/>
        <v>0</v>
      </c>
      <c r="I114" s="164"/>
      <c r="J114" s="440"/>
      <c r="K114" s="440"/>
      <c r="L114" s="440"/>
      <c r="M114" s="440"/>
      <c r="N114" s="426"/>
      <c r="O114" s="440"/>
      <c r="P114" s="440"/>
    </row>
    <row r="115" spans="1:16" x14ac:dyDescent="0.2">
      <c r="A115" s="231" t="str">
        <f>CONCATENATE('Input - Customer Data'!A142,"-",'Input - Customer Data'!B142)</f>
        <v>2017-March</v>
      </c>
      <c r="B115" s="740"/>
      <c r="C115" s="438"/>
      <c r="D115" s="439"/>
      <c r="E115" s="439"/>
      <c r="F115" s="439"/>
      <c r="G115" s="439"/>
      <c r="H115" s="165">
        <f t="shared" si="2"/>
        <v>0</v>
      </c>
      <c r="I115" s="164"/>
      <c r="J115" s="440"/>
      <c r="K115" s="440"/>
      <c r="L115" s="440"/>
      <c r="M115" s="440"/>
      <c r="N115" s="426"/>
      <c r="O115" s="440"/>
      <c r="P115" s="440"/>
    </row>
    <row r="116" spans="1:16" x14ac:dyDescent="0.2">
      <c r="A116" s="231" t="str">
        <f>CONCATENATE('Input - Customer Data'!A143,"-",'Input - Customer Data'!B143)</f>
        <v>2017-April</v>
      </c>
      <c r="B116" s="740"/>
      <c r="C116" s="438"/>
      <c r="D116" s="439"/>
      <c r="E116" s="439"/>
      <c r="F116" s="439"/>
      <c r="G116" s="439"/>
      <c r="H116" s="165">
        <f t="shared" si="2"/>
        <v>0</v>
      </c>
      <c r="I116" s="164"/>
      <c r="J116" s="440"/>
      <c r="K116" s="440"/>
      <c r="L116" s="440"/>
      <c r="M116" s="440"/>
      <c r="N116" s="426"/>
      <c r="O116" s="440"/>
      <c r="P116" s="440"/>
    </row>
    <row r="117" spans="1:16" x14ac:dyDescent="0.2">
      <c r="A117" s="231" t="str">
        <f>CONCATENATE('Input - Customer Data'!A144,"-",'Input - Customer Data'!B144)</f>
        <v>2017-May</v>
      </c>
      <c r="B117" s="740"/>
      <c r="C117" s="438"/>
      <c r="D117" s="439"/>
      <c r="E117" s="439"/>
      <c r="F117" s="439"/>
      <c r="G117" s="439"/>
      <c r="H117" s="165">
        <f t="shared" si="2"/>
        <v>0</v>
      </c>
      <c r="I117" s="164"/>
      <c r="J117" s="440"/>
      <c r="K117" s="440"/>
      <c r="L117" s="440"/>
      <c r="M117" s="440"/>
      <c r="N117" s="426"/>
      <c r="O117" s="440"/>
      <c r="P117" s="440"/>
    </row>
    <row r="118" spans="1:16" x14ac:dyDescent="0.2">
      <c r="A118" s="231" t="str">
        <f>CONCATENATE('Input - Customer Data'!A145,"-",'Input - Customer Data'!B145)</f>
        <v>2017-June</v>
      </c>
      <c r="B118" s="740"/>
      <c r="C118" s="438"/>
      <c r="D118" s="439"/>
      <c r="E118" s="439"/>
      <c r="F118" s="439"/>
      <c r="G118" s="439"/>
      <c r="H118" s="165">
        <f t="shared" si="2"/>
        <v>0</v>
      </c>
      <c r="I118" s="164"/>
      <c r="J118" s="440"/>
      <c r="K118" s="440"/>
      <c r="L118" s="440"/>
      <c r="M118" s="440"/>
      <c r="N118" s="426"/>
      <c r="O118" s="440"/>
      <c r="P118" s="440"/>
    </row>
    <row r="119" spans="1:16" x14ac:dyDescent="0.2">
      <c r="A119" s="231" t="str">
        <f>CONCATENATE('Input - Customer Data'!A146,"-",'Input - Customer Data'!B146)</f>
        <v>2017-July</v>
      </c>
      <c r="B119" s="740"/>
      <c r="C119" s="438"/>
      <c r="D119" s="439"/>
      <c r="E119" s="439"/>
      <c r="F119" s="439"/>
      <c r="G119" s="439"/>
      <c r="H119" s="165">
        <f t="shared" si="2"/>
        <v>0</v>
      </c>
      <c r="I119" s="164"/>
      <c r="J119" s="440"/>
      <c r="K119" s="440"/>
      <c r="L119" s="440"/>
      <c r="M119" s="440"/>
      <c r="N119" s="426"/>
      <c r="O119" s="440"/>
      <c r="P119" s="440"/>
    </row>
    <row r="120" spans="1:16" x14ac:dyDescent="0.2">
      <c r="A120" s="231" t="str">
        <f>CONCATENATE('Input - Customer Data'!A147,"-",'Input - Customer Data'!B147)</f>
        <v>2017-August</v>
      </c>
      <c r="B120" s="740"/>
      <c r="C120" s="438"/>
      <c r="D120" s="439"/>
      <c r="E120" s="439"/>
      <c r="F120" s="439"/>
      <c r="G120" s="439"/>
      <c r="H120" s="165">
        <f t="shared" si="2"/>
        <v>0</v>
      </c>
      <c r="I120" s="164"/>
      <c r="J120" s="440"/>
      <c r="K120" s="440"/>
      <c r="L120" s="440"/>
      <c r="M120" s="440"/>
      <c r="N120" s="426"/>
      <c r="O120" s="440"/>
      <c r="P120" s="440"/>
    </row>
    <row r="121" spans="1:16" x14ac:dyDescent="0.2">
      <c r="A121" s="231" t="str">
        <f>CONCATENATE('Input - Customer Data'!A148,"-",'Input - Customer Data'!B148)</f>
        <v>2017-September</v>
      </c>
      <c r="B121" s="740"/>
      <c r="C121" s="438"/>
      <c r="D121" s="439"/>
      <c r="E121" s="439"/>
      <c r="F121" s="439"/>
      <c r="G121" s="439"/>
      <c r="H121" s="165">
        <f t="shared" si="2"/>
        <v>0</v>
      </c>
      <c r="I121" s="164"/>
      <c r="J121" s="440"/>
      <c r="K121" s="440"/>
      <c r="L121" s="440"/>
      <c r="M121" s="440"/>
      <c r="N121" s="426"/>
      <c r="O121" s="440"/>
      <c r="P121" s="440"/>
    </row>
    <row r="122" spans="1:16" x14ac:dyDescent="0.2">
      <c r="A122" s="231" t="str">
        <f>CONCATENATE('Input - Customer Data'!A149,"-",'Input - Customer Data'!B149)</f>
        <v>2017-October</v>
      </c>
      <c r="B122" s="740"/>
      <c r="C122" s="438"/>
      <c r="D122" s="439"/>
      <c r="E122" s="439"/>
      <c r="F122" s="439"/>
      <c r="G122" s="439"/>
      <c r="H122" s="165">
        <f t="shared" si="2"/>
        <v>0</v>
      </c>
      <c r="I122" s="164"/>
      <c r="J122" s="440"/>
      <c r="K122" s="440"/>
      <c r="L122" s="440"/>
      <c r="M122" s="440"/>
      <c r="N122" s="426"/>
      <c r="O122" s="440"/>
      <c r="P122" s="440"/>
    </row>
    <row r="123" spans="1:16" x14ac:dyDescent="0.2">
      <c r="A123" s="231" t="str">
        <f>CONCATENATE('Input - Customer Data'!A150,"-",'Input - Customer Data'!B150)</f>
        <v>2017-November</v>
      </c>
      <c r="B123" s="740"/>
      <c r="C123" s="438"/>
      <c r="D123" s="439"/>
      <c r="E123" s="439"/>
      <c r="F123" s="439"/>
      <c r="G123" s="439"/>
      <c r="H123" s="165">
        <f t="shared" si="2"/>
        <v>0</v>
      </c>
      <c r="I123" s="164"/>
      <c r="J123" s="440"/>
      <c r="K123" s="440"/>
      <c r="L123" s="440"/>
      <c r="M123" s="440"/>
      <c r="N123" s="426"/>
      <c r="O123" s="440"/>
      <c r="P123" s="440"/>
    </row>
    <row r="124" spans="1:16" x14ac:dyDescent="0.2">
      <c r="A124" s="231" t="str">
        <f>CONCATENATE('Input - Customer Data'!A151,"-",'Input - Customer Data'!B151)</f>
        <v>2017-December</v>
      </c>
      <c r="B124" s="740"/>
      <c r="C124" s="438"/>
      <c r="D124" s="439"/>
      <c r="E124" s="439"/>
      <c r="F124" s="439"/>
      <c r="G124" s="439"/>
      <c r="H124" s="165">
        <f t="shared" si="2"/>
        <v>0</v>
      </c>
      <c r="I124" s="164"/>
      <c r="J124" s="440"/>
      <c r="K124" s="440"/>
      <c r="L124" s="440"/>
      <c r="M124" s="440"/>
      <c r="N124" s="426"/>
      <c r="O124" s="440"/>
      <c r="P124" s="440"/>
    </row>
    <row r="127" spans="1:16" x14ac:dyDescent="0.2">
      <c r="A127" s="441" t="s">
        <v>166</v>
      </c>
      <c r="B127" s="741"/>
      <c r="C127" s="443"/>
      <c r="D127" s="443"/>
      <c r="E127" s="443"/>
      <c r="F127" s="443"/>
      <c r="G127" s="443"/>
      <c r="H127" s="442"/>
      <c r="I127" s="444"/>
      <c r="J127" s="442"/>
      <c r="K127" s="442"/>
      <c r="L127" s="442"/>
      <c r="M127" s="442"/>
      <c r="N127" s="442"/>
      <c r="O127" s="442"/>
      <c r="P127" s="442"/>
    </row>
    <row r="128" spans="1:16" x14ac:dyDescent="0.2">
      <c r="A128" s="445" t="s">
        <v>167</v>
      </c>
      <c r="B128" s="741"/>
      <c r="C128" s="443"/>
      <c r="D128" s="443"/>
      <c r="E128" s="443"/>
      <c r="F128" s="443"/>
      <c r="G128" s="443"/>
      <c r="H128" s="442"/>
      <c r="I128" s="444"/>
      <c r="J128" s="442"/>
      <c r="K128" s="442"/>
      <c r="L128" s="442"/>
      <c r="M128" s="442"/>
      <c r="N128" s="442"/>
      <c r="O128" s="442"/>
      <c r="P128" s="442"/>
    </row>
    <row r="129" spans="1:16" x14ac:dyDescent="0.2">
      <c r="A129" s="445" t="s">
        <v>168</v>
      </c>
      <c r="B129" s="741"/>
      <c r="C129" s="443"/>
      <c r="D129" s="443"/>
      <c r="E129" s="443"/>
      <c r="F129" s="443"/>
      <c r="G129" s="443"/>
      <c r="H129" s="442"/>
      <c r="I129" s="444"/>
      <c r="J129" s="442"/>
      <c r="K129" s="442"/>
      <c r="L129" s="442"/>
      <c r="M129" s="442"/>
      <c r="N129" s="442"/>
      <c r="O129" s="442"/>
      <c r="P129" s="442"/>
    </row>
    <row r="130" spans="1:16" x14ac:dyDescent="0.2">
      <c r="A130" s="445" t="s">
        <v>183</v>
      </c>
      <c r="B130" s="741"/>
      <c r="C130" s="443"/>
      <c r="D130" s="443"/>
      <c r="E130" s="443"/>
      <c r="F130" s="443"/>
      <c r="G130" s="443"/>
      <c r="H130" s="442"/>
      <c r="I130" s="444"/>
      <c r="J130" s="442"/>
      <c r="K130" s="442"/>
      <c r="L130" s="442"/>
      <c r="M130" s="442"/>
      <c r="N130" s="442"/>
      <c r="O130" s="442"/>
      <c r="P130" s="442"/>
    </row>
    <row r="131" spans="1:16" x14ac:dyDescent="0.2">
      <c r="A131" s="445" t="s">
        <v>184</v>
      </c>
      <c r="B131" s="741"/>
      <c r="C131" s="443"/>
      <c r="D131" s="443"/>
      <c r="E131" s="443"/>
      <c r="F131" s="443"/>
      <c r="G131" s="443"/>
      <c r="H131" s="442"/>
      <c r="I131" s="444"/>
      <c r="J131" s="442"/>
      <c r="K131" s="442"/>
      <c r="L131" s="442"/>
      <c r="M131" s="442"/>
      <c r="N131" s="442"/>
      <c r="O131" s="442"/>
      <c r="P131" s="442"/>
    </row>
    <row r="132" spans="1:16" x14ac:dyDescent="0.2">
      <c r="A132" s="445" t="s">
        <v>185</v>
      </c>
      <c r="B132" s="741"/>
      <c r="C132" s="443"/>
      <c r="D132" s="443"/>
      <c r="E132" s="443"/>
      <c r="F132" s="443"/>
      <c r="G132" s="443"/>
      <c r="H132" s="442"/>
      <c r="I132" s="444"/>
      <c r="J132" s="442"/>
      <c r="K132" s="442"/>
      <c r="L132" s="442"/>
      <c r="M132" s="442"/>
      <c r="N132" s="442"/>
      <c r="O132" s="442"/>
      <c r="P132" s="442"/>
    </row>
    <row r="133" spans="1:16" x14ac:dyDescent="0.2">
      <c r="A133" s="445" t="s">
        <v>169</v>
      </c>
      <c r="B133" s="741"/>
      <c r="C133" s="443"/>
      <c r="D133" s="443"/>
      <c r="E133" s="443"/>
      <c r="F133" s="443"/>
      <c r="G133" s="443"/>
      <c r="H133" s="442"/>
      <c r="I133" s="444"/>
      <c r="J133" s="442"/>
      <c r="K133" s="442"/>
      <c r="L133" s="442"/>
      <c r="M133" s="442"/>
      <c r="N133" s="442"/>
      <c r="O133" s="442"/>
      <c r="P133" s="442"/>
    </row>
    <row r="134" spans="1:16" x14ac:dyDescent="0.2">
      <c r="A134" s="445"/>
      <c r="B134" s="741"/>
      <c r="C134" s="443"/>
      <c r="D134" s="443"/>
      <c r="E134" s="443"/>
      <c r="F134" s="443"/>
      <c r="G134" s="443"/>
      <c r="H134" s="442"/>
      <c r="I134" s="444"/>
      <c r="J134" s="442"/>
      <c r="K134" s="442"/>
      <c r="L134" s="442"/>
      <c r="M134" s="442"/>
      <c r="N134" s="442"/>
      <c r="O134" s="442"/>
      <c r="P134" s="442"/>
    </row>
    <row r="135" spans="1:16" x14ac:dyDescent="0.2">
      <c r="A135" s="445"/>
      <c r="B135" s="741"/>
      <c r="C135" s="443"/>
      <c r="D135" s="443"/>
      <c r="E135" s="443"/>
      <c r="F135" s="443"/>
      <c r="G135" s="443"/>
      <c r="H135" s="442"/>
      <c r="I135" s="444"/>
      <c r="J135" s="442"/>
      <c r="K135" s="442"/>
      <c r="L135" s="442"/>
      <c r="M135" s="442"/>
      <c r="N135" s="442"/>
      <c r="O135" s="442"/>
      <c r="P135" s="442"/>
    </row>
    <row r="136" spans="1:16" x14ac:dyDescent="0.2">
      <c r="A136" s="361"/>
      <c r="B136" s="742"/>
      <c r="C136" s="362"/>
      <c r="D136" s="362"/>
      <c r="E136" s="362"/>
      <c r="F136" s="362"/>
      <c r="G136" s="362"/>
      <c r="H136" s="337"/>
      <c r="J136" s="337"/>
      <c r="K136" s="337"/>
      <c r="L136" s="337"/>
      <c r="M136" s="337"/>
      <c r="N136" s="337"/>
      <c r="O136" s="337"/>
      <c r="P136" s="337"/>
    </row>
  </sheetData>
  <sheetProtection selectLockedCells="1" selectUnlockedCells="1"/>
  <mergeCells count="2">
    <mergeCell ref="J3:P3"/>
    <mergeCell ref="A3:H3"/>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AY1366"/>
  <sheetViews>
    <sheetView showGridLines="0" workbookViewId="0">
      <pane xSplit="1" ySplit="4" topLeftCell="B93" activePane="bottomRight" state="frozen"/>
      <selection activeCell="C31" sqref="C31"/>
      <selection pane="topRight" activeCell="C31" sqref="C31"/>
      <selection pane="bottomLeft" activeCell="C31" sqref="C31"/>
      <selection pane="bottomRight" activeCell="B3" sqref="B3"/>
    </sheetView>
  </sheetViews>
  <sheetFormatPr defaultColWidth="9.33203125" defaultRowHeight="12.75" x14ac:dyDescent="0.2"/>
  <cols>
    <col min="1" max="1" width="16.33203125" style="2" customWidth="1"/>
    <col min="2" max="51" width="12.83203125" style="2" customWidth="1"/>
    <col min="52" max="16384" width="9.33203125" style="2"/>
  </cols>
  <sheetData>
    <row r="1" spans="1:51" ht="15" customHeight="1" thickBot="1" x14ac:dyDescent="0.25">
      <c r="C1" s="766" t="s">
        <v>42</v>
      </c>
      <c r="D1" s="33"/>
      <c r="E1" s="34" t="s">
        <v>43</v>
      </c>
      <c r="F1" s="31">
        <v>0</v>
      </c>
      <c r="J1" s="35"/>
      <c r="K1" s="35"/>
      <c r="L1" s="35"/>
      <c r="M1" s="35"/>
      <c r="N1" s="35"/>
      <c r="O1" s="35"/>
      <c r="P1" s="35"/>
      <c r="R1" s="38">
        <v>1</v>
      </c>
      <c r="AS1" s="137"/>
      <c r="AT1" s="138"/>
      <c r="AU1" s="139" t="s">
        <v>47</v>
      </c>
      <c r="AV1" s="140">
        <v>10</v>
      </c>
    </row>
    <row r="2" spans="1:51" ht="15" customHeight="1" thickBot="1" x14ac:dyDescent="0.25">
      <c r="C2" s="767"/>
      <c r="D2" s="36"/>
      <c r="E2" s="37" t="s">
        <v>170</v>
      </c>
      <c r="F2" s="32">
        <v>5</v>
      </c>
      <c r="J2" s="35"/>
      <c r="K2" s="35"/>
      <c r="L2" s="35"/>
      <c r="M2" s="35"/>
      <c r="N2" s="35"/>
      <c r="O2" s="35"/>
      <c r="P2" s="35"/>
    </row>
    <row r="3" spans="1:51" ht="15" customHeight="1" thickBot="1" x14ac:dyDescent="0.25">
      <c r="A3" s="30" t="s">
        <v>41</v>
      </c>
      <c r="B3" s="141" t="s">
        <v>46</v>
      </c>
      <c r="C3" s="141" t="s">
        <v>46</v>
      </c>
      <c r="D3" s="141" t="s">
        <v>46</v>
      </c>
      <c r="E3" s="141" t="s">
        <v>46</v>
      </c>
      <c r="F3" s="141" t="s">
        <v>46</v>
      </c>
      <c r="G3" s="141" t="s">
        <v>204</v>
      </c>
      <c r="H3" s="141" t="s">
        <v>46</v>
      </c>
      <c r="I3" s="141" t="s">
        <v>46</v>
      </c>
      <c r="J3" s="141" t="s">
        <v>46</v>
      </c>
      <c r="K3" s="141" t="s">
        <v>46</v>
      </c>
      <c r="L3" s="141" t="s">
        <v>46</v>
      </c>
      <c r="M3" s="141" t="s">
        <v>46</v>
      </c>
      <c r="N3" s="141" t="s">
        <v>46</v>
      </c>
      <c r="O3" s="141" t="s">
        <v>46</v>
      </c>
      <c r="P3" s="141" t="s">
        <v>46</v>
      </c>
      <c r="Q3" s="141" t="s">
        <v>46</v>
      </c>
      <c r="R3" s="141" t="s">
        <v>46</v>
      </c>
      <c r="S3" s="141" t="s">
        <v>46</v>
      </c>
      <c r="T3" s="141" t="s">
        <v>46</v>
      </c>
      <c r="U3" s="141" t="s">
        <v>46</v>
      </c>
      <c r="V3" s="141" t="s">
        <v>46</v>
      </c>
      <c r="W3" s="141" t="s">
        <v>46</v>
      </c>
      <c r="X3" s="141" t="s">
        <v>46</v>
      </c>
      <c r="Y3" s="141" t="s">
        <v>46</v>
      </c>
      <c r="Z3" s="141" t="s">
        <v>46</v>
      </c>
      <c r="AA3" s="141" t="s">
        <v>46</v>
      </c>
      <c r="AB3" s="141" t="s">
        <v>46</v>
      </c>
      <c r="AC3" s="141" t="s">
        <v>46</v>
      </c>
      <c r="AD3" s="141" t="s">
        <v>46</v>
      </c>
      <c r="AE3" s="141" t="s">
        <v>46</v>
      </c>
      <c r="AF3" s="141" t="s">
        <v>46</v>
      </c>
      <c r="AG3" s="141" t="s">
        <v>46</v>
      </c>
      <c r="AH3" s="141" t="s">
        <v>46</v>
      </c>
      <c r="AI3" s="141" t="s">
        <v>46</v>
      </c>
      <c r="AJ3" s="141" t="s">
        <v>46</v>
      </c>
      <c r="AK3" s="141" t="s">
        <v>46</v>
      </c>
      <c r="AL3" s="141" t="s">
        <v>46</v>
      </c>
      <c r="AM3" s="141" t="s">
        <v>46</v>
      </c>
      <c r="AN3" s="141" t="s">
        <v>46</v>
      </c>
      <c r="AO3" s="141" t="s">
        <v>46</v>
      </c>
      <c r="AP3" s="141" t="s">
        <v>46</v>
      </c>
      <c r="AQ3" s="141" t="s">
        <v>46</v>
      </c>
      <c r="AR3" s="141" t="s">
        <v>46</v>
      </c>
      <c r="AS3" s="141" t="s">
        <v>46</v>
      </c>
      <c r="AT3" s="141" t="s">
        <v>46</v>
      </c>
      <c r="AU3" s="141" t="s">
        <v>46</v>
      </c>
      <c r="AV3" s="141" t="s">
        <v>46</v>
      </c>
      <c r="AW3" s="141" t="s">
        <v>46</v>
      </c>
      <c r="AX3" s="141" t="s">
        <v>46</v>
      </c>
      <c r="AY3" s="141" t="s">
        <v>46</v>
      </c>
    </row>
    <row r="4" spans="1:51" ht="25.5" customHeight="1" thickBot="1" x14ac:dyDescent="0.25">
      <c r="A4" s="22" t="s">
        <v>49</v>
      </c>
      <c r="B4" s="28" t="s">
        <v>50</v>
      </c>
      <c r="C4" s="28" t="s">
        <v>51</v>
      </c>
      <c r="D4" s="28" t="s">
        <v>199</v>
      </c>
      <c r="E4" s="28" t="s">
        <v>200</v>
      </c>
      <c r="F4" s="28" t="s">
        <v>191</v>
      </c>
      <c r="G4" s="28" t="s">
        <v>201</v>
      </c>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row>
    <row r="5" spans="1:51" x14ac:dyDescent="0.2">
      <c r="A5" s="434">
        <v>13858702</v>
      </c>
      <c r="B5" s="435">
        <v>676.79998779296875</v>
      </c>
      <c r="C5" s="435">
        <v>0</v>
      </c>
      <c r="D5" s="432">
        <v>31</v>
      </c>
      <c r="E5" s="432">
        <v>656.29998779296875</v>
      </c>
      <c r="F5" s="432">
        <v>9.0900001525878906</v>
      </c>
      <c r="G5" s="432">
        <v>0</v>
      </c>
      <c r="H5" s="432"/>
      <c r="I5" s="432"/>
      <c r="J5" s="436"/>
      <c r="K5" s="432"/>
      <c r="L5" s="432"/>
      <c r="M5" s="432"/>
      <c r="N5" s="432"/>
      <c r="O5" s="432"/>
      <c r="P5" s="432"/>
      <c r="Q5" s="432"/>
      <c r="R5" s="437"/>
      <c r="S5" s="437"/>
      <c r="T5" s="437"/>
      <c r="U5" s="437"/>
      <c r="V5" s="437"/>
      <c r="W5" s="437"/>
      <c r="X5" s="437"/>
      <c r="Y5" s="437"/>
      <c r="Z5" s="437"/>
      <c r="AA5" s="437"/>
      <c r="AB5" s="437"/>
      <c r="AC5" s="437"/>
      <c r="AD5" s="437"/>
      <c r="AE5" s="437"/>
      <c r="AF5" s="437"/>
      <c r="AG5" s="437"/>
      <c r="AH5" s="437"/>
      <c r="AI5" s="437"/>
      <c r="AJ5" s="437"/>
      <c r="AK5" s="437"/>
      <c r="AL5" s="437"/>
      <c r="AM5" s="437"/>
      <c r="AN5" s="437"/>
      <c r="AO5" s="437"/>
      <c r="AP5" s="437"/>
      <c r="AQ5" s="437"/>
      <c r="AR5" s="437"/>
      <c r="AS5" s="437"/>
      <c r="AT5" s="437"/>
      <c r="AU5" s="437"/>
      <c r="AV5" s="435"/>
      <c r="AW5" s="435"/>
      <c r="AX5" s="435"/>
      <c r="AY5" s="435"/>
    </row>
    <row r="6" spans="1:51" x14ac:dyDescent="0.2">
      <c r="A6" s="431">
        <v>12869483</v>
      </c>
      <c r="B6" s="432">
        <v>651.20001220703125</v>
      </c>
      <c r="C6" s="432">
        <v>0</v>
      </c>
      <c r="D6" s="432">
        <v>29</v>
      </c>
      <c r="E6" s="432">
        <v>651.20001220703125</v>
      </c>
      <c r="F6" s="432">
        <v>10.189999580383301</v>
      </c>
      <c r="G6" s="432">
        <v>0</v>
      </c>
      <c r="H6" s="432"/>
      <c r="I6" s="432"/>
      <c r="J6" s="436"/>
      <c r="K6" s="432"/>
      <c r="L6" s="432"/>
      <c r="M6" s="432"/>
      <c r="N6" s="432"/>
      <c r="O6" s="432"/>
      <c r="P6" s="432"/>
      <c r="Q6" s="432"/>
      <c r="R6" s="437"/>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2"/>
      <c r="AY6" s="432"/>
    </row>
    <row r="7" spans="1:51" x14ac:dyDescent="0.2">
      <c r="A7" s="431">
        <v>13152556</v>
      </c>
      <c r="B7" s="432">
        <v>686.0999755859375</v>
      </c>
      <c r="C7" s="432">
        <v>0</v>
      </c>
      <c r="D7" s="432">
        <v>31</v>
      </c>
      <c r="E7" s="432">
        <v>642.29998779296875</v>
      </c>
      <c r="F7" s="432">
        <v>11.510000228881836</v>
      </c>
      <c r="G7" s="432">
        <v>1</v>
      </c>
      <c r="H7" s="432"/>
      <c r="I7" s="432"/>
      <c r="J7" s="432"/>
      <c r="K7" s="432"/>
      <c r="L7" s="432"/>
      <c r="M7" s="432"/>
      <c r="N7" s="432"/>
      <c r="O7" s="432"/>
      <c r="P7" s="432"/>
      <c r="Q7" s="432"/>
      <c r="R7" s="437"/>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32"/>
      <c r="AS7" s="432"/>
      <c r="AT7" s="432"/>
      <c r="AU7" s="432"/>
      <c r="AV7" s="432"/>
      <c r="AW7" s="432"/>
      <c r="AX7" s="432"/>
      <c r="AY7" s="432"/>
    </row>
    <row r="8" spans="1:51" x14ac:dyDescent="0.2">
      <c r="A8" s="431">
        <v>11561734</v>
      </c>
      <c r="B8" s="432">
        <v>297.89999389648438</v>
      </c>
      <c r="C8" s="432">
        <v>0</v>
      </c>
      <c r="D8" s="432">
        <v>30</v>
      </c>
      <c r="E8" s="432">
        <v>642.29998779296875</v>
      </c>
      <c r="F8" s="432">
        <v>13.279999732971191</v>
      </c>
      <c r="G8" s="432">
        <v>1</v>
      </c>
      <c r="H8" s="432"/>
      <c r="I8" s="432"/>
      <c r="J8" s="432"/>
      <c r="K8" s="432"/>
      <c r="L8" s="432"/>
      <c r="M8" s="432"/>
      <c r="N8" s="432"/>
      <c r="O8" s="432"/>
      <c r="P8" s="432"/>
      <c r="Q8" s="432"/>
      <c r="R8" s="437"/>
      <c r="S8" s="432"/>
      <c r="T8" s="432"/>
      <c r="U8" s="432"/>
      <c r="V8" s="432"/>
      <c r="W8" s="432"/>
      <c r="X8" s="432"/>
      <c r="Y8" s="432"/>
      <c r="Z8" s="432"/>
      <c r="AA8" s="432"/>
      <c r="AB8" s="432"/>
      <c r="AC8" s="432"/>
      <c r="AD8" s="432"/>
      <c r="AE8" s="432"/>
      <c r="AF8" s="432"/>
      <c r="AG8" s="432"/>
      <c r="AH8" s="432"/>
      <c r="AI8" s="432"/>
      <c r="AJ8" s="432"/>
      <c r="AK8" s="432"/>
      <c r="AL8" s="432"/>
      <c r="AM8" s="432"/>
      <c r="AN8" s="432"/>
      <c r="AO8" s="432"/>
      <c r="AP8" s="432"/>
      <c r="AQ8" s="432"/>
      <c r="AR8" s="432"/>
      <c r="AS8" s="432"/>
      <c r="AT8" s="432"/>
      <c r="AU8" s="432"/>
      <c r="AV8" s="432"/>
      <c r="AW8" s="432"/>
      <c r="AX8" s="432"/>
      <c r="AY8" s="432"/>
    </row>
    <row r="9" spans="1:51" x14ac:dyDescent="0.2">
      <c r="A9" s="431">
        <v>11069726</v>
      </c>
      <c r="B9" s="432">
        <v>243.10000610351563</v>
      </c>
      <c r="C9" s="432">
        <v>0.69999998807907104</v>
      </c>
      <c r="D9" s="432">
        <v>31</v>
      </c>
      <c r="E9" s="432">
        <v>642.5</v>
      </c>
      <c r="F9" s="432">
        <v>14.520000457763672</v>
      </c>
      <c r="G9" s="432">
        <v>1</v>
      </c>
      <c r="H9" s="432"/>
      <c r="I9" s="432"/>
      <c r="J9" s="432"/>
      <c r="K9" s="432"/>
      <c r="L9" s="432"/>
      <c r="M9" s="432"/>
      <c r="N9" s="432"/>
      <c r="O9" s="432"/>
      <c r="P9" s="432"/>
      <c r="Q9" s="432"/>
      <c r="R9" s="437"/>
      <c r="S9" s="432"/>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432"/>
      <c r="AV9" s="432"/>
      <c r="AW9" s="432"/>
      <c r="AX9" s="432"/>
      <c r="AY9" s="432"/>
    </row>
    <row r="10" spans="1:51" x14ac:dyDescent="0.2">
      <c r="A10" s="431">
        <v>11839202</v>
      </c>
      <c r="B10" s="432">
        <v>40.599998474121094</v>
      </c>
      <c r="C10" s="432">
        <v>53</v>
      </c>
      <c r="D10" s="432">
        <v>30</v>
      </c>
      <c r="E10" s="432">
        <v>648.20001220703125</v>
      </c>
      <c r="F10" s="436">
        <v>15.350000381469727</v>
      </c>
      <c r="G10" s="432">
        <v>0</v>
      </c>
      <c r="H10" s="432"/>
      <c r="I10" s="432"/>
      <c r="J10" s="436"/>
      <c r="K10" s="432"/>
      <c r="L10" s="432"/>
      <c r="M10" s="432"/>
      <c r="N10" s="432"/>
      <c r="O10" s="432"/>
      <c r="P10" s="432"/>
      <c r="Q10" s="432"/>
      <c r="R10" s="437"/>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432"/>
      <c r="AR10" s="432"/>
      <c r="AS10" s="432"/>
      <c r="AT10" s="432"/>
      <c r="AU10" s="432"/>
      <c r="AV10" s="432"/>
      <c r="AW10" s="432"/>
      <c r="AX10" s="432"/>
      <c r="AY10" s="432"/>
    </row>
    <row r="11" spans="1:51" x14ac:dyDescent="0.2">
      <c r="A11" s="431">
        <v>12438276</v>
      </c>
      <c r="B11" s="432">
        <v>7.5999999046325684</v>
      </c>
      <c r="C11" s="432">
        <v>75.800003051757813</v>
      </c>
      <c r="D11" s="432">
        <v>31</v>
      </c>
      <c r="E11" s="432">
        <v>653.5</v>
      </c>
      <c r="F11" s="432">
        <v>15.149999618530273</v>
      </c>
      <c r="G11" s="432">
        <v>0</v>
      </c>
      <c r="H11" s="432"/>
      <c r="I11" s="432"/>
      <c r="J11" s="432"/>
      <c r="K11" s="432"/>
      <c r="L11" s="432"/>
      <c r="M11" s="432"/>
      <c r="N11" s="432"/>
      <c r="O11" s="432"/>
      <c r="P11" s="432"/>
      <c r="Q11" s="432"/>
      <c r="R11" s="437"/>
      <c r="S11" s="432"/>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2"/>
      <c r="AR11" s="432"/>
      <c r="AS11" s="432"/>
      <c r="AT11" s="432"/>
      <c r="AU11" s="432"/>
      <c r="AV11" s="432"/>
      <c r="AW11" s="432"/>
      <c r="AX11" s="432"/>
      <c r="AY11" s="432"/>
    </row>
    <row r="12" spans="1:51" x14ac:dyDescent="0.2">
      <c r="A12" s="431">
        <v>11492121</v>
      </c>
      <c r="B12" s="432">
        <v>36.200000762939453</v>
      </c>
      <c r="C12" s="432">
        <v>29.5</v>
      </c>
      <c r="D12" s="432">
        <v>31</v>
      </c>
      <c r="E12" s="432">
        <v>656.20001220703125</v>
      </c>
      <c r="F12" s="432">
        <v>14.029999732971191</v>
      </c>
      <c r="G12" s="432">
        <v>0</v>
      </c>
      <c r="H12" s="432"/>
      <c r="I12" s="432"/>
      <c r="J12" s="432"/>
      <c r="K12" s="432"/>
      <c r="L12" s="432"/>
      <c r="M12" s="432"/>
      <c r="N12" s="432"/>
      <c r="O12" s="432"/>
      <c r="P12" s="432"/>
      <c r="Q12" s="432"/>
      <c r="R12" s="437"/>
      <c r="S12" s="432"/>
      <c r="T12" s="432"/>
      <c r="U12" s="432"/>
      <c r="V12" s="432"/>
      <c r="W12" s="432"/>
      <c r="X12" s="432"/>
      <c r="Y12" s="432"/>
      <c r="Z12" s="432"/>
      <c r="AA12" s="432"/>
      <c r="AB12" s="432"/>
      <c r="AC12" s="432"/>
      <c r="AD12" s="432"/>
      <c r="AE12" s="432"/>
      <c r="AF12" s="432"/>
      <c r="AG12" s="432"/>
      <c r="AH12" s="432"/>
      <c r="AI12" s="432"/>
      <c r="AJ12" s="432"/>
      <c r="AK12" s="432"/>
      <c r="AL12" s="432"/>
      <c r="AM12" s="432"/>
      <c r="AN12" s="432"/>
      <c r="AO12" s="432"/>
      <c r="AP12" s="432"/>
      <c r="AQ12" s="432"/>
      <c r="AR12" s="432"/>
      <c r="AS12" s="432"/>
      <c r="AT12" s="432"/>
      <c r="AU12" s="432"/>
      <c r="AV12" s="432"/>
      <c r="AW12" s="432"/>
      <c r="AX12" s="432"/>
      <c r="AY12" s="432"/>
    </row>
    <row r="13" spans="1:51" x14ac:dyDescent="0.2">
      <c r="A13" s="431">
        <v>11764633</v>
      </c>
      <c r="B13" s="432">
        <v>93.199996948242188</v>
      </c>
      <c r="C13" s="432">
        <v>12</v>
      </c>
      <c r="D13" s="432">
        <v>30</v>
      </c>
      <c r="E13" s="432">
        <v>658.79998779296875</v>
      </c>
      <c r="F13" s="432">
        <v>12.289999961853027</v>
      </c>
      <c r="G13" s="432">
        <v>1</v>
      </c>
      <c r="H13" s="432"/>
      <c r="I13" s="432"/>
      <c r="J13" s="432"/>
      <c r="K13" s="432"/>
      <c r="L13" s="432"/>
      <c r="M13" s="432"/>
      <c r="N13" s="432"/>
      <c r="O13" s="432"/>
      <c r="P13" s="432"/>
      <c r="Q13" s="432"/>
      <c r="R13" s="437"/>
      <c r="S13" s="432"/>
      <c r="T13" s="432"/>
      <c r="U13" s="432"/>
      <c r="V13" s="432"/>
      <c r="W13" s="432"/>
      <c r="X13" s="432"/>
      <c r="Y13" s="432"/>
      <c r="Z13" s="432"/>
      <c r="AA13" s="432"/>
      <c r="AB13" s="432"/>
      <c r="AC13" s="432"/>
      <c r="AD13" s="432"/>
      <c r="AE13" s="432"/>
      <c r="AF13" s="432"/>
      <c r="AG13" s="432"/>
      <c r="AH13" s="432"/>
      <c r="AI13" s="432"/>
      <c r="AJ13" s="432"/>
      <c r="AK13" s="432"/>
      <c r="AL13" s="432"/>
      <c r="AM13" s="432"/>
      <c r="AN13" s="432"/>
      <c r="AO13" s="432"/>
      <c r="AP13" s="432"/>
      <c r="AQ13" s="432"/>
      <c r="AR13" s="432"/>
      <c r="AS13" s="432"/>
      <c r="AT13" s="432"/>
      <c r="AU13" s="432"/>
      <c r="AV13" s="432"/>
      <c r="AW13" s="432"/>
      <c r="AX13" s="432"/>
      <c r="AY13" s="432"/>
    </row>
    <row r="14" spans="1:51" x14ac:dyDescent="0.2">
      <c r="A14" s="431">
        <v>11947093</v>
      </c>
      <c r="B14" s="432">
        <v>325.70001220703125</v>
      </c>
      <c r="C14" s="432">
        <v>0</v>
      </c>
      <c r="D14" s="432">
        <v>31</v>
      </c>
      <c r="E14" s="432">
        <v>661.5</v>
      </c>
      <c r="F14" s="432">
        <v>10.510000228881836</v>
      </c>
      <c r="G14" s="432">
        <v>1</v>
      </c>
      <c r="H14" s="432"/>
      <c r="I14" s="432"/>
      <c r="J14" s="436"/>
      <c r="K14" s="432"/>
      <c r="L14" s="432"/>
      <c r="M14" s="432"/>
      <c r="N14" s="432"/>
      <c r="O14" s="432"/>
      <c r="P14" s="432"/>
      <c r="Q14" s="432"/>
      <c r="R14" s="437"/>
      <c r="S14" s="432"/>
      <c r="T14" s="432"/>
      <c r="U14" s="432"/>
      <c r="V14" s="432"/>
      <c r="W14" s="432"/>
      <c r="X14" s="432"/>
      <c r="Y14" s="432"/>
      <c r="Z14" s="432"/>
      <c r="AA14" s="432"/>
      <c r="AB14" s="432"/>
      <c r="AC14" s="432"/>
      <c r="AD14" s="432"/>
      <c r="AE14" s="432"/>
      <c r="AF14" s="432"/>
      <c r="AG14" s="432"/>
      <c r="AH14" s="432"/>
      <c r="AI14" s="432"/>
      <c r="AJ14" s="432"/>
      <c r="AK14" s="432"/>
      <c r="AL14" s="432"/>
      <c r="AM14" s="432"/>
      <c r="AN14" s="432"/>
      <c r="AO14" s="432"/>
      <c r="AP14" s="432"/>
      <c r="AQ14" s="432"/>
      <c r="AR14" s="432"/>
      <c r="AS14" s="432"/>
      <c r="AT14" s="432"/>
      <c r="AU14" s="432"/>
      <c r="AV14" s="432"/>
      <c r="AW14" s="432"/>
      <c r="AX14" s="432"/>
      <c r="AY14" s="432"/>
    </row>
    <row r="15" spans="1:51" x14ac:dyDescent="0.2">
      <c r="A15" s="431">
        <v>12427893</v>
      </c>
      <c r="B15" s="432">
        <v>499.70001220703125</v>
      </c>
      <c r="C15" s="432">
        <v>0</v>
      </c>
      <c r="D15" s="432">
        <v>30</v>
      </c>
      <c r="E15" s="432">
        <v>664.70001220703125</v>
      </c>
      <c r="F15" s="432">
        <v>9.2799997329711914</v>
      </c>
      <c r="G15" s="432">
        <v>1</v>
      </c>
      <c r="H15" s="432"/>
      <c r="I15" s="432"/>
      <c r="J15" s="432"/>
      <c r="K15" s="432"/>
      <c r="L15" s="432"/>
      <c r="M15" s="432"/>
      <c r="N15" s="432"/>
      <c r="O15" s="432"/>
      <c r="P15" s="432"/>
      <c r="Q15" s="432"/>
      <c r="R15" s="437"/>
      <c r="S15" s="432"/>
      <c r="T15" s="432"/>
      <c r="U15" s="432"/>
      <c r="V15" s="432"/>
      <c r="W15" s="432"/>
      <c r="X15" s="432"/>
      <c r="Y15" s="432"/>
      <c r="Z15" s="432"/>
      <c r="AA15" s="432"/>
      <c r="AB15" s="432"/>
      <c r="AC15" s="432"/>
      <c r="AD15" s="432"/>
      <c r="AE15" s="432"/>
      <c r="AF15" s="432"/>
      <c r="AG15" s="432"/>
      <c r="AH15" s="432"/>
      <c r="AI15" s="432"/>
      <c r="AJ15" s="432"/>
      <c r="AK15" s="432"/>
      <c r="AL15" s="432"/>
      <c r="AM15" s="432"/>
      <c r="AN15" s="432"/>
      <c r="AO15" s="432"/>
      <c r="AP15" s="432"/>
      <c r="AQ15" s="432"/>
      <c r="AR15" s="432"/>
      <c r="AS15" s="432"/>
      <c r="AT15" s="432"/>
      <c r="AU15" s="432"/>
      <c r="AV15" s="432"/>
      <c r="AW15" s="432"/>
      <c r="AX15" s="432"/>
      <c r="AY15" s="432"/>
    </row>
    <row r="16" spans="1:51" x14ac:dyDescent="0.2">
      <c r="A16" s="431">
        <v>13223170</v>
      </c>
      <c r="B16" s="432">
        <v>694</v>
      </c>
      <c r="C16" s="432">
        <v>0</v>
      </c>
      <c r="D16" s="432">
        <v>31</v>
      </c>
      <c r="E16" s="432">
        <v>662.0999755859375</v>
      </c>
      <c r="F16" s="432">
        <v>8.4700002670288086</v>
      </c>
      <c r="G16" s="432">
        <v>0</v>
      </c>
      <c r="H16" s="432"/>
      <c r="I16" s="432"/>
      <c r="J16" s="432"/>
      <c r="K16" s="432"/>
      <c r="L16" s="432"/>
      <c r="M16" s="432"/>
      <c r="N16" s="432"/>
      <c r="O16" s="432"/>
      <c r="P16" s="432"/>
      <c r="Q16" s="432"/>
      <c r="R16" s="437"/>
      <c r="S16" s="432"/>
      <c r="T16" s="432"/>
      <c r="U16" s="432"/>
      <c r="V16" s="432"/>
      <c r="W16" s="432"/>
      <c r="X16" s="432"/>
      <c r="Y16" s="432"/>
      <c r="Z16" s="432"/>
      <c r="AA16" s="432"/>
      <c r="AB16" s="432"/>
      <c r="AC16" s="432"/>
      <c r="AD16" s="432"/>
      <c r="AE16" s="432"/>
      <c r="AF16" s="432"/>
      <c r="AG16" s="432"/>
      <c r="AH16" s="432"/>
      <c r="AI16" s="432"/>
      <c r="AJ16" s="432"/>
      <c r="AK16" s="432"/>
      <c r="AL16" s="432"/>
      <c r="AM16" s="432"/>
      <c r="AN16" s="432"/>
      <c r="AO16" s="432"/>
      <c r="AP16" s="432"/>
      <c r="AQ16" s="432"/>
      <c r="AR16" s="432"/>
      <c r="AS16" s="432"/>
      <c r="AT16" s="432"/>
      <c r="AU16" s="432"/>
      <c r="AV16" s="432"/>
      <c r="AW16" s="432"/>
      <c r="AX16" s="432"/>
      <c r="AY16" s="432"/>
    </row>
    <row r="17" spans="1:51" x14ac:dyDescent="0.2">
      <c r="A17" s="431">
        <v>13805270</v>
      </c>
      <c r="B17" s="432">
        <v>891.79998779296875</v>
      </c>
      <c r="C17" s="432">
        <v>0</v>
      </c>
      <c r="D17" s="432">
        <v>31</v>
      </c>
      <c r="E17" s="432">
        <v>651.4000244140625</v>
      </c>
      <c r="F17" s="432">
        <v>9.0900001525878906</v>
      </c>
      <c r="G17" s="432">
        <v>0</v>
      </c>
      <c r="H17" s="432"/>
      <c r="I17" s="432"/>
      <c r="J17" s="432"/>
      <c r="K17" s="432"/>
      <c r="L17" s="432"/>
      <c r="M17" s="432"/>
      <c r="N17" s="432"/>
      <c r="O17" s="432"/>
      <c r="P17" s="432"/>
      <c r="Q17" s="432"/>
      <c r="R17" s="437"/>
      <c r="S17" s="432"/>
      <c r="T17" s="432"/>
      <c r="U17" s="432"/>
      <c r="V17" s="432"/>
      <c r="W17" s="432"/>
      <c r="X17" s="432"/>
      <c r="Y17" s="432"/>
      <c r="Z17" s="432"/>
      <c r="AA17" s="432"/>
      <c r="AB17" s="432"/>
      <c r="AC17" s="432"/>
      <c r="AD17" s="432"/>
      <c r="AE17" s="432"/>
      <c r="AF17" s="432"/>
      <c r="AG17" s="432"/>
      <c r="AH17" s="432"/>
      <c r="AI17" s="432"/>
      <c r="AJ17" s="432"/>
      <c r="AK17" s="432"/>
      <c r="AL17" s="432"/>
      <c r="AM17" s="432"/>
      <c r="AN17" s="432"/>
      <c r="AO17" s="432"/>
      <c r="AP17" s="432"/>
      <c r="AQ17" s="432"/>
      <c r="AR17" s="432"/>
      <c r="AS17" s="432"/>
      <c r="AT17" s="432"/>
      <c r="AU17" s="432"/>
      <c r="AV17" s="432"/>
      <c r="AW17" s="432"/>
      <c r="AX17" s="432"/>
      <c r="AY17" s="432"/>
    </row>
    <row r="18" spans="1:51" x14ac:dyDescent="0.2">
      <c r="A18" s="431">
        <v>12102540</v>
      </c>
      <c r="B18" s="432">
        <v>649.5999755859375</v>
      </c>
      <c r="C18" s="432">
        <v>0</v>
      </c>
      <c r="D18" s="432">
        <v>28</v>
      </c>
      <c r="E18" s="432">
        <v>639.4000244140625</v>
      </c>
      <c r="F18" s="432">
        <v>10.189999580383301</v>
      </c>
      <c r="G18" s="432">
        <v>0</v>
      </c>
      <c r="H18" s="432"/>
      <c r="I18" s="432"/>
      <c r="J18" s="432"/>
      <c r="K18" s="432"/>
      <c r="L18" s="432"/>
      <c r="M18" s="432"/>
      <c r="N18" s="432"/>
      <c r="O18" s="432"/>
      <c r="P18" s="432"/>
      <c r="Q18" s="432"/>
      <c r="R18" s="437"/>
      <c r="S18" s="432"/>
      <c r="T18" s="432"/>
      <c r="U18" s="432"/>
      <c r="V18" s="432"/>
      <c r="W18" s="432"/>
      <c r="X18" s="432"/>
      <c r="Y18" s="432"/>
      <c r="Z18" s="432"/>
      <c r="AA18" s="432"/>
      <c r="AB18" s="432"/>
      <c r="AC18" s="432"/>
      <c r="AD18" s="432"/>
      <c r="AE18" s="432"/>
      <c r="AF18" s="432"/>
      <c r="AG18" s="432"/>
      <c r="AH18" s="432"/>
      <c r="AI18" s="432"/>
      <c r="AJ18" s="432"/>
      <c r="AK18" s="432"/>
      <c r="AL18" s="432"/>
      <c r="AM18" s="432"/>
      <c r="AN18" s="432"/>
      <c r="AO18" s="432"/>
      <c r="AP18" s="432"/>
      <c r="AQ18" s="432"/>
      <c r="AR18" s="432"/>
      <c r="AS18" s="432"/>
      <c r="AT18" s="432"/>
      <c r="AU18" s="432"/>
      <c r="AV18" s="432"/>
      <c r="AW18" s="432"/>
      <c r="AX18" s="432"/>
      <c r="AY18" s="432"/>
    </row>
    <row r="19" spans="1:51" x14ac:dyDescent="0.2">
      <c r="A19" s="431">
        <v>12624249</v>
      </c>
      <c r="B19" s="432">
        <v>562.5999755859375</v>
      </c>
      <c r="C19" s="432">
        <v>0</v>
      </c>
      <c r="D19" s="432">
        <v>31</v>
      </c>
      <c r="E19" s="432">
        <v>627.5999755859375</v>
      </c>
      <c r="F19" s="432">
        <v>11.510000228881836</v>
      </c>
      <c r="G19" s="432">
        <v>1</v>
      </c>
      <c r="H19" s="432"/>
      <c r="I19" s="432"/>
      <c r="J19" s="432"/>
      <c r="K19" s="432"/>
      <c r="L19" s="432"/>
      <c r="M19" s="432"/>
      <c r="N19" s="432"/>
      <c r="O19" s="432"/>
      <c r="P19" s="432"/>
      <c r="Q19" s="432"/>
      <c r="R19" s="437"/>
      <c r="S19" s="432"/>
      <c r="T19" s="432"/>
      <c r="U19" s="432"/>
      <c r="V19" s="432"/>
      <c r="W19" s="432"/>
      <c r="X19" s="432"/>
      <c r="Y19" s="432"/>
      <c r="Z19" s="432"/>
      <c r="AA19" s="432"/>
      <c r="AB19" s="432"/>
      <c r="AC19" s="432"/>
      <c r="AD19" s="432"/>
      <c r="AE19" s="432"/>
      <c r="AF19" s="432"/>
      <c r="AG19" s="432"/>
      <c r="AH19" s="432"/>
      <c r="AI19" s="432"/>
      <c r="AJ19" s="432"/>
      <c r="AK19" s="432"/>
      <c r="AL19" s="432"/>
      <c r="AM19" s="432"/>
      <c r="AN19" s="432"/>
      <c r="AO19" s="432"/>
      <c r="AP19" s="432"/>
      <c r="AQ19" s="432"/>
      <c r="AR19" s="432"/>
      <c r="AS19" s="432"/>
      <c r="AT19" s="432"/>
      <c r="AU19" s="432"/>
      <c r="AV19" s="432"/>
      <c r="AW19" s="432"/>
      <c r="AX19" s="432"/>
      <c r="AY19" s="432"/>
    </row>
    <row r="20" spans="1:51" x14ac:dyDescent="0.2">
      <c r="A20" s="431">
        <v>11247397</v>
      </c>
      <c r="B20" s="432">
        <v>341.5</v>
      </c>
      <c r="C20" s="432">
        <v>3.2000000476837158</v>
      </c>
      <c r="D20" s="432">
        <v>30</v>
      </c>
      <c r="E20" s="432">
        <v>623.9000244140625</v>
      </c>
      <c r="F20" s="432">
        <v>13.279999732971191</v>
      </c>
      <c r="G20" s="432">
        <v>1</v>
      </c>
      <c r="H20" s="432"/>
      <c r="I20" s="432"/>
      <c r="J20" s="432"/>
      <c r="K20" s="432"/>
      <c r="L20" s="432"/>
      <c r="M20" s="432"/>
      <c r="N20" s="432"/>
      <c r="O20" s="432"/>
      <c r="P20" s="432"/>
      <c r="Q20" s="432"/>
      <c r="R20" s="437"/>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2"/>
      <c r="AT20" s="432"/>
      <c r="AU20" s="432"/>
      <c r="AV20" s="432"/>
      <c r="AW20" s="432"/>
      <c r="AX20" s="432"/>
      <c r="AY20" s="432"/>
    </row>
    <row r="21" spans="1:51" x14ac:dyDescent="0.2">
      <c r="A21" s="431">
        <v>10393439</v>
      </c>
      <c r="B21" s="432">
        <v>192.80000305175781</v>
      </c>
      <c r="C21" s="432">
        <v>2.2999999523162842</v>
      </c>
      <c r="D21" s="432">
        <v>31</v>
      </c>
      <c r="E21" s="432">
        <v>622.70001220703125</v>
      </c>
      <c r="F21" s="432">
        <v>14.520000457763672</v>
      </c>
      <c r="G21" s="432">
        <v>1</v>
      </c>
      <c r="H21" s="432"/>
      <c r="I21" s="432"/>
      <c r="J21" s="432"/>
      <c r="K21" s="432"/>
      <c r="L21" s="432"/>
      <c r="M21" s="432"/>
      <c r="N21" s="432"/>
      <c r="O21" s="432"/>
      <c r="P21" s="432"/>
      <c r="Q21" s="432"/>
      <c r="R21" s="437"/>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2"/>
      <c r="AX21" s="432"/>
      <c r="AY21" s="432"/>
    </row>
    <row r="22" spans="1:51" x14ac:dyDescent="0.2">
      <c r="A22" s="431">
        <v>10939061</v>
      </c>
      <c r="B22" s="432">
        <v>75.699996948242188</v>
      </c>
      <c r="C22" s="432">
        <v>26.200000762939453</v>
      </c>
      <c r="D22" s="432">
        <v>30</v>
      </c>
      <c r="E22" s="432">
        <v>632.0999755859375</v>
      </c>
      <c r="F22" s="432">
        <v>15.350000381469727</v>
      </c>
      <c r="G22" s="432">
        <v>0</v>
      </c>
      <c r="H22" s="432"/>
      <c r="I22" s="432"/>
      <c r="J22" s="432"/>
      <c r="K22" s="432"/>
      <c r="L22" s="432"/>
      <c r="M22" s="432"/>
      <c r="N22" s="432"/>
      <c r="O22" s="432"/>
      <c r="P22" s="432"/>
      <c r="Q22" s="432"/>
      <c r="R22" s="437"/>
      <c r="S22" s="432"/>
      <c r="T22" s="432"/>
      <c r="U22" s="432"/>
      <c r="V22" s="432"/>
      <c r="W22" s="432"/>
      <c r="X22" s="432"/>
      <c r="Y22" s="432"/>
      <c r="Z22" s="432"/>
      <c r="AA22" s="432"/>
      <c r="AB22" s="432"/>
      <c r="AC22" s="432"/>
      <c r="AD22" s="432"/>
      <c r="AE22" s="432"/>
      <c r="AF22" s="432"/>
      <c r="AG22" s="432"/>
      <c r="AH22" s="432"/>
      <c r="AI22" s="432"/>
      <c r="AJ22" s="432"/>
      <c r="AK22" s="432"/>
      <c r="AL22" s="432"/>
      <c r="AM22" s="432"/>
      <c r="AN22" s="432"/>
      <c r="AO22" s="432"/>
      <c r="AP22" s="432"/>
      <c r="AQ22" s="432"/>
      <c r="AR22" s="432"/>
      <c r="AS22" s="432"/>
      <c r="AT22" s="432"/>
      <c r="AU22" s="432"/>
      <c r="AV22" s="432"/>
      <c r="AW22" s="432"/>
      <c r="AX22" s="432"/>
      <c r="AY22" s="432"/>
    </row>
    <row r="23" spans="1:51" x14ac:dyDescent="0.2">
      <c r="A23" s="431">
        <v>10702529</v>
      </c>
      <c r="B23" s="432">
        <v>37.599998474121094</v>
      </c>
      <c r="C23" s="432">
        <v>14.5</v>
      </c>
      <c r="D23" s="432">
        <v>31</v>
      </c>
      <c r="E23" s="432">
        <v>637.9000244140625</v>
      </c>
      <c r="F23" s="432">
        <v>15.149999618530273</v>
      </c>
      <c r="G23" s="432">
        <v>0</v>
      </c>
      <c r="H23" s="432"/>
      <c r="I23" s="432"/>
      <c r="J23" s="432"/>
      <c r="K23" s="432"/>
      <c r="L23" s="432"/>
      <c r="M23" s="432"/>
      <c r="N23" s="432"/>
      <c r="O23" s="432"/>
      <c r="P23" s="432"/>
      <c r="Q23" s="432"/>
      <c r="R23" s="437"/>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32"/>
      <c r="AS23" s="432"/>
      <c r="AT23" s="432"/>
      <c r="AU23" s="432"/>
      <c r="AV23" s="432"/>
      <c r="AW23" s="432"/>
      <c r="AX23" s="432"/>
      <c r="AY23" s="432"/>
    </row>
    <row r="24" spans="1:51" x14ac:dyDescent="0.2">
      <c r="A24" s="431">
        <v>11096330</v>
      </c>
      <c r="B24" s="432">
        <v>18.200000762939453</v>
      </c>
      <c r="C24" s="432">
        <v>57.299999237060547</v>
      </c>
      <c r="D24" s="432">
        <v>31</v>
      </c>
      <c r="E24" s="432">
        <v>643</v>
      </c>
      <c r="F24" s="432">
        <v>14.029999732971191</v>
      </c>
      <c r="G24" s="432">
        <v>0</v>
      </c>
      <c r="H24" s="432"/>
      <c r="I24" s="432"/>
      <c r="J24" s="432"/>
      <c r="K24" s="432"/>
      <c r="L24" s="432"/>
      <c r="M24" s="432"/>
      <c r="N24" s="432"/>
      <c r="O24" s="432"/>
      <c r="P24" s="432"/>
      <c r="Q24" s="432"/>
      <c r="R24" s="437"/>
      <c r="S24" s="432"/>
      <c r="T24" s="432"/>
      <c r="U24" s="432"/>
      <c r="V24" s="432"/>
      <c r="W24" s="432"/>
      <c r="X24" s="432"/>
      <c r="Y24" s="432"/>
      <c r="Z24" s="432"/>
      <c r="AA24" s="432"/>
      <c r="AB24" s="432"/>
      <c r="AC24" s="432"/>
      <c r="AD24" s="432"/>
      <c r="AE24" s="432"/>
      <c r="AF24" s="432"/>
      <c r="AG24" s="432"/>
      <c r="AH24" s="432"/>
      <c r="AI24" s="432"/>
      <c r="AJ24" s="432"/>
      <c r="AK24" s="432"/>
      <c r="AL24" s="432"/>
      <c r="AM24" s="432"/>
      <c r="AN24" s="432"/>
      <c r="AO24" s="432"/>
      <c r="AP24" s="432"/>
      <c r="AQ24" s="432"/>
      <c r="AR24" s="432"/>
      <c r="AS24" s="432"/>
      <c r="AT24" s="432"/>
      <c r="AU24" s="432"/>
      <c r="AV24" s="432"/>
      <c r="AW24" s="432"/>
      <c r="AX24" s="432"/>
      <c r="AY24" s="432"/>
    </row>
    <row r="25" spans="1:51" x14ac:dyDescent="0.2">
      <c r="A25" s="431">
        <v>10929407</v>
      </c>
      <c r="B25" s="432">
        <v>88.800003051757813</v>
      </c>
      <c r="C25" s="432">
        <v>5.5</v>
      </c>
      <c r="D25" s="432">
        <v>30</v>
      </c>
      <c r="E25" s="432">
        <v>643.29998779296875</v>
      </c>
      <c r="F25" s="432">
        <v>12.289999961853027</v>
      </c>
      <c r="G25" s="432">
        <v>1</v>
      </c>
      <c r="H25" s="432"/>
      <c r="I25" s="432"/>
      <c r="J25" s="432"/>
      <c r="K25" s="432"/>
      <c r="L25" s="432"/>
      <c r="M25" s="432"/>
      <c r="N25" s="432"/>
      <c r="O25" s="432"/>
      <c r="P25" s="432"/>
      <c r="Q25" s="432"/>
      <c r="R25" s="437"/>
      <c r="S25" s="432"/>
      <c r="T25" s="432"/>
      <c r="U25" s="432"/>
      <c r="V25" s="432"/>
      <c r="W25" s="432"/>
      <c r="X25" s="432"/>
      <c r="Y25" s="432"/>
      <c r="Z25" s="432"/>
      <c r="AA25" s="432"/>
      <c r="AB25" s="432"/>
      <c r="AC25" s="432"/>
      <c r="AD25" s="432"/>
      <c r="AE25" s="432"/>
      <c r="AF25" s="432"/>
      <c r="AG25" s="432"/>
      <c r="AH25" s="432"/>
      <c r="AI25" s="432"/>
      <c r="AJ25" s="432"/>
      <c r="AK25" s="432"/>
      <c r="AL25" s="432"/>
      <c r="AM25" s="432"/>
      <c r="AN25" s="432"/>
      <c r="AO25" s="432"/>
      <c r="AP25" s="432"/>
      <c r="AQ25" s="432"/>
      <c r="AR25" s="432"/>
      <c r="AS25" s="432"/>
      <c r="AT25" s="432"/>
      <c r="AU25" s="432"/>
      <c r="AV25" s="432"/>
      <c r="AW25" s="432"/>
      <c r="AX25" s="432"/>
      <c r="AY25" s="432"/>
    </row>
    <row r="26" spans="1:51" x14ac:dyDescent="0.2">
      <c r="A26" s="431">
        <v>11305136</v>
      </c>
      <c r="B26" s="432">
        <v>329.10000610351563</v>
      </c>
      <c r="C26" s="432">
        <v>0</v>
      </c>
      <c r="D26" s="432">
        <v>31</v>
      </c>
      <c r="E26" s="432">
        <v>644.9000244140625</v>
      </c>
      <c r="F26" s="432">
        <v>10.510000228881836</v>
      </c>
      <c r="G26" s="432">
        <v>1</v>
      </c>
      <c r="H26" s="432"/>
      <c r="I26" s="432"/>
      <c r="J26" s="432"/>
      <c r="K26" s="432"/>
      <c r="L26" s="432"/>
      <c r="M26" s="432"/>
      <c r="N26" s="432"/>
      <c r="O26" s="432"/>
      <c r="P26" s="432"/>
      <c r="Q26" s="432"/>
      <c r="R26" s="437"/>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AQ26" s="432"/>
      <c r="AR26" s="432"/>
      <c r="AS26" s="432"/>
      <c r="AT26" s="432"/>
      <c r="AU26" s="432"/>
      <c r="AV26" s="432"/>
      <c r="AW26" s="432"/>
      <c r="AX26" s="432"/>
      <c r="AY26" s="432"/>
    </row>
    <row r="27" spans="1:51" x14ac:dyDescent="0.2">
      <c r="A27" s="431">
        <v>11503015</v>
      </c>
      <c r="B27" s="432">
        <v>396.5</v>
      </c>
      <c r="C27" s="432">
        <v>0</v>
      </c>
      <c r="D27" s="432">
        <v>30</v>
      </c>
      <c r="E27" s="432">
        <v>642.20001220703125</v>
      </c>
      <c r="F27" s="432">
        <v>9.2799997329711914</v>
      </c>
      <c r="G27" s="432">
        <v>1</v>
      </c>
      <c r="H27" s="432"/>
      <c r="I27" s="432"/>
      <c r="J27" s="436"/>
      <c r="K27" s="432"/>
      <c r="L27" s="432"/>
      <c r="M27" s="432"/>
      <c r="N27" s="432"/>
      <c r="O27" s="432"/>
      <c r="P27" s="432"/>
      <c r="Q27" s="432"/>
      <c r="R27" s="437"/>
      <c r="S27" s="432"/>
      <c r="T27" s="432"/>
      <c r="U27" s="432"/>
      <c r="V27" s="432"/>
      <c r="W27" s="432"/>
      <c r="X27" s="432"/>
      <c r="Y27" s="432"/>
      <c r="Z27" s="432"/>
      <c r="AA27" s="432"/>
      <c r="AB27" s="432"/>
      <c r="AC27" s="432"/>
      <c r="AD27" s="432"/>
      <c r="AE27" s="432"/>
      <c r="AF27" s="432"/>
      <c r="AG27" s="432"/>
      <c r="AH27" s="432"/>
      <c r="AI27" s="432"/>
      <c r="AJ27" s="432"/>
      <c r="AK27" s="432"/>
      <c r="AL27" s="432"/>
      <c r="AM27" s="432"/>
      <c r="AN27" s="432"/>
      <c r="AO27" s="432"/>
      <c r="AP27" s="432"/>
      <c r="AQ27" s="432"/>
      <c r="AR27" s="432"/>
      <c r="AS27" s="432"/>
      <c r="AT27" s="432"/>
      <c r="AU27" s="432"/>
      <c r="AV27" s="432"/>
      <c r="AW27" s="432"/>
      <c r="AX27" s="432"/>
      <c r="AY27" s="432"/>
    </row>
    <row r="28" spans="1:51" x14ac:dyDescent="0.2">
      <c r="A28" s="431">
        <v>13245874</v>
      </c>
      <c r="B28" s="432">
        <v>669.5</v>
      </c>
      <c r="C28" s="432">
        <v>0</v>
      </c>
      <c r="D28" s="432">
        <v>31</v>
      </c>
      <c r="E28" s="432">
        <v>639.0999755859375</v>
      </c>
      <c r="F28" s="432">
        <v>8.4700002670288086</v>
      </c>
      <c r="G28" s="432">
        <v>0</v>
      </c>
      <c r="H28" s="432"/>
      <c r="I28" s="432"/>
      <c r="J28" s="432"/>
      <c r="K28" s="432"/>
      <c r="L28" s="432"/>
      <c r="M28" s="432"/>
      <c r="N28" s="432"/>
      <c r="O28" s="432"/>
      <c r="P28" s="432"/>
      <c r="Q28" s="432"/>
      <c r="R28" s="437"/>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32"/>
      <c r="AU28" s="432"/>
      <c r="AV28" s="432"/>
      <c r="AW28" s="432"/>
      <c r="AX28" s="432"/>
      <c r="AY28" s="432"/>
    </row>
    <row r="29" spans="1:51" x14ac:dyDescent="0.2">
      <c r="A29" s="431">
        <v>13204084</v>
      </c>
      <c r="B29" s="432">
        <v>721.0999755859375</v>
      </c>
      <c r="C29" s="432">
        <v>0</v>
      </c>
      <c r="D29" s="432">
        <v>31</v>
      </c>
      <c r="E29" s="432">
        <v>633.5999755859375</v>
      </c>
      <c r="F29" s="432">
        <v>9.0900001525878906</v>
      </c>
      <c r="G29" s="432">
        <v>0</v>
      </c>
      <c r="H29" s="432"/>
      <c r="I29" s="432"/>
      <c r="J29" s="432"/>
      <c r="K29" s="432"/>
      <c r="L29" s="432"/>
      <c r="M29" s="432"/>
      <c r="N29" s="432"/>
      <c r="O29" s="432"/>
      <c r="P29" s="432"/>
      <c r="Q29" s="432"/>
      <c r="R29" s="437"/>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c r="AT29" s="432"/>
      <c r="AU29" s="432"/>
      <c r="AV29" s="432"/>
      <c r="AW29" s="432"/>
      <c r="AX29" s="432"/>
      <c r="AY29" s="432"/>
    </row>
    <row r="30" spans="1:51" x14ac:dyDescent="0.2">
      <c r="A30" s="431">
        <v>11741623</v>
      </c>
      <c r="B30" s="432">
        <v>644.70001220703125</v>
      </c>
      <c r="C30" s="432">
        <v>0</v>
      </c>
      <c r="D30" s="432">
        <v>28</v>
      </c>
      <c r="E30" s="432">
        <v>630.5</v>
      </c>
      <c r="F30" s="432">
        <v>10.189999580383301</v>
      </c>
      <c r="G30" s="432">
        <v>0</v>
      </c>
      <c r="H30" s="432"/>
      <c r="I30" s="432"/>
      <c r="J30" s="432"/>
      <c r="K30" s="432"/>
      <c r="L30" s="432"/>
      <c r="M30" s="432"/>
      <c r="N30" s="432"/>
      <c r="O30" s="432"/>
      <c r="P30" s="432"/>
      <c r="Q30" s="432"/>
      <c r="R30" s="437"/>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432"/>
    </row>
    <row r="31" spans="1:51" x14ac:dyDescent="0.2">
      <c r="A31" s="431">
        <v>12214133</v>
      </c>
      <c r="B31" s="432">
        <v>470.89999389648438</v>
      </c>
      <c r="C31" s="432">
        <v>0</v>
      </c>
      <c r="D31" s="432">
        <v>31</v>
      </c>
      <c r="E31" s="432">
        <v>627.5</v>
      </c>
      <c r="F31" s="432">
        <v>11.510000228881836</v>
      </c>
      <c r="G31" s="432">
        <v>1</v>
      </c>
      <c r="H31" s="432"/>
      <c r="I31" s="432"/>
      <c r="J31" s="432"/>
      <c r="K31" s="432"/>
      <c r="L31" s="432"/>
      <c r="M31" s="432"/>
      <c r="N31" s="432"/>
      <c r="O31" s="432"/>
      <c r="P31" s="432"/>
      <c r="Q31" s="432"/>
      <c r="R31" s="437"/>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2"/>
      <c r="AY31" s="432"/>
    </row>
    <row r="32" spans="1:51" x14ac:dyDescent="0.2">
      <c r="A32" s="431">
        <v>10528793</v>
      </c>
      <c r="B32" s="432">
        <v>260.60000610351563</v>
      </c>
      <c r="C32" s="432">
        <v>0</v>
      </c>
      <c r="D32" s="432">
        <v>30</v>
      </c>
      <c r="E32" s="432">
        <v>631.5999755859375</v>
      </c>
      <c r="F32" s="432">
        <v>13.279999732971191</v>
      </c>
      <c r="G32" s="432">
        <v>1</v>
      </c>
      <c r="H32" s="432"/>
      <c r="I32" s="432"/>
      <c r="J32" s="432"/>
      <c r="K32" s="432"/>
      <c r="L32" s="432"/>
      <c r="M32" s="432"/>
      <c r="N32" s="432"/>
      <c r="O32" s="432"/>
      <c r="P32" s="432"/>
      <c r="Q32" s="432"/>
      <c r="R32" s="437"/>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2"/>
      <c r="AS32" s="432"/>
      <c r="AT32" s="432"/>
      <c r="AU32" s="432"/>
      <c r="AV32" s="432"/>
      <c r="AW32" s="432"/>
      <c r="AX32" s="432"/>
      <c r="AY32" s="432"/>
    </row>
    <row r="33" spans="1:51" x14ac:dyDescent="0.2">
      <c r="A33" s="431">
        <v>10748956</v>
      </c>
      <c r="B33" s="432">
        <v>144.69999694824219</v>
      </c>
      <c r="C33" s="432">
        <v>21</v>
      </c>
      <c r="D33" s="432">
        <v>31</v>
      </c>
      <c r="E33" s="432">
        <v>641.5</v>
      </c>
      <c r="F33" s="432">
        <v>14.520000457763672</v>
      </c>
      <c r="G33" s="432">
        <v>1</v>
      </c>
      <c r="H33" s="432"/>
      <c r="I33" s="432"/>
      <c r="J33" s="432"/>
      <c r="K33" s="432"/>
      <c r="L33" s="432"/>
      <c r="M33" s="432"/>
      <c r="N33" s="432"/>
      <c r="O33" s="432"/>
      <c r="P33" s="432"/>
      <c r="Q33" s="432"/>
      <c r="R33" s="437"/>
      <c r="S33" s="432"/>
      <c r="T33" s="432"/>
      <c r="U33" s="432"/>
      <c r="V33" s="432"/>
      <c r="W33" s="432"/>
      <c r="X33" s="432"/>
      <c r="Y33" s="432"/>
      <c r="Z33" s="432"/>
      <c r="AA33" s="432"/>
      <c r="AB33" s="432"/>
      <c r="AC33" s="432"/>
      <c r="AD33" s="432"/>
      <c r="AE33" s="432"/>
      <c r="AF33" s="432"/>
      <c r="AG33" s="432"/>
      <c r="AH33" s="432"/>
      <c r="AI33" s="432"/>
      <c r="AJ33" s="432"/>
      <c r="AK33" s="432"/>
      <c r="AL33" s="432"/>
      <c r="AM33" s="432"/>
      <c r="AN33" s="432"/>
      <c r="AO33" s="432"/>
      <c r="AP33" s="432"/>
      <c r="AQ33" s="432"/>
      <c r="AR33" s="432"/>
      <c r="AS33" s="432"/>
      <c r="AT33" s="432"/>
      <c r="AU33" s="432"/>
      <c r="AV33" s="432"/>
      <c r="AW33" s="432"/>
      <c r="AX33" s="432"/>
      <c r="AY33" s="432"/>
    </row>
    <row r="34" spans="1:51" x14ac:dyDescent="0.2">
      <c r="A34" s="431">
        <v>11289127</v>
      </c>
      <c r="B34" s="432">
        <v>37.700000762939453</v>
      </c>
      <c r="C34" s="432">
        <v>32.599998474121094</v>
      </c>
      <c r="D34" s="432">
        <v>30</v>
      </c>
      <c r="E34" s="432">
        <v>657.20001220703125</v>
      </c>
      <c r="F34" s="432">
        <v>15.350000381469727</v>
      </c>
      <c r="G34" s="432">
        <v>0</v>
      </c>
      <c r="H34" s="432"/>
      <c r="I34" s="432"/>
      <c r="J34" s="432"/>
      <c r="K34" s="432"/>
      <c r="L34" s="432"/>
      <c r="M34" s="432"/>
      <c r="N34" s="432"/>
      <c r="O34" s="432"/>
      <c r="P34" s="432"/>
      <c r="Q34" s="432"/>
      <c r="R34" s="437"/>
      <c r="S34" s="432"/>
      <c r="T34" s="432"/>
      <c r="U34" s="432"/>
      <c r="V34" s="432"/>
      <c r="W34" s="432"/>
      <c r="X34" s="432"/>
      <c r="Y34" s="432"/>
      <c r="Z34" s="432"/>
      <c r="AA34" s="432"/>
      <c r="AB34" s="432"/>
      <c r="AC34" s="432"/>
      <c r="AD34" s="432"/>
      <c r="AE34" s="432"/>
      <c r="AF34" s="432"/>
      <c r="AG34" s="432"/>
      <c r="AH34" s="432"/>
      <c r="AI34" s="432"/>
      <c r="AJ34" s="432"/>
      <c r="AK34" s="432"/>
      <c r="AL34" s="432"/>
      <c r="AM34" s="432"/>
      <c r="AN34" s="432"/>
      <c r="AO34" s="432"/>
      <c r="AP34" s="432"/>
      <c r="AQ34" s="432"/>
      <c r="AR34" s="432"/>
      <c r="AS34" s="432"/>
      <c r="AT34" s="432"/>
      <c r="AU34" s="432"/>
      <c r="AV34" s="432"/>
      <c r="AW34" s="432"/>
      <c r="AX34" s="432"/>
      <c r="AY34" s="432"/>
    </row>
    <row r="35" spans="1:51" x14ac:dyDescent="0.2">
      <c r="A35" s="431">
        <v>12370469</v>
      </c>
      <c r="B35" s="432">
        <v>6.6999998092651367</v>
      </c>
      <c r="C35" s="432">
        <v>106.59999847412109</v>
      </c>
      <c r="D35" s="432">
        <v>31</v>
      </c>
      <c r="E35" s="432">
        <v>669.79998779296875</v>
      </c>
      <c r="F35" s="432">
        <v>15.149999618530273</v>
      </c>
      <c r="G35" s="432">
        <v>0</v>
      </c>
      <c r="H35" s="432"/>
      <c r="I35" s="432"/>
      <c r="J35" s="432"/>
      <c r="K35" s="432"/>
      <c r="L35" s="432"/>
      <c r="M35" s="432"/>
      <c r="N35" s="432"/>
      <c r="O35" s="432"/>
      <c r="P35" s="432"/>
      <c r="Q35" s="432"/>
      <c r="R35" s="437"/>
      <c r="S35" s="432"/>
      <c r="T35" s="432"/>
      <c r="U35" s="432"/>
      <c r="V35" s="432"/>
      <c r="W35" s="432"/>
      <c r="X35" s="432"/>
      <c r="Y35" s="432"/>
      <c r="Z35" s="432"/>
      <c r="AA35" s="432"/>
      <c r="AB35" s="432"/>
      <c r="AC35" s="432"/>
      <c r="AD35" s="432"/>
      <c r="AE35" s="432"/>
      <c r="AF35" s="432"/>
      <c r="AG35" s="432"/>
      <c r="AH35" s="432"/>
      <c r="AI35" s="432"/>
      <c r="AJ35" s="432"/>
      <c r="AK35" s="432"/>
      <c r="AL35" s="432"/>
      <c r="AM35" s="432"/>
      <c r="AN35" s="432"/>
      <c r="AO35" s="432"/>
      <c r="AP35" s="432"/>
      <c r="AQ35" s="432"/>
      <c r="AR35" s="432"/>
      <c r="AS35" s="432"/>
      <c r="AT35" s="432"/>
      <c r="AU35" s="432"/>
      <c r="AV35" s="432"/>
      <c r="AW35" s="432"/>
      <c r="AX35" s="432"/>
      <c r="AY35" s="432"/>
    </row>
    <row r="36" spans="1:51" x14ac:dyDescent="0.2">
      <c r="A36" s="431">
        <v>11833527</v>
      </c>
      <c r="B36" s="432">
        <v>14.199999809265137</v>
      </c>
      <c r="C36" s="432">
        <v>85.300003051757813</v>
      </c>
      <c r="D36" s="432">
        <v>31</v>
      </c>
      <c r="E36" s="432">
        <v>672</v>
      </c>
      <c r="F36" s="432">
        <v>14.029999732971191</v>
      </c>
      <c r="G36" s="432">
        <v>0</v>
      </c>
      <c r="H36" s="432"/>
      <c r="I36" s="432"/>
      <c r="J36" s="432"/>
      <c r="K36" s="432"/>
      <c r="L36" s="432"/>
      <c r="M36" s="432"/>
      <c r="N36" s="432"/>
      <c r="O36" s="432"/>
      <c r="P36" s="432"/>
      <c r="Q36" s="432"/>
      <c r="R36" s="437"/>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32"/>
      <c r="AS36" s="432"/>
      <c r="AT36" s="432"/>
      <c r="AU36" s="432"/>
      <c r="AV36" s="432"/>
      <c r="AW36" s="432"/>
      <c r="AX36" s="432"/>
      <c r="AY36" s="432"/>
    </row>
    <row r="37" spans="1:51" x14ac:dyDescent="0.2">
      <c r="A37" s="431">
        <v>11142350</v>
      </c>
      <c r="B37" s="432">
        <v>122.69999694824219</v>
      </c>
      <c r="C37" s="432">
        <v>23</v>
      </c>
      <c r="D37" s="432">
        <v>30</v>
      </c>
      <c r="E37" s="432">
        <v>665.0999755859375</v>
      </c>
      <c r="F37" s="432">
        <v>12.289999961853027</v>
      </c>
      <c r="G37" s="432">
        <v>1</v>
      </c>
      <c r="H37" s="432"/>
      <c r="I37" s="432"/>
      <c r="J37" s="432"/>
      <c r="K37" s="432"/>
      <c r="L37" s="432"/>
      <c r="M37" s="432"/>
      <c r="N37" s="432"/>
      <c r="O37" s="432"/>
      <c r="P37" s="432"/>
      <c r="Q37" s="432"/>
      <c r="R37" s="437"/>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2"/>
      <c r="AS37" s="432"/>
      <c r="AT37" s="432"/>
      <c r="AU37" s="432"/>
      <c r="AV37" s="432"/>
      <c r="AW37" s="432"/>
      <c r="AX37" s="432"/>
      <c r="AY37" s="432"/>
    </row>
    <row r="38" spans="1:51" x14ac:dyDescent="0.2">
      <c r="A38" s="431">
        <v>11366088</v>
      </c>
      <c r="B38" s="432">
        <v>284.60000610351563</v>
      </c>
      <c r="C38" s="432">
        <v>0</v>
      </c>
      <c r="D38" s="432">
        <v>31</v>
      </c>
      <c r="E38" s="432">
        <v>657.20001220703125</v>
      </c>
      <c r="F38" s="432">
        <v>10.510000228881836</v>
      </c>
      <c r="G38" s="432">
        <v>1</v>
      </c>
      <c r="H38" s="432"/>
      <c r="I38" s="432"/>
      <c r="J38" s="432"/>
      <c r="K38" s="432"/>
      <c r="L38" s="432"/>
      <c r="M38" s="432"/>
      <c r="N38" s="432"/>
      <c r="O38" s="432"/>
      <c r="P38" s="432"/>
      <c r="Q38" s="432"/>
      <c r="R38" s="437"/>
      <c r="S38" s="432"/>
      <c r="T38" s="432"/>
      <c r="U38" s="432"/>
      <c r="V38" s="432"/>
      <c r="W38" s="432"/>
      <c r="X38" s="432"/>
      <c r="Y38" s="432"/>
      <c r="Z38" s="432"/>
      <c r="AA38" s="432"/>
      <c r="AB38" s="432"/>
      <c r="AC38" s="432"/>
      <c r="AD38" s="432"/>
      <c r="AE38" s="432"/>
      <c r="AF38" s="432"/>
      <c r="AG38" s="432"/>
      <c r="AH38" s="432"/>
      <c r="AI38" s="432"/>
      <c r="AJ38" s="432"/>
      <c r="AK38" s="432"/>
      <c r="AL38" s="432"/>
      <c r="AM38" s="432"/>
      <c r="AN38" s="432"/>
      <c r="AO38" s="432"/>
      <c r="AP38" s="432"/>
      <c r="AQ38" s="432"/>
      <c r="AR38" s="432"/>
      <c r="AS38" s="432"/>
      <c r="AT38" s="432"/>
      <c r="AU38" s="432"/>
      <c r="AV38" s="432"/>
      <c r="AW38" s="432"/>
      <c r="AX38" s="432"/>
      <c r="AY38" s="432"/>
    </row>
    <row r="39" spans="1:51" x14ac:dyDescent="0.2">
      <c r="A39" s="431">
        <v>12065540</v>
      </c>
      <c r="B39" s="432">
        <v>424.10000610351563</v>
      </c>
      <c r="C39" s="432">
        <v>0</v>
      </c>
      <c r="D39" s="432">
        <v>30</v>
      </c>
      <c r="E39" s="432">
        <v>655.20001220703125</v>
      </c>
      <c r="F39" s="432">
        <v>9.2799997329711914</v>
      </c>
      <c r="G39" s="432">
        <v>1</v>
      </c>
      <c r="H39" s="432"/>
      <c r="I39" s="432"/>
      <c r="J39" s="432"/>
      <c r="K39" s="432"/>
      <c r="L39" s="432"/>
      <c r="M39" s="432"/>
      <c r="N39" s="432"/>
      <c r="O39" s="432"/>
      <c r="P39" s="432"/>
      <c r="Q39" s="432"/>
      <c r="R39" s="437"/>
      <c r="S39" s="432"/>
      <c r="T39" s="432"/>
      <c r="U39" s="432"/>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2"/>
      <c r="AX39" s="432"/>
      <c r="AY39" s="432"/>
    </row>
    <row r="40" spans="1:51" x14ac:dyDescent="0.2">
      <c r="A40" s="431">
        <v>12635837</v>
      </c>
      <c r="B40" s="432">
        <v>719.4000244140625</v>
      </c>
      <c r="C40" s="432">
        <v>0</v>
      </c>
      <c r="D40" s="432">
        <v>31</v>
      </c>
      <c r="E40" s="432">
        <v>653.29998779296875</v>
      </c>
      <c r="F40" s="432">
        <v>8.4700002670288086</v>
      </c>
      <c r="G40" s="432">
        <v>0</v>
      </c>
      <c r="H40" s="432"/>
      <c r="I40" s="432"/>
      <c r="J40" s="432"/>
      <c r="K40" s="432"/>
      <c r="L40" s="432"/>
      <c r="M40" s="432"/>
      <c r="N40" s="432"/>
      <c r="O40" s="432"/>
      <c r="P40" s="432"/>
      <c r="Q40" s="432"/>
      <c r="R40" s="437"/>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c r="AS40" s="432"/>
      <c r="AT40" s="432"/>
      <c r="AU40" s="432"/>
      <c r="AV40" s="432"/>
      <c r="AW40" s="432"/>
      <c r="AX40" s="432"/>
      <c r="AY40" s="432"/>
    </row>
    <row r="41" spans="1:51" x14ac:dyDescent="0.2">
      <c r="A41" s="431">
        <v>13378455</v>
      </c>
      <c r="B41" s="432">
        <v>822</v>
      </c>
      <c r="C41" s="432">
        <v>0</v>
      </c>
      <c r="D41" s="432">
        <v>31</v>
      </c>
      <c r="E41" s="432">
        <v>649.29998779296875</v>
      </c>
      <c r="F41" s="432">
        <v>9.0900001525878906</v>
      </c>
      <c r="G41" s="432">
        <v>0</v>
      </c>
      <c r="H41" s="432"/>
      <c r="I41" s="432"/>
      <c r="J41" s="432"/>
      <c r="K41" s="432"/>
      <c r="L41" s="432"/>
      <c r="M41" s="432"/>
      <c r="N41" s="432"/>
      <c r="O41" s="432"/>
      <c r="P41" s="432"/>
      <c r="Q41" s="432"/>
      <c r="R41" s="437"/>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432"/>
      <c r="AU41" s="432"/>
      <c r="AV41" s="432"/>
      <c r="AW41" s="432"/>
      <c r="AX41" s="432"/>
      <c r="AY41" s="432"/>
    </row>
    <row r="42" spans="1:51" x14ac:dyDescent="0.2">
      <c r="A42" s="431">
        <v>11922830</v>
      </c>
      <c r="B42" s="432">
        <v>689.29998779296875</v>
      </c>
      <c r="C42" s="432">
        <v>0</v>
      </c>
      <c r="D42" s="432">
        <v>28</v>
      </c>
      <c r="E42" s="432">
        <v>651.20001220703125</v>
      </c>
      <c r="F42" s="432">
        <v>10.189999580383301</v>
      </c>
      <c r="G42" s="432">
        <v>0</v>
      </c>
      <c r="H42" s="432"/>
      <c r="I42" s="432"/>
      <c r="J42" s="432"/>
      <c r="K42" s="432"/>
      <c r="L42" s="432"/>
      <c r="M42" s="432"/>
      <c r="N42" s="432"/>
      <c r="O42" s="432"/>
      <c r="P42" s="432"/>
      <c r="Q42" s="432"/>
      <c r="R42" s="437"/>
      <c r="S42" s="432"/>
      <c r="T42" s="432"/>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2"/>
      <c r="AS42" s="432"/>
      <c r="AT42" s="432"/>
      <c r="AU42" s="432"/>
      <c r="AV42" s="432"/>
      <c r="AW42" s="432"/>
      <c r="AX42" s="432"/>
      <c r="AY42" s="432"/>
    </row>
    <row r="43" spans="1:51" x14ac:dyDescent="0.2">
      <c r="A43" s="431">
        <v>12516214</v>
      </c>
      <c r="B43" s="432">
        <v>622.29998779296875</v>
      </c>
      <c r="C43" s="432">
        <v>0</v>
      </c>
      <c r="D43" s="432">
        <v>31</v>
      </c>
      <c r="E43" s="432">
        <v>657.0999755859375</v>
      </c>
      <c r="F43" s="432">
        <v>11.510000228881836</v>
      </c>
      <c r="G43" s="432">
        <v>1</v>
      </c>
      <c r="H43" s="432"/>
      <c r="I43" s="432"/>
      <c r="J43" s="432"/>
      <c r="K43" s="432"/>
      <c r="L43" s="432"/>
      <c r="M43" s="432"/>
      <c r="N43" s="432"/>
      <c r="O43" s="432"/>
      <c r="P43" s="432"/>
      <c r="Q43" s="432"/>
      <c r="R43" s="437"/>
      <c r="S43" s="432"/>
      <c r="T43" s="432"/>
      <c r="U43" s="432"/>
      <c r="V43" s="432"/>
      <c r="W43" s="432"/>
      <c r="X43" s="432"/>
      <c r="Y43" s="432"/>
      <c r="Z43" s="432"/>
      <c r="AA43" s="432"/>
      <c r="AB43" s="432"/>
      <c r="AC43" s="432"/>
      <c r="AD43" s="432"/>
      <c r="AE43" s="432"/>
      <c r="AF43" s="432"/>
      <c r="AG43" s="432"/>
      <c r="AH43" s="432"/>
      <c r="AI43" s="432"/>
      <c r="AJ43" s="432"/>
      <c r="AK43" s="432"/>
      <c r="AL43" s="432"/>
      <c r="AM43" s="432"/>
      <c r="AN43" s="432"/>
      <c r="AO43" s="432"/>
      <c r="AP43" s="432"/>
      <c r="AQ43" s="432"/>
      <c r="AR43" s="432"/>
      <c r="AS43" s="432"/>
      <c r="AT43" s="432"/>
      <c r="AU43" s="432"/>
      <c r="AV43" s="432"/>
      <c r="AW43" s="432"/>
      <c r="AX43" s="432"/>
      <c r="AY43" s="432"/>
    </row>
    <row r="44" spans="1:51" x14ac:dyDescent="0.2">
      <c r="A44" s="431">
        <v>10812323</v>
      </c>
      <c r="B44" s="432">
        <v>349.60000610351563</v>
      </c>
      <c r="C44" s="432">
        <v>0</v>
      </c>
      <c r="D44" s="432">
        <v>30</v>
      </c>
      <c r="E44" s="432">
        <v>666.4000244140625</v>
      </c>
      <c r="F44" s="432">
        <v>13.279999732971191</v>
      </c>
      <c r="G44" s="432">
        <v>1</v>
      </c>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432"/>
      <c r="AM44" s="432"/>
      <c r="AN44" s="432"/>
      <c r="AO44" s="432"/>
      <c r="AP44" s="432"/>
      <c r="AQ44" s="432"/>
      <c r="AR44" s="432"/>
      <c r="AS44" s="432"/>
      <c r="AT44" s="432"/>
      <c r="AU44" s="432"/>
      <c r="AV44" s="432"/>
      <c r="AW44" s="432"/>
      <c r="AX44" s="432"/>
      <c r="AY44" s="432"/>
    </row>
    <row r="45" spans="1:51" x14ac:dyDescent="0.2">
      <c r="A45" s="431">
        <v>10414660</v>
      </c>
      <c r="B45" s="432">
        <v>156.69999694824219</v>
      </c>
      <c r="C45" s="432">
        <v>13.199999809265137</v>
      </c>
      <c r="D45" s="432">
        <v>31</v>
      </c>
      <c r="E45" s="432">
        <v>671.5</v>
      </c>
      <c r="F45" s="432">
        <v>14.520000457763672</v>
      </c>
      <c r="G45" s="432">
        <v>1</v>
      </c>
      <c r="H45" s="432"/>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2"/>
      <c r="AH45" s="432"/>
      <c r="AI45" s="432"/>
      <c r="AJ45" s="432"/>
      <c r="AK45" s="432"/>
      <c r="AL45" s="432"/>
      <c r="AM45" s="432"/>
      <c r="AN45" s="432"/>
      <c r="AO45" s="432"/>
      <c r="AP45" s="432"/>
      <c r="AQ45" s="432"/>
      <c r="AR45" s="432"/>
      <c r="AS45" s="432"/>
      <c r="AT45" s="432"/>
      <c r="AU45" s="432"/>
      <c r="AV45" s="432"/>
      <c r="AW45" s="432"/>
      <c r="AX45" s="432"/>
      <c r="AY45" s="432"/>
    </row>
    <row r="46" spans="1:51" x14ac:dyDescent="0.2">
      <c r="A46" s="431">
        <v>10990459</v>
      </c>
      <c r="B46" s="432">
        <v>48.5</v>
      </c>
      <c r="C46" s="432">
        <v>21.600000381469727</v>
      </c>
      <c r="D46" s="432">
        <v>30</v>
      </c>
      <c r="E46" s="432">
        <v>681.79998779296875</v>
      </c>
      <c r="F46" s="432">
        <v>15.350000381469727</v>
      </c>
      <c r="G46" s="432">
        <v>0</v>
      </c>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2"/>
      <c r="AI46" s="432"/>
      <c r="AJ46" s="432"/>
      <c r="AK46" s="432"/>
      <c r="AL46" s="432"/>
      <c r="AM46" s="432"/>
      <c r="AN46" s="432"/>
      <c r="AO46" s="432"/>
      <c r="AP46" s="432"/>
      <c r="AQ46" s="432"/>
      <c r="AR46" s="432"/>
      <c r="AS46" s="432"/>
      <c r="AT46" s="432"/>
      <c r="AU46" s="432"/>
      <c r="AV46" s="432"/>
      <c r="AW46" s="432"/>
      <c r="AX46" s="432"/>
      <c r="AY46" s="432"/>
    </row>
    <row r="47" spans="1:51" x14ac:dyDescent="0.2">
      <c r="A47" s="431">
        <v>12356931</v>
      </c>
      <c r="B47" s="432">
        <v>0.80000001192092896</v>
      </c>
      <c r="C47" s="432">
        <v>129.69999694824219</v>
      </c>
      <c r="D47" s="432">
        <v>31</v>
      </c>
      <c r="E47" s="432">
        <v>691.5</v>
      </c>
      <c r="F47" s="432">
        <v>15.149999618530273</v>
      </c>
      <c r="G47" s="432">
        <v>0</v>
      </c>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c r="AH47" s="432"/>
      <c r="AI47" s="432"/>
      <c r="AJ47" s="432"/>
      <c r="AK47" s="432"/>
      <c r="AL47" s="432"/>
      <c r="AM47" s="432"/>
      <c r="AN47" s="432"/>
      <c r="AO47" s="432"/>
      <c r="AP47" s="432"/>
      <c r="AQ47" s="432"/>
      <c r="AR47" s="432"/>
      <c r="AS47" s="432"/>
      <c r="AT47" s="432"/>
      <c r="AU47" s="432"/>
      <c r="AV47" s="432"/>
      <c r="AW47" s="432"/>
      <c r="AX47" s="432"/>
      <c r="AY47" s="432"/>
    </row>
    <row r="48" spans="1:51" x14ac:dyDescent="0.2">
      <c r="A48" s="431">
        <v>11520818</v>
      </c>
      <c r="B48" s="432">
        <v>6.9000000953674316</v>
      </c>
      <c r="C48" s="432">
        <v>60.099998474121094</v>
      </c>
      <c r="D48" s="432">
        <v>31</v>
      </c>
      <c r="E48" s="432">
        <v>694.9000244140625</v>
      </c>
      <c r="F48" s="432">
        <v>14.029999732971191</v>
      </c>
      <c r="G48" s="432">
        <v>0</v>
      </c>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2"/>
      <c r="AH48" s="432"/>
      <c r="AI48" s="432"/>
      <c r="AJ48" s="432"/>
      <c r="AK48" s="432"/>
      <c r="AL48" s="432"/>
      <c r="AM48" s="432"/>
      <c r="AN48" s="432"/>
      <c r="AO48" s="432"/>
      <c r="AP48" s="432"/>
      <c r="AQ48" s="432"/>
      <c r="AR48" s="432"/>
      <c r="AS48" s="432"/>
      <c r="AT48" s="432"/>
      <c r="AU48" s="432"/>
      <c r="AV48" s="432"/>
      <c r="AW48" s="432"/>
      <c r="AX48" s="432"/>
      <c r="AY48" s="432"/>
    </row>
    <row r="49" spans="1:51" x14ac:dyDescent="0.2">
      <c r="A49" s="431">
        <v>10995940</v>
      </c>
      <c r="B49" s="432">
        <v>98.400001525878906</v>
      </c>
      <c r="C49" s="432">
        <v>19.700000762939453</v>
      </c>
      <c r="D49" s="432">
        <v>30</v>
      </c>
      <c r="E49" s="432">
        <v>688.5999755859375</v>
      </c>
      <c r="F49" s="432">
        <v>12.289999961853027</v>
      </c>
      <c r="G49" s="432">
        <v>1</v>
      </c>
      <c r="H49" s="432"/>
      <c r="I49" s="432"/>
      <c r="J49" s="432"/>
      <c r="K49" s="432"/>
      <c r="L49" s="432"/>
      <c r="M49" s="432"/>
      <c r="N49" s="432"/>
      <c r="O49" s="432"/>
      <c r="P49" s="432"/>
      <c r="Q49" s="432"/>
      <c r="R49" s="432"/>
      <c r="S49" s="432"/>
      <c r="T49" s="432"/>
      <c r="U49" s="432"/>
      <c r="V49" s="432"/>
      <c r="W49" s="432"/>
      <c r="X49" s="432"/>
      <c r="Y49" s="432"/>
      <c r="Z49" s="432"/>
      <c r="AA49" s="432"/>
      <c r="AB49" s="432"/>
      <c r="AC49" s="432"/>
      <c r="AD49" s="432"/>
      <c r="AE49" s="432"/>
      <c r="AF49" s="432"/>
      <c r="AG49" s="432"/>
      <c r="AH49" s="432"/>
      <c r="AI49" s="432"/>
      <c r="AJ49" s="432"/>
      <c r="AK49" s="432"/>
      <c r="AL49" s="432"/>
      <c r="AM49" s="432"/>
      <c r="AN49" s="432"/>
      <c r="AO49" s="432"/>
      <c r="AP49" s="432"/>
      <c r="AQ49" s="432"/>
      <c r="AR49" s="432"/>
      <c r="AS49" s="432"/>
      <c r="AT49" s="432"/>
      <c r="AU49" s="432"/>
      <c r="AV49" s="432"/>
      <c r="AW49" s="432"/>
      <c r="AX49" s="432"/>
      <c r="AY49" s="432"/>
    </row>
    <row r="50" spans="1:51" x14ac:dyDescent="0.2">
      <c r="A50" s="431">
        <v>11346656</v>
      </c>
      <c r="B50" s="432">
        <v>279.89999389648438</v>
      </c>
      <c r="C50" s="432">
        <v>0</v>
      </c>
      <c r="D50" s="432">
        <v>31</v>
      </c>
      <c r="E50" s="432">
        <v>682.20001220703125</v>
      </c>
      <c r="F50" s="432">
        <v>10.510000228881836</v>
      </c>
      <c r="G50" s="432">
        <v>1</v>
      </c>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2"/>
      <c r="AH50" s="432"/>
      <c r="AI50" s="432"/>
      <c r="AJ50" s="432"/>
      <c r="AK50" s="432"/>
      <c r="AL50" s="432"/>
      <c r="AM50" s="432"/>
      <c r="AN50" s="432"/>
      <c r="AO50" s="432"/>
      <c r="AP50" s="432"/>
      <c r="AQ50" s="432"/>
      <c r="AR50" s="432"/>
      <c r="AS50" s="432"/>
      <c r="AT50" s="432"/>
      <c r="AU50" s="432"/>
      <c r="AV50" s="432"/>
      <c r="AW50" s="432"/>
      <c r="AX50" s="432"/>
      <c r="AY50" s="432"/>
    </row>
    <row r="51" spans="1:51" x14ac:dyDescent="0.2">
      <c r="A51" s="431">
        <v>11585051</v>
      </c>
      <c r="B51" s="432">
        <v>382.39999389648438</v>
      </c>
      <c r="C51" s="432">
        <v>0</v>
      </c>
      <c r="D51" s="432">
        <v>30</v>
      </c>
      <c r="E51" s="432">
        <v>677</v>
      </c>
      <c r="F51" s="432">
        <v>9.2799997329711914</v>
      </c>
      <c r="G51" s="432">
        <v>1</v>
      </c>
      <c r="H51" s="432"/>
      <c r="I51" s="432"/>
      <c r="J51" s="432"/>
      <c r="K51" s="432"/>
      <c r="L51" s="432"/>
      <c r="M51" s="432"/>
      <c r="N51" s="432"/>
      <c r="O51" s="432"/>
      <c r="P51" s="432"/>
      <c r="Q51" s="432"/>
      <c r="R51" s="432"/>
      <c r="S51" s="432"/>
      <c r="T51" s="432"/>
      <c r="U51" s="432"/>
      <c r="V51" s="432"/>
      <c r="W51" s="432"/>
      <c r="X51" s="432"/>
      <c r="Y51" s="432"/>
      <c r="Z51" s="432"/>
      <c r="AA51" s="432"/>
      <c r="AB51" s="432"/>
      <c r="AC51" s="432"/>
      <c r="AD51" s="432"/>
      <c r="AE51" s="432"/>
      <c r="AF51" s="432"/>
      <c r="AG51" s="432"/>
      <c r="AH51" s="432"/>
      <c r="AI51" s="432"/>
      <c r="AJ51" s="432"/>
      <c r="AK51" s="432"/>
      <c r="AL51" s="432"/>
      <c r="AM51" s="432"/>
      <c r="AN51" s="432"/>
      <c r="AO51" s="432"/>
      <c r="AP51" s="432"/>
      <c r="AQ51" s="432"/>
      <c r="AR51" s="432"/>
      <c r="AS51" s="432"/>
      <c r="AT51" s="432"/>
      <c r="AU51" s="432"/>
      <c r="AV51" s="432"/>
      <c r="AW51" s="432"/>
      <c r="AX51" s="432"/>
      <c r="AY51" s="432"/>
    </row>
    <row r="52" spans="1:51" x14ac:dyDescent="0.2">
      <c r="A52" s="431">
        <v>12438572</v>
      </c>
      <c r="B52" s="432">
        <v>574.79998779296875</v>
      </c>
      <c r="C52" s="432">
        <v>0</v>
      </c>
      <c r="D52" s="432">
        <v>31</v>
      </c>
      <c r="E52" s="432">
        <v>676.5999755859375</v>
      </c>
      <c r="F52" s="432">
        <v>8.4700002670288086</v>
      </c>
      <c r="G52" s="432">
        <v>0</v>
      </c>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c r="AR52" s="432"/>
      <c r="AS52" s="432"/>
      <c r="AT52" s="432"/>
      <c r="AU52" s="432"/>
      <c r="AV52" s="432"/>
      <c r="AW52" s="432"/>
      <c r="AX52" s="432"/>
      <c r="AY52" s="432"/>
    </row>
    <row r="53" spans="1:51" x14ac:dyDescent="0.2">
      <c r="A53" s="431">
        <v>13377585</v>
      </c>
      <c r="B53" s="432">
        <v>657.29998779296875</v>
      </c>
      <c r="C53" s="432">
        <v>0</v>
      </c>
      <c r="D53" s="432">
        <v>31</v>
      </c>
      <c r="E53" s="432">
        <v>670.9000244140625</v>
      </c>
      <c r="F53" s="432">
        <v>9.0900001525878906</v>
      </c>
      <c r="G53" s="432">
        <v>0</v>
      </c>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c r="AI53" s="432"/>
      <c r="AJ53" s="432"/>
      <c r="AK53" s="432"/>
      <c r="AL53" s="432"/>
      <c r="AM53" s="432"/>
      <c r="AN53" s="432"/>
      <c r="AO53" s="432"/>
      <c r="AP53" s="432"/>
      <c r="AQ53" s="432"/>
      <c r="AR53" s="432"/>
      <c r="AS53" s="432"/>
      <c r="AT53" s="432"/>
      <c r="AU53" s="432"/>
      <c r="AV53" s="432"/>
      <c r="AW53" s="432"/>
      <c r="AX53" s="432"/>
      <c r="AY53" s="432"/>
    </row>
    <row r="54" spans="1:51" x14ac:dyDescent="0.2">
      <c r="A54" s="431">
        <v>12297942</v>
      </c>
      <c r="B54" s="432">
        <v>573</v>
      </c>
      <c r="C54" s="432">
        <v>0</v>
      </c>
      <c r="D54" s="432">
        <v>29</v>
      </c>
      <c r="E54" s="432">
        <v>668.70001220703125</v>
      </c>
      <c r="F54" s="432">
        <v>10.189999580383301</v>
      </c>
      <c r="G54" s="432">
        <v>0</v>
      </c>
      <c r="H54" s="432"/>
      <c r="I54" s="432"/>
      <c r="J54" s="432"/>
      <c r="K54" s="432"/>
      <c r="L54" s="432"/>
      <c r="M54" s="432"/>
      <c r="N54" s="432"/>
      <c r="O54" s="432"/>
      <c r="P54" s="432"/>
      <c r="Q54" s="432"/>
      <c r="R54" s="432"/>
      <c r="S54" s="432"/>
      <c r="T54" s="432"/>
      <c r="U54" s="432"/>
      <c r="V54" s="432"/>
      <c r="W54" s="432"/>
      <c r="X54" s="432"/>
      <c r="Y54" s="432"/>
      <c r="Z54" s="432"/>
      <c r="AA54" s="432"/>
      <c r="AB54" s="432"/>
      <c r="AC54" s="432"/>
      <c r="AD54" s="432"/>
      <c r="AE54" s="432"/>
      <c r="AF54" s="432"/>
      <c r="AG54" s="432"/>
      <c r="AH54" s="432"/>
      <c r="AI54" s="432"/>
      <c r="AJ54" s="432"/>
      <c r="AK54" s="432"/>
      <c r="AL54" s="432"/>
      <c r="AM54" s="432"/>
      <c r="AN54" s="432"/>
      <c r="AO54" s="432"/>
      <c r="AP54" s="432"/>
      <c r="AQ54" s="432"/>
      <c r="AR54" s="432"/>
      <c r="AS54" s="432"/>
      <c r="AT54" s="432"/>
      <c r="AU54" s="432"/>
      <c r="AV54" s="432"/>
      <c r="AW54" s="432"/>
      <c r="AX54" s="432"/>
      <c r="AY54" s="432"/>
    </row>
    <row r="55" spans="1:51" x14ac:dyDescent="0.2">
      <c r="A55" s="431">
        <v>12189029</v>
      </c>
      <c r="B55" s="432">
        <v>370.10000610351563</v>
      </c>
      <c r="C55" s="432">
        <v>0</v>
      </c>
      <c r="D55" s="432">
        <v>31</v>
      </c>
      <c r="E55" s="432">
        <v>666</v>
      </c>
      <c r="F55" s="432">
        <v>11.510000228881836</v>
      </c>
      <c r="G55" s="432">
        <v>1</v>
      </c>
      <c r="H55" s="432"/>
      <c r="I55" s="432"/>
      <c r="J55" s="432"/>
      <c r="K55" s="432"/>
      <c r="L55" s="432"/>
      <c r="M55" s="432"/>
      <c r="N55" s="432"/>
      <c r="O55" s="432"/>
      <c r="P55" s="432"/>
      <c r="Q55" s="432"/>
      <c r="R55" s="432"/>
      <c r="S55" s="432"/>
      <c r="T55" s="432"/>
      <c r="U55" s="432"/>
      <c r="V55" s="432"/>
      <c r="W55" s="432"/>
      <c r="X55" s="432"/>
      <c r="Y55" s="432"/>
      <c r="Z55" s="432"/>
      <c r="AA55" s="432"/>
      <c r="AB55" s="432"/>
      <c r="AC55" s="432"/>
      <c r="AD55" s="432"/>
      <c r="AE55" s="432"/>
      <c r="AF55" s="432"/>
      <c r="AG55" s="432"/>
      <c r="AH55" s="432"/>
      <c r="AI55" s="432"/>
      <c r="AJ55" s="432"/>
      <c r="AK55" s="432"/>
      <c r="AL55" s="432"/>
      <c r="AM55" s="432"/>
      <c r="AN55" s="432"/>
      <c r="AO55" s="432"/>
      <c r="AP55" s="432"/>
      <c r="AQ55" s="432"/>
      <c r="AR55" s="432"/>
      <c r="AS55" s="432"/>
      <c r="AT55" s="432"/>
      <c r="AU55" s="432"/>
      <c r="AV55" s="432"/>
      <c r="AW55" s="432"/>
      <c r="AX55" s="432"/>
      <c r="AY55" s="432"/>
    </row>
    <row r="56" spans="1:51" x14ac:dyDescent="0.2">
      <c r="A56" s="431">
        <v>11164412</v>
      </c>
      <c r="B56" s="432">
        <v>365.29998779296875</v>
      </c>
      <c r="C56" s="432">
        <v>0</v>
      </c>
      <c r="D56" s="432">
        <v>30</v>
      </c>
      <c r="E56" s="432">
        <v>667.4000244140625</v>
      </c>
      <c r="F56" s="432">
        <v>13.279999732971191</v>
      </c>
      <c r="G56" s="432">
        <v>1</v>
      </c>
      <c r="H56" s="432"/>
      <c r="I56" s="432"/>
      <c r="J56" s="432"/>
      <c r="K56" s="432"/>
      <c r="L56" s="432"/>
      <c r="M56" s="432"/>
      <c r="N56" s="432"/>
      <c r="O56" s="432"/>
      <c r="P56" s="432"/>
      <c r="Q56" s="432"/>
      <c r="R56" s="432"/>
      <c r="S56" s="432"/>
      <c r="T56" s="432"/>
      <c r="U56" s="432"/>
      <c r="V56" s="432"/>
      <c r="W56" s="432"/>
      <c r="X56" s="432"/>
      <c r="Y56" s="432"/>
      <c r="Z56" s="432"/>
      <c r="AA56" s="432"/>
      <c r="AB56" s="432"/>
      <c r="AC56" s="432"/>
      <c r="AD56" s="432"/>
      <c r="AE56" s="432"/>
      <c r="AF56" s="432"/>
      <c r="AG56" s="432"/>
      <c r="AH56" s="432"/>
      <c r="AI56" s="432"/>
      <c r="AJ56" s="432"/>
      <c r="AK56" s="432"/>
      <c r="AL56" s="432"/>
      <c r="AM56" s="432"/>
      <c r="AN56" s="432"/>
      <c r="AO56" s="432"/>
      <c r="AP56" s="432"/>
      <c r="AQ56" s="432"/>
      <c r="AR56" s="432"/>
      <c r="AS56" s="432"/>
      <c r="AT56" s="432"/>
      <c r="AU56" s="432"/>
      <c r="AV56" s="432"/>
      <c r="AW56" s="432"/>
      <c r="AX56" s="432"/>
      <c r="AY56" s="432"/>
    </row>
    <row r="57" spans="1:51" x14ac:dyDescent="0.2">
      <c r="A57" s="431">
        <v>11015358</v>
      </c>
      <c r="B57" s="432">
        <v>105.80000305175781</v>
      </c>
      <c r="C57" s="432">
        <v>18.200000762939453</v>
      </c>
      <c r="D57" s="432">
        <v>31</v>
      </c>
      <c r="E57" s="432">
        <v>672.0999755859375</v>
      </c>
      <c r="F57" s="432">
        <v>14.520000457763672</v>
      </c>
      <c r="G57" s="432">
        <v>1</v>
      </c>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c r="AI57" s="432"/>
      <c r="AJ57" s="432"/>
      <c r="AK57" s="432"/>
      <c r="AL57" s="432"/>
      <c r="AM57" s="432"/>
      <c r="AN57" s="432"/>
      <c r="AO57" s="432"/>
      <c r="AP57" s="432"/>
      <c r="AQ57" s="432"/>
      <c r="AR57" s="432"/>
      <c r="AS57" s="432"/>
      <c r="AT57" s="432"/>
      <c r="AU57" s="432"/>
      <c r="AV57" s="432"/>
      <c r="AW57" s="432"/>
      <c r="AX57" s="432"/>
      <c r="AY57" s="432"/>
    </row>
    <row r="58" spans="1:51" x14ac:dyDescent="0.2">
      <c r="A58" s="431">
        <v>11741791</v>
      </c>
      <c r="B58" s="432">
        <v>42.099998474121094</v>
      </c>
      <c r="C58" s="432">
        <v>61.200000762939453</v>
      </c>
      <c r="D58" s="432">
        <v>30</v>
      </c>
      <c r="E58" s="432">
        <v>678.4000244140625</v>
      </c>
      <c r="F58" s="432">
        <v>15.350000381469727</v>
      </c>
      <c r="G58" s="432">
        <v>0</v>
      </c>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2"/>
      <c r="AK58" s="432"/>
      <c r="AL58" s="432"/>
      <c r="AM58" s="432"/>
      <c r="AN58" s="432"/>
      <c r="AO58" s="432"/>
      <c r="AP58" s="432"/>
      <c r="AQ58" s="432"/>
      <c r="AR58" s="432"/>
      <c r="AS58" s="432"/>
      <c r="AT58" s="432"/>
      <c r="AU58" s="432"/>
      <c r="AV58" s="432"/>
      <c r="AW58" s="432"/>
      <c r="AX58" s="432"/>
      <c r="AY58" s="432"/>
    </row>
    <row r="59" spans="1:51" x14ac:dyDescent="0.2">
      <c r="A59" s="431">
        <v>12890028</v>
      </c>
      <c r="B59" s="432">
        <v>0</v>
      </c>
      <c r="C59" s="432">
        <v>128.19999694824219</v>
      </c>
      <c r="D59" s="432">
        <v>31</v>
      </c>
      <c r="E59" s="432">
        <v>682</v>
      </c>
      <c r="F59" s="432">
        <v>15.149999618530273</v>
      </c>
      <c r="G59" s="432">
        <v>0</v>
      </c>
      <c r="H59" s="432"/>
      <c r="I59" s="432"/>
      <c r="J59" s="432"/>
      <c r="K59" s="432"/>
      <c r="L59" s="432"/>
      <c r="M59" s="432"/>
      <c r="N59" s="432"/>
      <c r="O59" s="432"/>
      <c r="P59" s="432"/>
      <c r="Q59" s="432"/>
      <c r="R59" s="432"/>
      <c r="S59" s="432"/>
      <c r="T59" s="432"/>
      <c r="U59" s="432"/>
      <c r="V59" s="432"/>
      <c r="W59" s="432"/>
      <c r="X59" s="432"/>
      <c r="Y59" s="432"/>
      <c r="Z59" s="432"/>
      <c r="AA59" s="432"/>
      <c r="AB59" s="432"/>
      <c r="AC59" s="432"/>
      <c r="AD59" s="432"/>
      <c r="AE59" s="432"/>
      <c r="AF59" s="432"/>
      <c r="AG59" s="432"/>
      <c r="AH59" s="432"/>
      <c r="AI59" s="432"/>
      <c r="AJ59" s="432"/>
      <c r="AK59" s="432"/>
      <c r="AL59" s="432"/>
      <c r="AM59" s="432"/>
      <c r="AN59" s="432"/>
      <c r="AO59" s="432"/>
      <c r="AP59" s="432"/>
      <c r="AQ59" s="432"/>
      <c r="AR59" s="432"/>
      <c r="AS59" s="432"/>
      <c r="AT59" s="432"/>
      <c r="AU59" s="432"/>
      <c r="AV59" s="432"/>
      <c r="AW59" s="432"/>
      <c r="AX59" s="432"/>
      <c r="AY59" s="432"/>
    </row>
    <row r="60" spans="1:51" x14ac:dyDescent="0.2">
      <c r="A60" s="431">
        <v>11776865</v>
      </c>
      <c r="B60" s="432">
        <v>19.399999618530273</v>
      </c>
      <c r="C60" s="432">
        <v>59.099998474121094</v>
      </c>
      <c r="D60" s="432">
        <v>31</v>
      </c>
      <c r="E60" s="432">
        <v>678.5</v>
      </c>
      <c r="F60" s="432">
        <v>14.029999732971191</v>
      </c>
      <c r="G60" s="432">
        <v>0</v>
      </c>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c r="AG60" s="432"/>
      <c r="AH60" s="432"/>
      <c r="AI60" s="432"/>
      <c r="AJ60" s="432"/>
      <c r="AK60" s="432"/>
      <c r="AL60" s="432"/>
      <c r="AM60" s="432"/>
      <c r="AN60" s="432"/>
      <c r="AO60" s="432"/>
      <c r="AP60" s="432"/>
      <c r="AQ60" s="432"/>
      <c r="AR60" s="432"/>
      <c r="AS60" s="432"/>
      <c r="AT60" s="432"/>
      <c r="AU60" s="432"/>
      <c r="AV60" s="432"/>
      <c r="AW60" s="432"/>
      <c r="AX60" s="432"/>
      <c r="AY60" s="432"/>
    </row>
    <row r="61" spans="1:51" x14ac:dyDescent="0.2">
      <c r="A61" s="431">
        <v>10556493</v>
      </c>
      <c r="B61" s="432">
        <v>125.40000152587891</v>
      </c>
      <c r="C61" s="432">
        <v>16.399999618530273</v>
      </c>
      <c r="D61" s="432">
        <v>30</v>
      </c>
      <c r="E61" s="432">
        <v>671.9000244140625</v>
      </c>
      <c r="F61" s="432">
        <v>12.289999961853027</v>
      </c>
      <c r="G61" s="432">
        <v>1</v>
      </c>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row>
    <row r="62" spans="1:51" x14ac:dyDescent="0.2">
      <c r="A62" s="431">
        <v>11616925</v>
      </c>
      <c r="B62" s="432">
        <v>279.20001220703125</v>
      </c>
      <c r="C62" s="432">
        <v>0</v>
      </c>
      <c r="D62" s="432">
        <v>31</v>
      </c>
      <c r="E62" s="432">
        <v>672.79998779296875</v>
      </c>
      <c r="F62" s="432">
        <v>10.510000228881836</v>
      </c>
      <c r="G62" s="432">
        <v>1</v>
      </c>
      <c r="H62" s="432"/>
      <c r="I62" s="432"/>
      <c r="J62" s="432"/>
      <c r="K62" s="432"/>
      <c r="L62" s="432"/>
      <c r="M62" s="432"/>
      <c r="N62" s="432"/>
      <c r="O62" s="432"/>
      <c r="P62" s="432"/>
      <c r="Q62" s="432"/>
      <c r="R62" s="432"/>
      <c r="S62" s="432"/>
      <c r="T62" s="432"/>
      <c r="U62" s="432"/>
      <c r="V62" s="432"/>
      <c r="W62" s="432"/>
      <c r="X62" s="432"/>
      <c r="Y62" s="432"/>
      <c r="Z62" s="432"/>
      <c r="AA62" s="432"/>
      <c r="AB62" s="432"/>
      <c r="AC62" s="432"/>
      <c r="AD62" s="432"/>
      <c r="AE62" s="432"/>
      <c r="AF62" s="432"/>
      <c r="AG62" s="432"/>
      <c r="AH62" s="432"/>
      <c r="AI62" s="432"/>
      <c r="AJ62" s="432"/>
      <c r="AK62" s="432"/>
      <c r="AL62" s="432"/>
      <c r="AM62" s="432"/>
      <c r="AN62" s="432"/>
      <c r="AO62" s="432"/>
      <c r="AP62" s="432"/>
      <c r="AQ62" s="432"/>
      <c r="AR62" s="432"/>
      <c r="AS62" s="432"/>
      <c r="AT62" s="432"/>
      <c r="AU62" s="432"/>
      <c r="AV62" s="432"/>
      <c r="AW62" s="432"/>
      <c r="AX62" s="432"/>
      <c r="AY62" s="432"/>
    </row>
    <row r="63" spans="1:51" x14ac:dyDescent="0.2">
      <c r="A63" s="431">
        <v>12440484</v>
      </c>
      <c r="B63" s="432">
        <v>483.60000610351563</v>
      </c>
      <c r="C63" s="432">
        <v>0</v>
      </c>
      <c r="D63" s="432">
        <v>30</v>
      </c>
      <c r="E63" s="432">
        <v>676.79998779296875</v>
      </c>
      <c r="F63" s="432">
        <v>9.2799997329711914</v>
      </c>
      <c r="G63" s="432">
        <v>1</v>
      </c>
      <c r="H63" s="432"/>
      <c r="I63" s="432"/>
      <c r="J63" s="432"/>
      <c r="K63" s="432"/>
      <c r="L63" s="432"/>
      <c r="M63" s="432"/>
      <c r="N63" s="432"/>
      <c r="O63" s="432"/>
      <c r="P63" s="432"/>
      <c r="Q63" s="432"/>
      <c r="R63" s="432"/>
      <c r="S63" s="432"/>
      <c r="T63" s="432"/>
      <c r="U63" s="432"/>
      <c r="V63" s="432"/>
      <c r="W63" s="432"/>
      <c r="X63" s="432"/>
      <c r="Y63" s="432"/>
      <c r="Z63" s="432"/>
      <c r="AA63" s="432"/>
      <c r="AB63" s="432"/>
      <c r="AC63" s="432"/>
      <c r="AD63" s="432"/>
      <c r="AE63" s="432"/>
      <c r="AF63" s="432"/>
      <c r="AG63" s="432"/>
      <c r="AH63" s="432"/>
      <c r="AI63" s="432"/>
      <c r="AJ63" s="432"/>
      <c r="AK63" s="432"/>
      <c r="AL63" s="432"/>
      <c r="AM63" s="432"/>
      <c r="AN63" s="432"/>
      <c r="AO63" s="432"/>
      <c r="AP63" s="432"/>
      <c r="AQ63" s="432"/>
      <c r="AR63" s="432"/>
      <c r="AS63" s="432"/>
      <c r="AT63" s="432"/>
      <c r="AU63" s="432"/>
      <c r="AV63" s="432"/>
      <c r="AW63" s="432"/>
      <c r="AX63" s="432"/>
      <c r="AY63" s="432"/>
    </row>
    <row r="64" spans="1:51" x14ac:dyDescent="0.2">
      <c r="A64" s="431">
        <v>12649911</v>
      </c>
      <c r="B64" s="432">
        <v>565.5</v>
      </c>
      <c r="C64" s="432">
        <v>0</v>
      </c>
      <c r="D64" s="432">
        <v>31</v>
      </c>
      <c r="E64" s="432">
        <v>682.70001220703125</v>
      </c>
      <c r="F64" s="432">
        <v>8.4700002670288086</v>
      </c>
      <c r="G64" s="432">
        <v>0</v>
      </c>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c r="AE64" s="432"/>
      <c r="AF64" s="432"/>
      <c r="AG64" s="432"/>
      <c r="AH64" s="432"/>
      <c r="AI64" s="432"/>
      <c r="AJ64" s="432"/>
      <c r="AK64" s="432"/>
      <c r="AL64" s="432"/>
      <c r="AM64" s="432"/>
      <c r="AN64" s="432"/>
      <c r="AO64" s="432"/>
      <c r="AP64" s="432"/>
      <c r="AQ64" s="432"/>
      <c r="AR64" s="432"/>
      <c r="AS64" s="432"/>
      <c r="AT64" s="432"/>
      <c r="AU64" s="432"/>
      <c r="AV64" s="432"/>
      <c r="AW64" s="432"/>
      <c r="AX64" s="432"/>
      <c r="AY64" s="432"/>
    </row>
    <row r="65" spans="1:51" x14ac:dyDescent="0.2">
      <c r="A65" s="431">
        <v>13801260</v>
      </c>
      <c r="B65" s="432">
        <v>681.29998779296875</v>
      </c>
      <c r="C65" s="432">
        <v>0</v>
      </c>
      <c r="D65" s="432">
        <v>31</v>
      </c>
      <c r="E65" s="432">
        <v>681.5999755859375</v>
      </c>
      <c r="F65" s="432">
        <v>9.0900001525878906</v>
      </c>
      <c r="G65" s="432">
        <v>0</v>
      </c>
      <c r="H65" s="432"/>
      <c r="I65" s="432"/>
      <c r="J65" s="432"/>
      <c r="K65" s="432"/>
      <c r="L65" s="432"/>
      <c r="M65" s="432"/>
      <c r="N65" s="432"/>
      <c r="O65" s="432"/>
      <c r="P65" s="432"/>
      <c r="Q65" s="432"/>
      <c r="R65" s="432"/>
      <c r="S65" s="432"/>
      <c r="T65" s="432"/>
      <c r="U65" s="432"/>
      <c r="V65" s="432"/>
      <c r="W65" s="432"/>
      <c r="X65" s="432"/>
      <c r="Y65" s="432"/>
      <c r="Z65" s="432"/>
      <c r="AA65" s="432"/>
      <c r="AB65" s="432"/>
      <c r="AC65" s="432"/>
      <c r="AD65" s="432"/>
      <c r="AE65" s="432"/>
      <c r="AF65" s="432"/>
      <c r="AG65" s="432"/>
      <c r="AH65" s="432"/>
      <c r="AI65" s="432"/>
      <c r="AJ65" s="432"/>
      <c r="AK65" s="432"/>
      <c r="AL65" s="432"/>
      <c r="AM65" s="432"/>
      <c r="AN65" s="432"/>
      <c r="AO65" s="432"/>
      <c r="AP65" s="432"/>
      <c r="AQ65" s="432"/>
      <c r="AR65" s="432"/>
      <c r="AS65" s="432"/>
      <c r="AT65" s="432"/>
      <c r="AU65" s="432"/>
      <c r="AV65" s="432"/>
      <c r="AW65" s="432"/>
      <c r="AX65" s="432"/>
      <c r="AY65" s="432"/>
    </row>
    <row r="66" spans="1:51" x14ac:dyDescent="0.2">
      <c r="A66" s="431">
        <v>12529882</v>
      </c>
      <c r="B66" s="432">
        <v>697.9000244140625</v>
      </c>
      <c r="C66" s="432">
        <v>0</v>
      </c>
      <c r="D66" s="432">
        <v>28</v>
      </c>
      <c r="E66" s="432">
        <v>682.5999755859375</v>
      </c>
      <c r="F66" s="432">
        <v>10.189999580383301</v>
      </c>
      <c r="G66" s="432">
        <v>0</v>
      </c>
      <c r="H66" s="432"/>
      <c r="I66" s="432"/>
      <c r="J66" s="432"/>
      <c r="K66" s="432"/>
      <c r="L66" s="432"/>
      <c r="M66" s="432"/>
      <c r="N66" s="432"/>
      <c r="O66" s="432"/>
      <c r="P66" s="432"/>
      <c r="Q66" s="432"/>
      <c r="R66" s="432"/>
      <c r="S66" s="432"/>
      <c r="T66" s="432"/>
      <c r="U66" s="432"/>
      <c r="V66" s="432"/>
      <c r="W66" s="432"/>
      <c r="X66" s="432"/>
      <c r="Y66" s="432"/>
      <c r="Z66" s="432"/>
      <c r="AA66" s="432"/>
      <c r="AB66" s="432"/>
      <c r="AC66" s="432"/>
      <c r="AD66" s="432"/>
      <c r="AE66" s="432"/>
      <c r="AF66" s="432"/>
      <c r="AG66" s="432"/>
      <c r="AH66" s="432"/>
      <c r="AI66" s="432"/>
      <c r="AJ66" s="432"/>
      <c r="AK66" s="432"/>
      <c r="AL66" s="432"/>
      <c r="AM66" s="432"/>
      <c r="AN66" s="432"/>
      <c r="AO66" s="432"/>
      <c r="AP66" s="432"/>
      <c r="AQ66" s="432"/>
      <c r="AR66" s="432"/>
      <c r="AS66" s="432"/>
      <c r="AT66" s="432"/>
      <c r="AU66" s="432"/>
      <c r="AV66" s="432"/>
      <c r="AW66" s="432"/>
      <c r="AX66" s="432"/>
      <c r="AY66" s="432"/>
    </row>
    <row r="67" spans="1:51" x14ac:dyDescent="0.2">
      <c r="A67" s="431">
        <v>12709104</v>
      </c>
      <c r="B67" s="432">
        <v>612</v>
      </c>
      <c r="C67" s="432">
        <v>0</v>
      </c>
      <c r="D67" s="432">
        <v>31</v>
      </c>
      <c r="E67" s="432">
        <v>683.5999755859375</v>
      </c>
      <c r="F67" s="432">
        <v>11.510000228881836</v>
      </c>
      <c r="G67" s="432">
        <v>1</v>
      </c>
      <c r="H67" s="432"/>
      <c r="I67" s="432"/>
      <c r="J67" s="432"/>
      <c r="K67" s="432"/>
      <c r="L67" s="432"/>
      <c r="M67" s="432"/>
      <c r="N67" s="432"/>
      <c r="O67" s="432"/>
      <c r="P67" s="432"/>
      <c r="Q67" s="432"/>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O67" s="432"/>
      <c r="AP67" s="432"/>
      <c r="AQ67" s="432"/>
      <c r="AR67" s="432"/>
      <c r="AS67" s="432"/>
      <c r="AT67" s="432"/>
      <c r="AU67" s="432"/>
      <c r="AV67" s="432"/>
      <c r="AW67" s="432"/>
      <c r="AX67" s="432"/>
      <c r="AY67" s="432"/>
    </row>
    <row r="68" spans="1:51" x14ac:dyDescent="0.2">
      <c r="A68" s="431">
        <v>11611418</v>
      </c>
      <c r="B68" s="432">
        <v>384.70001220703125</v>
      </c>
      <c r="C68" s="432">
        <v>0</v>
      </c>
      <c r="D68" s="432">
        <v>30</v>
      </c>
      <c r="E68" s="432">
        <v>685.4000244140625</v>
      </c>
      <c r="F68" s="432">
        <v>13.279999732971191</v>
      </c>
      <c r="G68" s="432">
        <v>1</v>
      </c>
      <c r="H68" s="432"/>
      <c r="I68" s="432"/>
      <c r="J68" s="432"/>
      <c r="K68" s="432"/>
      <c r="L68" s="432"/>
      <c r="M68" s="432"/>
      <c r="N68" s="432"/>
      <c r="O68" s="432"/>
      <c r="P68" s="432"/>
      <c r="Q68" s="432"/>
      <c r="R68" s="432"/>
      <c r="S68" s="432"/>
      <c r="T68" s="432"/>
      <c r="U68" s="432"/>
      <c r="V68" s="432"/>
      <c r="W68" s="432"/>
      <c r="X68" s="432"/>
      <c r="Y68" s="432"/>
      <c r="Z68" s="432"/>
      <c r="AA68" s="432"/>
      <c r="AB68" s="432"/>
      <c r="AC68" s="432"/>
      <c r="AD68" s="432"/>
      <c r="AE68" s="432"/>
      <c r="AF68" s="432"/>
      <c r="AG68" s="432"/>
      <c r="AH68" s="432"/>
      <c r="AI68" s="432"/>
      <c r="AJ68" s="432"/>
      <c r="AK68" s="432"/>
      <c r="AL68" s="432"/>
      <c r="AM68" s="432"/>
      <c r="AN68" s="432"/>
      <c r="AO68" s="432"/>
      <c r="AP68" s="432"/>
      <c r="AQ68" s="432"/>
      <c r="AR68" s="432"/>
      <c r="AS68" s="432"/>
      <c r="AT68" s="432"/>
      <c r="AU68" s="432"/>
      <c r="AV68" s="432"/>
      <c r="AW68" s="432"/>
      <c r="AX68" s="432"/>
      <c r="AY68" s="432"/>
    </row>
    <row r="69" spans="1:51" x14ac:dyDescent="0.2">
      <c r="A69" s="431">
        <v>11147570</v>
      </c>
      <c r="B69" s="432">
        <v>152.10000610351563</v>
      </c>
      <c r="C69" s="432">
        <v>19.600000381469727</v>
      </c>
      <c r="D69" s="432">
        <v>31</v>
      </c>
      <c r="E69" s="432">
        <v>690.29998779296875</v>
      </c>
      <c r="F69" s="432">
        <v>14.520000457763672</v>
      </c>
      <c r="G69" s="432">
        <v>1</v>
      </c>
      <c r="H69" s="432"/>
      <c r="I69" s="432"/>
      <c r="J69" s="432"/>
      <c r="K69" s="432"/>
      <c r="L69" s="432"/>
      <c r="M69" s="432"/>
      <c r="N69" s="432"/>
      <c r="O69" s="432"/>
      <c r="P69" s="432"/>
      <c r="Q69" s="432"/>
      <c r="R69" s="432"/>
      <c r="S69" s="432"/>
      <c r="T69" s="432"/>
      <c r="U69" s="432"/>
      <c r="V69" s="432"/>
      <c r="W69" s="432"/>
      <c r="X69" s="432"/>
      <c r="Y69" s="432"/>
      <c r="Z69" s="432"/>
      <c r="AA69" s="432"/>
      <c r="AB69" s="432"/>
      <c r="AC69" s="432"/>
      <c r="AD69" s="432"/>
      <c r="AE69" s="432"/>
      <c r="AF69" s="432"/>
      <c r="AG69" s="432"/>
      <c r="AH69" s="432"/>
      <c r="AI69" s="432"/>
      <c r="AJ69" s="432"/>
      <c r="AK69" s="432"/>
      <c r="AL69" s="432"/>
      <c r="AM69" s="432"/>
      <c r="AN69" s="432"/>
      <c r="AO69" s="432"/>
      <c r="AP69" s="432"/>
      <c r="AQ69" s="432"/>
      <c r="AR69" s="432"/>
      <c r="AS69" s="432"/>
      <c r="AT69" s="432"/>
      <c r="AU69" s="432"/>
      <c r="AV69" s="432"/>
      <c r="AW69" s="432"/>
      <c r="AX69" s="432"/>
      <c r="AY69" s="432"/>
    </row>
    <row r="70" spans="1:51" x14ac:dyDescent="0.2">
      <c r="A70" s="431">
        <v>11517408</v>
      </c>
      <c r="B70" s="432">
        <v>52.599998474121094</v>
      </c>
      <c r="C70" s="432">
        <v>31.299999237060547</v>
      </c>
      <c r="D70" s="432">
        <v>30</v>
      </c>
      <c r="E70" s="432">
        <v>696.70001220703125</v>
      </c>
      <c r="F70" s="432">
        <v>15.350000381469727</v>
      </c>
      <c r="G70" s="432">
        <v>0</v>
      </c>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32"/>
      <c r="AU70" s="432"/>
      <c r="AV70" s="432"/>
      <c r="AW70" s="432"/>
      <c r="AX70" s="432"/>
      <c r="AY70" s="432"/>
    </row>
    <row r="71" spans="1:51" x14ac:dyDescent="0.2">
      <c r="A71" s="431">
        <v>12829750</v>
      </c>
      <c r="B71" s="432">
        <v>15.100000381469727</v>
      </c>
      <c r="C71" s="432">
        <v>86.5</v>
      </c>
      <c r="D71" s="432">
        <v>31</v>
      </c>
      <c r="E71" s="432">
        <v>702.79998779296875</v>
      </c>
      <c r="F71" s="432">
        <v>15.149999618530273</v>
      </c>
      <c r="G71" s="432">
        <v>0</v>
      </c>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2"/>
      <c r="AY71" s="432"/>
    </row>
    <row r="72" spans="1:51" x14ac:dyDescent="0.2">
      <c r="A72" s="431">
        <v>11739886</v>
      </c>
      <c r="B72" s="432">
        <v>32.700000762939453</v>
      </c>
      <c r="C72" s="432">
        <v>42.099998474121094</v>
      </c>
      <c r="D72" s="432">
        <v>31</v>
      </c>
      <c r="E72" s="432">
        <v>701.4000244140625</v>
      </c>
      <c r="F72" s="432">
        <v>14.029999732971191</v>
      </c>
      <c r="G72" s="432">
        <v>0</v>
      </c>
      <c r="H72" s="432"/>
      <c r="I72" s="432"/>
      <c r="J72" s="432"/>
      <c r="K72" s="432"/>
      <c r="L72" s="432"/>
      <c r="M72" s="432"/>
      <c r="N72" s="432"/>
      <c r="O72" s="432"/>
      <c r="P72" s="432"/>
      <c r="Q72" s="432"/>
      <c r="R72" s="432"/>
      <c r="S72" s="432"/>
      <c r="T72" s="432"/>
      <c r="U72" s="432"/>
      <c r="V72" s="432"/>
      <c r="W72" s="432"/>
      <c r="X72" s="432"/>
      <c r="Y72" s="432"/>
      <c r="Z72" s="432"/>
      <c r="AA72" s="432"/>
      <c r="AB72" s="432"/>
      <c r="AC72" s="432"/>
      <c r="AD72" s="432"/>
      <c r="AE72" s="432"/>
      <c r="AF72" s="432"/>
      <c r="AG72" s="432"/>
      <c r="AH72" s="432"/>
      <c r="AI72" s="432"/>
      <c r="AJ72" s="432"/>
      <c r="AK72" s="432"/>
      <c r="AL72" s="432"/>
      <c r="AM72" s="432"/>
      <c r="AN72" s="432"/>
      <c r="AO72" s="432"/>
      <c r="AP72" s="432"/>
      <c r="AQ72" s="432"/>
      <c r="AR72" s="432"/>
      <c r="AS72" s="432"/>
      <c r="AT72" s="432"/>
      <c r="AU72" s="432"/>
      <c r="AV72" s="432"/>
      <c r="AW72" s="432"/>
      <c r="AX72" s="432"/>
      <c r="AY72" s="432"/>
    </row>
    <row r="73" spans="1:51" x14ac:dyDescent="0.2">
      <c r="A73" s="431">
        <v>11468546</v>
      </c>
      <c r="B73" s="432">
        <v>128.10000610351563</v>
      </c>
      <c r="C73" s="432">
        <v>20.5</v>
      </c>
      <c r="D73" s="432">
        <v>30</v>
      </c>
      <c r="E73" s="432">
        <v>698.4000244140625</v>
      </c>
      <c r="F73" s="432">
        <v>12.289999961853027</v>
      </c>
      <c r="G73" s="432">
        <v>1</v>
      </c>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c r="AE73" s="432"/>
      <c r="AF73" s="432"/>
      <c r="AG73" s="432"/>
      <c r="AH73" s="432"/>
      <c r="AI73" s="432"/>
      <c r="AJ73" s="432"/>
      <c r="AK73" s="432"/>
      <c r="AL73" s="432"/>
      <c r="AM73" s="432"/>
      <c r="AN73" s="432"/>
      <c r="AO73" s="432"/>
      <c r="AP73" s="432"/>
      <c r="AQ73" s="432"/>
      <c r="AR73" s="432"/>
      <c r="AS73" s="432"/>
      <c r="AT73" s="432"/>
      <c r="AU73" s="432"/>
      <c r="AV73" s="432"/>
      <c r="AW73" s="432"/>
      <c r="AX73" s="432"/>
      <c r="AY73" s="432"/>
    </row>
    <row r="74" spans="1:51" x14ac:dyDescent="0.2">
      <c r="A74" s="431">
        <v>11897269</v>
      </c>
      <c r="B74" s="432">
        <v>262.10000610351563</v>
      </c>
      <c r="C74" s="432">
        <v>0</v>
      </c>
      <c r="D74" s="432">
        <v>31</v>
      </c>
      <c r="E74" s="432">
        <v>698.4000244140625</v>
      </c>
      <c r="F74" s="432">
        <v>10.510000228881836</v>
      </c>
      <c r="G74" s="432">
        <v>1</v>
      </c>
      <c r="H74" s="432"/>
      <c r="I74" s="432"/>
      <c r="J74" s="432"/>
      <c r="K74" s="432"/>
      <c r="L74" s="432"/>
      <c r="M74" s="432"/>
      <c r="N74" s="432"/>
      <c r="O74" s="432"/>
      <c r="P74" s="432"/>
      <c r="Q74" s="432"/>
      <c r="R74" s="432"/>
      <c r="S74" s="432"/>
      <c r="T74" s="432"/>
      <c r="U74" s="432"/>
      <c r="V74" s="432"/>
      <c r="W74" s="432"/>
      <c r="X74" s="432"/>
      <c r="Y74" s="432"/>
      <c r="Z74" s="432"/>
      <c r="AA74" s="432"/>
      <c r="AB74" s="432"/>
      <c r="AC74" s="432"/>
      <c r="AD74" s="432"/>
      <c r="AE74" s="432"/>
      <c r="AF74" s="432"/>
      <c r="AG74" s="432"/>
      <c r="AH74" s="432"/>
      <c r="AI74" s="432"/>
      <c r="AJ74" s="432"/>
      <c r="AK74" s="432"/>
      <c r="AL74" s="432"/>
      <c r="AM74" s="432"/>
      <c r="AN74" s="432"/>
      <c r="AO74" s="432"/>
      <c r="AP74" s="432"/>
      <c r="AQ74" s="432"/>
      <c r="AR74" s="432"/>
      <c r="AS74" s="432"/>
      <c r="AT74" s="432"/>
      <c r="AU74" s="432"/>
      <c r="AV74" s="432"/>
      <c r="AW74" s="432"/>
      <c r="AX74" s="432"/>
      <c r="AY74" s="432"/>
    </row>
    <row r="75" spans="1:51" x14ac:dyDescent="0.2">
      <c r="A75" s="431">
        <v>12327734</v>
      </c>
      <c r="B75" s="432">
        <v>517.70001220703125</v>
      </c>
      <c r="C75" s="432">
        <v>0</v>
      </c>
      <c r="D75" s="432">
        <v>30</v>
      </c>
      <c r="E75" s="432">
        <v>700</v>
      </c>
      <c r="F75" s="432">
        <v>9.2799997329711914</v>
      </c>
      <c r="G75" s="432">
        <v>1</v>
      </c>
      <c r="H75" s="432"/>
      <c r="I75" s="432"/>
      <c r="J75" s="432"/>
      <c r="K75" s="432"/>
      <c r="L75" s="432"/>
      <c r="M75" s="432"/>
      <c r="N75" s="432"/>
      <c r="O75" s="432"/>
      <c r="P75" s="432"/>
      <c r="Q75" s="432"/>
      <c r="R75" s="432"/>
      <c r="S75" s="432"/>
      <c r="T75" s="432"/>
      <c r="U75" s="432"/>
      <c r="V75" s="432"/>
      <c r="W75" s="432"/>
      <c r="X75" s="432"/>
      <c r="Y75" s="432"/>
      <c r="Z75" s="432"/>
      <c r="AA75" s="432"/>
      <c r="AB75" s="432"/>
      <c r="AC75" s="432"/>
      <c r="AD75" s="432"/>
      <c r="AE75" s="432"/>
      <c r="AF75" s="432"/>
      <c r="AG75" s="432"/>
      <c r="AH75" s="432"/>
      <c r="AI75" s="432"/>
      <c r="AJ75" s="432"/>
      <c r="AK75" s="432"/>
      <c r="AL75" s="432"/>
      <c r="AM75" s="432"/>
      <c r="AN75" s="432"/>
      <c r="AO75" s="432"/>
      <c r="AP75" s="432"/>
      <c r="AQ75" s="432"/>
      <c r="AR75" s="432"/>
      <c r="AS75" s="432"/>
      <c r="AT75" s="432"/>
      <c r="AU75" s="432"/>
      <c r="AV75" s="432"/>
      <c r="AW75" s="432"/>
      <c r="AX75" s="432"/>
      <c r="AY75" s="432"/>
    </row>
    <row r="76" spans="1:51" x14ac:dyDescent="0.2">
      <c r="A76" s="431">
        <v>13086730</v>
      </c>
      <c r="B76" s="432">
        <v>727.29998779296875</v>
      </c>
      <c r="C76" s="432">
        <v>0</v>
      </c>
      <c r="D76" s="432">
        <v>31</v>
      </c>
      <c r="E76" s="432">
        <v>695.4000244140625</v>
      </c>
      <c r="F76" s="432">
        <v>8.4700002670288086</v>
      </c>
      <c r="G76" s="432">
        <v>0</v>
      </c>
      <c r="H76" s="432"/>
      <c r="I76" s="432"/>
      <c r="J76" s="432"/>
      <c r="K76" s="432"/>
      <c r="L76" s="432"/>
      <c r="M76" s="432"/>
      <c r="N76" s="432"/>
      <c r="O76" s="432"/>
      <c r="P76" s="432"/>
      <c r="Q76" s="432"/>
      <c r="R76" s="432"/>
      <c r="S76" s="432"/>
      <c r="T76" s="432"/>
      <c r="U76" s="432"/>
      <c r="V76" s="432"/>
      <c r="W76" s="432"/>
      <c r="X76" s="432"/>
      <c r="Y76" s="432"/>
      <c r="Z76" s="432"/>
      <c r="AA76" s="432"/>
      <c r="AB76" s="432"/>
      <c r="AC76" s="432"/>
      <c r="AD76" s="432"/>
      <c r="AE76" s="432"/>
      <c r="AF76" s="432"/>
      <c r="AG76" s="432"/>
      <c r="AH76" s="432"/>
      <c r="AI76" s="432"/>
      <c r="AJ76" s="432"/>
      <c r="AK76" s="432"/>
      <c r="AL76" s="432"/>
      <c r="AM76" s="432"/>
      <c r="AN76" s="432"/>
      <c r="AO76" s="432"/>
      <c r="AP76" s="432"/>
      <c r="AQ76" s="432"/>
      <c r="AR76" s="432"/>
      <c r="AS76" s="432"/>
      <c r="AT76" s="432"/>
      <c r="AU76" s="432"/>
      <c r="AV76" s="432"/>
      <c r="AW76" s="432"/>
      <c r="AX76" s="432"/>
      <c r="AY76" s="432"/>
    </row>
    <row r="77" spans="1:51" x14ac:dyDescent="0.2">
      <c r="A77" s="431">
        <v>14326837</v>
      </c>
      <c r="B77" s="432">
        <v>865.9000244140625</v>
      </c>
      <c r="C77" s="432">
        <v>0</v>
      </c>
      <c r="D77" s="432">
        <v>31</v>
      </c>
      <c r="E77" s="432">
        <v>689.4000244140625</v>
      </c>
      <c r="F77" s="432">
        <v>9.0900001525878906</v>
      </c>
      <c r="G77" s="432">
        <v>0</v>
      </c>
      <c r="H77" s="432"/>
      <c r="I77" s="432"/>
      <c r="J77" s="432"/>
      <c r="K77" s="432"/>
      <c r="L77" s="432"/>
      <c r="M77" s="432"/>
      <c r="N77" s="432"/>
      <c r="O77" s="432"/>
      <c r="P77" s="432"/>
      <c r="Q77" s="432"/>
      <c r="R77" s="432"/>
      <c r="S77" s="432"/>
      <c r="T77" s="432"/>
      <c r="U77" s="432"/>
      <c r="V77" s="432"/>
      <c r="W77" s="432"/>
      <c r="X77" s="432"/>
      <c r="Y77" s="432"/>
      <c r="Z77" s="432"/>
      <c r="AA77" s="432"/>
      <c r="AB77" s="432"/>
      <c r="AC77" s="432"/>
      <c r="AD77" s="432"/>
      <c r="AE77" s="432"/>
      <c r="AF77" s="432"/>
      <c r="AG77" s="432"/>
      <c r="AH77" s="432"/>
      <c r="AI77" s="432"/>
      <c r="AJ77" s="432"/>
      <c r="AK77" s="432"/>
      <c r="AL77" s="432"/>
      <c r="AM77" s="432"/>
      <c r="AN77" s="432"/>
      <c r="AO77" s="432"/>
      <c r="AP77" s="432"/>
      <c r="AQ77" s="432"/>
      <c r="AR77" s="432"/>
      <c r="AS77" s="432"/>
      <c r="AT77" s="432"/>
      <c r="AU77" s="432"/>
      <c r="AV77" s="432"/>
      <c r="AW77" s="432"/>
      <c r="AX77" s="432"/>
      <c r="AY77" s="432"/>
    </row>
    <row r="78" spans="1:51" x14ac:dyDescent="0.2">
      <c r="A78" s="431">
        <v>12655041</v>
      </c>
      <c r="B78" s="432">
        <v>831.20001220703125</v>
      </c>
      <c r="C78" s="432">
        <v>0</v>
      </c>
      <c r="D78" s="432">
        <v>28</v>
      </c>
      <c r="E78" s="432">
        <v>682.29998779296875</v>
      </c>
      <c r="F78" s="432">
        <v>10.189999580383301</v>
      </c>
      <c r="G78" s="432">
        <v>0</v>
      </c>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c r="AL78" s="432"/>
      <c r="AM78" s="432"/>
      <c r="AN78" s="432"/>
      <c r="AO78" s="432"/>
      <c r="AP78" s="432"/>
      <c r="AQ78" s="432"/>
      <c r="AR78" s="432"/>
      <c r="AS78" s="432"/>
      <c r="AT78" s="432"/>
      <c r="AU78" s="432"/>
      <c r="AV78" s="432"/>
      <c r="AW78" s="432"/>
      <c r="AX78" s="432"/>
      <c r="AY78" s="432"/>
    </row>
    <row r="79" spans="1:51" x14ac:dyDescent="0.2">
      <c r="A79" s="431">
        <v>13288297</v>
      </c>
      <c r="B79" s="432">
        <v>757</v>
      </c>
      <c r="C79" s="432">
        <v>0</v>
      </c>
      <c r="D79" s="432">
        <v>31</v>
      </c>
      <c r="E79" s="432">
        <v>680.20001220703125</v>
      </c>
      <c r="F79" s="432">
        <v>11.510000228881836</v>
      </c>
      <c r="G79" s="432">
        <v>1</v>
      </c>
      <c r="H79" s="432"/>
      <c r="I79" s="432"/>
      <c r="J79" s="432"/>
      <c r="K79" s="432"/>
      <c r="L79" s="432"/>
      <c r="M79" s="432"/>
      <c r="N79" s="432"/>
      <c r="O79" s="432"/>
      <c r="P79" s="432"/>
      <c r="Q79" s="432"/>
      <c r="R79" s="432"/>
      <c r="S79" s="432"/>
      <c r="T79" s="432"/>
      <c r="U79" s="432"/>
      <c r="V79" s="432"/>
      <c r="W79" s="432"/>
      <c r="X79" s="432"/>
      <c r="Y79" s="432"/>
      <c r="Z79" s="432"/>
      <c r="AA79" s="432"/>
      <c r="AB79" s="432"/>
      <c r="AC79" s="432"/>
      <c r="AD79" s="432"/>
      <c r="AE79" s="432"/>
      <c r="AF79" s="432"/>
      <c r="AG79" s="432"/>
      <c r="AH79" s="432"/>
      <c r="AI79" s="432"/>
      <c r="AJ79" s="432"/>
      <c r="AK79" s="432"/>
      <c r="AL79" s="432"/>
      <c r="AM79" s="432"/>
      <c r="AN79" s="432"/>
      <c r="AO79" s="432"/>
      <c r="AP79" s="432"/>
      <c r="AQ79" s="432"/>
      <c r="AR79" s="432"/>
      <c r="AS79" s="432"/>
      <c r="AT79" s="432"/>
      <c r="AU79" s="432"/>
      <c r="AV79" s="432"/>
      <c r="AW79" s="432"/>
      <c r="AX79" s="432"/>
      <c r="AY79" s="432"/>
    </row>
    <row r="80" spans="1:51" x14ac:dyDescent="0.2">
      <c r="A80" s="431">
        <v>11360191</v>
      </c>
      <c r="B80" s="432">
        <v>389.89999389648438</v>
      </c>
      <c r="C80" s="432">
        <v>0</v>
      </c>
      <c r="D80" s="432">
        <v>30</v>
      </c>
      <c r="E80" s="432">
        <v>679.4000244140625</v>
      </c>
      <c r="F80" s="432">
        <v>13.279999732971191</v>
      </c>
      <c r="G80" s="432">
        <v>1</v>
      </c>
      <c r="H80" s="432"/>
      <c r="I80" s="432"/>
      <c r="J80" s="432"/>
      <c r="K80" s="432"/>
      <c r="L80" s="432"/>
      <c r="M80" s="432"/>
      <c r="N80" s="432"/>
      <c r="O80" s="432"/>
      <c r="P80" s="432"/>
      <c r="Q80" s="432"/>
      <c r="R80" s="432"/>
      <c r="S80" s="432"/>
      <c r="T80" s="432"/>
      <c r="U80" s="432"/>
      <c r="V80" s="432"/>
      <c r="W80" s="432"/>
      <c r="X80" s="432"/>
      <c r="Y80" s="432"/>
      <c r="Z80" s="432"/>
      <c r="AA80" s="432"/>
      <c r="AB80" s="432"/>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2"/>
      <c r="AY80" s="432"/>
    </row>
    <row r="81" spans="1:51" x14ac:dyDescent="0.2">
      <c r="A81" s="431">
        <v>10963756</v>
      </c>
      <c r="B81" s="432">
        <v>168.89999389648438</v>
      </c>
      <c r="C81" s="432">
        <v>9</v>
      </c>
      <c r="D81" s="432">
        <v>31</v>
      </c>
      <c r="E81" s="432">
        <v>690</v>
      </c>
      <c r="F81" s="432">
        <v>14.520000457763672</v>
      </c>
      <c r="G81" s="432">
        <v>1</v>
      </c>
      <c r="H81" s="432"/>
      <c r="I81" s="432"/>
      <c r="J81" s="432"/>
      <c r="K81" s="432"/>
      <c r="L81" s="432"/>
      <c r="M81" s="432"/>
      <c r="N81" s="432"/>
      <c r="O81" s="432"/>
      <c r="P81" s="432"/>
      <c r="Q81" s="432"/>
      <c r="R81" s="432"/>
      <c r="S81" s="432"/>
      <c r="T81" s="432"/>
      <c r="U81" s="432"/>
      <c r="V81" s="432"/>
      <c r="W81" s="432"/>
      <c r="X81" s="432"/>
      <c r="Y81" s="432"/>
      <c r="Z81" s="432"/>
      <c r="AA81" s="432"/>
      <c r="AB81" s="43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2"/>
      <c r="AY81" s="432"/>
    </row>
    <row r="82" spans="1:51" x14ac:dyDescent="0.2">
      <c r="A82" s="431">
        <v>11648160</v>
      </c>
      <c r="B82" s="432">
        <v>37.299999237060547</v>
      </c>
      <c r="C82" s="432">
        <v>44.299999237060547</v>
      </c>
      <c r="D82" s="432">
        <v>30</v>
      </c>
      <c r="E82" s="432">
        <v>704.4000244140625</v>
      </c>
      <c r="F82" s="432">
        <v>15.350000381469727</v>
      </c>
      <c r="G82" s="432">
        <v>0</v>
      </c>
      <c r="H82" s="432"/>
      <c r="I82" s="432"/>
      <c r="J82" s="432"/>
      <c r="K82" s="432"/>
      <c r="L82" s="432"/>
      <c r="M82" s="432"/>
      <c r="N82" s="432"/>
      <c r="O82" s="432"/>
      <c r="P82" s="432"/>
      <c r="Q82" s="432"/>
      <c r="R82" s="432"/>
      <c r="S82" s="432"/>
      <c r="T82" s="432"/>
      <c r="U82" s="432"/>
      <c r="V82" s="432"/>
      <c r="W82" s="432"/>
      <c r="X82" s="432"/>
      <c r="Y82" s="432"/>
      <c r="Z82" s="432"/>
      <c r="AA82" s="432"/>
      <c r="AB82" s="432"/>
      <c r="AC82" s="432"/>
      <c r="AD82" s="432"/>
      <c r="AE82" s="432"/>
      <c r="AF82" s="432"/>
      <c r="AG82" s="432"/>
      <c r="AH82" s="432"/>
      <c r="AI82" s="432"/>
      <c r="AJ82" s="432"/>
      <c r="AK82" s="432"/>
      <c r="AL82" s="432"/>
      <c r="AM82" s="432"/>
      <c r="AN82" s="432"/>
      <c r="AO82" s="432"/>
      <c r="AP82" s="432"/>
      <c r="AQ82" s="432"/>
      <c r="AR82" s="432"/>
      <c r="AS82" s="432"/>
      <c r="AT82" s="432"/>
      <c r="AU82" s="432"/>
      <c r="AV82" s="432"/>
      <c r="AW82" s="432"/>
      <c r="AX82" s="432"/>
      <c r="AY82" s="432"/>
    </row>
    <row r="83" spans="1:51" x14ac:dyDescent="0.2">
      <c r="A83" s="431">
        <v>11766636</v>
      </c>
      <c r="B83" s="432">
        <v>36.799999237060547</v>
      </c>
      <c r="C83" s="432">
        <v>38.799999237060547</v>
      </c>
      <c r="D83" s="432">
        <v>31</v>
      </c>
      <c r="E83" s="432">
        <v>715.0999755859375</v>
      </c>
      <c r="F83" s="432">
        <v>15.149999618530273</v>
      </c>
      <c r="G83" s="432">
        <v>0</v>
      </c>
      <c r="H83" s="432"/>
      <c r="I83" s="432"/>
      <c r="J83" s="432"/>
      <c r="K83" s="432"/>
      <c r="L83" s="432"/>
      <c r="M83" s="432"/>
      <c r="N83" s="432"/>
      <c r="O83" s="432"/>
      <c r="P83" s="432"/>
      <c r="Q83" s="432"/>
      <c r="R83" s="432"/>
      <c r="S83" s="432"/>
      <c r="T83" s="432"/>
      <c r="U83" s="432"/>
      <c r="V83" s="432"/>
      <c r="W83" s="432"/>
      <c r="X83" s="432"/>
      <c r="Y83" s="432"/>
      <c r="Z83" s="432"/>
      <c r="AA83" s="432"/>
      <c r="AB83" s="432"/>
      <c r="AC83" s="432"/>
      <c r="AD83" s="432"/>
      <c r="AE83" s="432"/>
      <c r="AF83" s="432"/>
      <c r="AG83" s="432"/>
      <c r="AH83" s="432"/>
      <c r="AI83" s="432"/>
      <c r="AJ83" s="432"/>
      <c r="AK83" s="432"/>
      <c r="AL83" s="432"/>
      <c r="AM83" s="432"/>
      <c r="AN83" s="432"/>
      <c r="AO83" s="432"/>
      <c r="AP83" s="432"/>
      <c r="AQ83" s="432"/>
      <c r="AR83" s="432"/>
      <c r="AS83" s="432"/>
      <c r="AT83" s="432"/>
      <c r="AU83" s="432"/>
      <c r="AV83" s="432"/>
      <c r="AW83" s="432"/>
      <c r="AX83" s="432"/>
      <c r="AY83" s="432"/>
    </row>
    <row r="84" spans="1:51" x14ac:dyDescent="0.2">
      <c r="A84" s="431">
        <v>11308925</v>
      </c>
      <c r="B84" s="432">
        <v>31.100000381469727</v>
      </c>
      <c r="C84" s="432">
        <v>28.5</v>
      </c>
      <c r="D84" s="432">
        <v>31</v>
      </c>
      <c r="E84" s="432">
        <v>718.70001220703125</v>
      </c>
      <c r="F84" s="432">
        <v>14.029999732971191</v>
      </c>
      <c r="G84" s="432">
        <v>0</v>
      </c>
      <c r="H84" s="432"/>
      <c r="I84" s="432"/>
      <c r="J84" s="432"/>
      <c r="K84" s="432"/>
      <c r="L84" s="432"/>
      <c r="M84" s="432"/>
      <c r="N84" s="432"/>
      <c r="O84" s="432"/>
      <c r="P84" s="432"/>
      <c r="Q84" s="432"/>
      <c r="R84" s="432"/>
      <c r="S84" s="432"/>
      <c r="T84" s="432"/>
      <c r="U84" s="432"/>
      <c r="V84" s="432"/>
      <c r="W84" s="432"/>
      <c r="X84" s="432"/>
      <c r="Y84" s="432"/>
      <c r="Z84" s="432"/>
      <c r="AA84" s="432"/>
      <c r="AB84" s="432"/>
      <c r="AC84" s="432"/>
      <c r="AD84" s="432"/>
      <c r="AE84" s="432"/>
      <c r="AF84" s="432"/>
      <c r="AG84" s="432"/>
      <c r="AH84" s="432"/>
      <c r="AI84" s="432"/>
      <c r="AJ84" s="432"/>
      <c r="AK84" s="432"/>
      <c r="AL84" s="432"/>
      <c r="AM84" s="432"/>
      <c r="AN84" s="432"/>
      <c r="AO84" s="432"/>
      <c r="AP84" s="432"/>
      <c r="AQ84" s="432"/>
      <c r="AR84" s="432"/>
      <c r="AS84" s="432"/>
      <c r="AT84" s="432"/>
      <c r="AU84" s="432"/>
      <c r="AV84" s="432"/>
      <c r="AW84" s="432"/>
      <c r="AX84" s="432"/>
      <c r="AY84" s="432"/>
    </row>
    <row r="85" spans="1:51" x14ac:dyDescent="0.2">
      <c r="A85" s="431">
        <v>11411972</v>
      </c>
      <c r="B85" s="432">
        <v>117.69999694824219</v>
      </c>
      <c r="C85" s="432">
        <v>11.399999618530273</v>
      </c>
      <c r="D85" s="432">
        <v>30</v>
      </c>
      <c r="E85" s="432">
        <v>719.29998779296875</v>
      </c>
      <c r="F85" s="432">
        <v>12.289999961853027</v>
      </c>
      <c r="G85" s="432">
        <v>1</v>
      </c>
      <c r="H85" s="432"/>
      <c r="I85" s="432"/>
      <c r="J85" s="432"/>
      <c r="K85" s="432"/>
      <c r="L85" s="432"/>
      <c r="M85" s="432"/>
      <c r="N85" s="432"/>
      <c r="O85" s="432"/>
      <c r="P85" s="432"/>
      <c r="Q85" s="432"/>
      <c r="R85" s="432"/>
      <c r="S85" s="432"/>
      <c r="T85" s="432"/>
      <c r="U85" s="432"/>
      <c r="V85" s="432"/>
      <c r="W85" s="432"/>
      <c r="X85" s="432"/>
      <c r="Y85" s="432"/>
      <c r="Z85" s="432"/>
      <c r="AA85" s="432"/>
      <c r="AB85" s="432"/>
      <c r="AC85" s="432"/>
      <c r="AD85" s="432"/>
      <c r="AE85" s="432"/>
      <c r="AF85" s="432"/>
      <c r="AG85" s="432"/>
      <c r="AH85" s="432"/>
      <c r="AI85" s="432"/>
      <c r="AJ85" s="432"/>
      <c r="AK85" s="432"/>
      <c r="AL85" s="432"/>
      <c r="AM85" s="432"/>
      <c r="AN85" s="432"/>
      <c r="AO85" s="432"/>
      <c r="AP85" s="432"/>
      <c r="AQ85" s="432"/>
      <c r="AR85" s="432"/>
      <c r="AS85" s="432"/>
      <c r="AT85" s="432"/>
      <c r="AU85" s="432"/>
      <c r="AV85" s="432"/>
      <c r="AW85" s="432"/>
      <c r="AX85" s="432"/>
      <c r="AY85" s="432"/>
    </row>
    <row r="86" spans="1:51" x14ac:dyDescent="0.2">
      <c r="A86" s="431">
        <v>11724784</v>
      </c>
      <c r="B86" s="432">
        <v>257.10000610351563</v>
      </c>
      <c r="C86" s="432">
        <v>0</v>
      </c>
      <c r="D86" s="432">
        <v>31</v>
      </c>
      <c r="E86" s="432">
        <v>723.5</v>
      </c>
      <c r="F86" s="432">
        <v>10.510000228881836</v>
      </c>
      <c r="G86" s="432">
        <v>1</v>
      </c>
      <c r="H86" s="432"/>
      <c r="I86" s="432"/>
      <c r="J86" s="432"/>
      <c r="K86" s="432"/>
      <c r="L86" s="432"/>
      <c r="M86" s="432"/>
      <c r="N86" s="432"/>
      <c r="O86" s="432"/>
      <c r="P86" s="432"/>
      <c r="Q86" s="432"/>
      <c r="R86" s="432"/>
      <c r="S86" s="432"/>
      <c r="T86" s="432"/>
      <c r="U86" s="432"/>
      <c r="V86" s="432"/>
      <c r="W86" s="432"/>
      <c r="X86" s="432"/>
      <c r="Y86" s="432"/>
      <c r="Z86" s="432"/>
      <c r="AA86" s="432"/>
      <c r="AB86" s="432"/>
      <c r="AC86" s="432"/>
      <c r="AD86" s="432"/>
      <c r="AE86" s="432"/>
      <c r="AF86" s="432"/>
      <c r="AG86" s="432"/>
      <c r="AH86" s="432"/>
      <c r="AI86" s="432"/>
      <c r="AJ86" s="432"/>
      <c r="AK86" s="432"/>
      <c r="AL86" s="432"/>
      <c r="AM86" s="432"/>
      <c r="AN86" s="432"/>
      <c r="AO86" s="432"/>
      <c r="AP86" s="432"/>
      <c r="AQ86" s="432"/>
      <c r="AR86" s="432"/>
      <c r="AS86" s="432"/>
      <c r="AT86" s="432"/>
      <c r="AU86" s="432"/>
      <c r="AV86" s="432"/>
      <c r="AW86" s="432"/>
      <c r="AX86" s="432"/>
      <c r="AY86" s="432"/>
    </row>
    <row r="87" spans="1:51" x14ac:dyDescent="0.2">
      <c r="A87" s="431">
        <v>12451107</v>
      </c>
      <c r="B87" s="432">
        <v>529.9000244140625</v>
      </c>
      <c r="C87" s="432">
        <v>0</v>
      </c>
      <c r="D87" s="432">
        <v>30</v>
      </c>
      <c r="E87" s="432">
        <v>721</v>
      </c>
      <c r="F87" s="432">
        <v>9.2799997329711914</v>
      </c>
      <c r="G87" s="432">
        <v>1</v>
      </c>
      <c r="H87" s="432"/>
      <c r="I87" s="432"/>
      <c r="J87" s="432"/>
      <c r="K87" s="432"/>
      <c r="L87" s="432"/>
      <c r="M87" s="432"/>
      <c r="N87" s="432"/>
      <c r="O87" s="432"/>
      <c r="P87" s="432"/>
      <c r="Q87" s="432"/>
      <c r="R87" s="432"/>
      <c r="S87" s="432"/>
      <c r="T87" s="432"/>
      <c r="U87" s="432"/>
      <c r="V87" s="432"/>
      <c r="W87" s="432"/>
      <c r="X87" s="432"/>
      <c r="Y87" s="432"/>
      <c r="Z87" s="432"/>
      <c r="AA87" s="432"/>
      <c r="AB87" s="432"/>
      <c r="AC87" s="432"/>
      <c r="AD87" s="432"/>
      <c r="AE87" s="432"/>
      <c r="AF87" s="432"/>
      <c r="AG87" s="432"/>
      <c r="AH87" s="432"/>
      <c r="AI87" s="432"/>
      <c r="AJ87" s="432"/>
      <c r="AK87" s="432"/>
      <c r="AL87" s="432"/>
      <c r="AM87" s="432"/>
      <c r="AN87" s="432"/>
      <c r="AO87" s="432"/>
      <c r="AP87" s="432"/>
      <c r="AQ87" s="432"/>
      <c r="AR87" s="432"/>
      <c r="AS87" s="432"/>
      <c r="AT87" s="432"/>
      <c r="AU87" s="432"/>
      <c r="AV87" s="432"/>
      <c r="AW87" s="432"/>
      <c r="AX87" s="432"/>
      <c r="AY87" s="432"/>
    </row>
    <row r="88" spans="1:51" x14ac:dyDescent="0.2">
      <c r="A88" s="431">
        <v>12712680</v>
      </c>
      <c r="B88" s="432">
        <v>597.5999755859375</v>
      </c>
      <c r="C88" s="432">
        <v>0</v>
      </c>
      <c r="D88" s="432">
        <v>31</v>
      </c>
      <c r="E88" s="432">
        <v>714.29998779296875</v>
      </c>
      <c r="F88" s="432">
        <v>8.4700002670288086</v>
      </c>
      <c r="G88" s="432">
        <v>0</v>
      </c>
      <c r="H88" s="432"/>
      <c r="I88" s="432"/>
      <c r="J88" s="432"/>
      <c r="K88" s="432"/>
      <c r="L88" s="432"/>
      <c r="M88" s="432"/>
      <c r="N88" s="432"/>
      <c r="O88" s="432"/>
      <c r="P88" s="432"/>
      <c r="Q88" s="432"/>
      <c r="R88" s="432"/>
      <c r="S88" s="432"/>
      <c r="T88" s="432"/>
      <c r="U88" s="432"/>
      <c r="V88" s="432"/>
      <c r="W88" s="432"/>
      <c r="X88" s="432"/>
      <c r="Y88" s="432"/>
      <c r="Z88" s="432"/>
      <c r="AA88" s="432"/>
      <c r="AB88" s="432"/>
      <c r="AC88" s="432"/>
      <c r="AD88" s="432"/>
      <c r="AE88" s="432"/>
      <c r="AF88" s="432"/>
      <c r="AG88" s="432"/>
      <c r="AH88" s="432"/>
      <c r="AI88" s="432"/>
      <c r="AJ88" s="432"/>
      <c r="AK88" s="432"/>
      <c r="AL88" s="432"/>
      <c r="AM88" s="432"/>
      <c r="AN88" s="432"/>
      <c r="AO88" s="432"/>
      <c r="AP88" s="432"/>
      <c r="AQ88" s="432"/>
      <c r="AR88" s="432"/>
      <c r="AS88" s="432"/>
      <c r="AT88" s="432"/>
      <c r="AU88" s="432"/>
      <c r="AV88" s="432"/>
      <c r="AW88" s="432"/>
      <c r="AX88" s="432"/>
      <c r="AY88" s="432"/>
    </row>
    <row r="89" spans="1:51" x14ac:dyDescent="0.2">
      <c r="A89" s="431">
        <v>13848062</v>
      </c>
      <c r="B89" s="432">
        <v>800.79998779296875</v>
      </c>
      <c r="C89" s="432">
        <v>0</v>
      </c>
      <c r="D89" s="432">
        <v>31</v>
      </c>
      <c r="E89" s="432">
        <v>705.70001220703125</v>
      </c>
      <c r="F89" s="432">
        <v>9.0900001525878906</v>
      </c>
      <c r="G89" s="432">
        <v>0</v>
      </c>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2"/>
      <c r="AN89" s="432"/>
      <c r="AO89" s="432"/>
      <c r="AP89" s="432"/>
      <c r="AQ89" s="432"/>
      <c r="AR89" s="432"/>
      <c r="AS89" s="432"/>
      <c r="AT89" s="432"/>
      <c r="AU89" s="432"/>
      <c r="AV89" s="432"/>
      <c r="AW89" s="432"/>
      <c r="AX89" s="432"/>
      <c r="AY89" s="432"/>
    </row>
    <row r="90" spans="1:51" x14ac:dyDescent="0.2">
      <c r="A90" s="431">
        <v>12995679</v>
      </c>
      <c r="B90" s="432">
        <v>917.5</v>
      </c>
      <c r="C90" s="432">
        <v>0</v>
      </c>
      <c r="D90" s="432">
        <v>28</v>
      </c>
      <c r="E90" s="432">
        <v>700.0999755859375</v>
      </c>
      <c r="F90" s="432">
        <v>10.189999580383301</v>
      </c>
      <c r="G90" s="432">
        <v>0</v>
      </c>
      <c r="H90" s="432"/>
      <c r="I90" s="432"/>
      <c r="J90" s="432"/>
      <c r="K90" s="432"/>
      <c r="L90" s="432"/>
      <c r="M90" s="432"/>
      <c r="N90" s="432"/>
      <c r="O90" s="432"/>
      <c r="P90" s="432"/>
      <c r="Q90" s="432"/>
      <c r="R90" s="432"/>
      <c r="S90" s="432"/>
      <c r="T90" s="432"/>
      <c r="U90" s="432"/>
      <c r="V90" s="432"/>
      <c r="W90" s="432"/>
      <c r="X90" s="432"/>
      <c r="Y90" s="432"/>
      <c r="Z90" s="432"/>
      <c r="AA90" s="432"/>
      <c r="AB90" s="432"/>
      <c r="AC90" s="432"/>
      <c r="AD90" s="432"/>
      <c r="AE90" s="432"/>
      <c r="AF90" s="432"/>
      <c r="AG90" s="432"/>
      <c r="AH90" s="432"/>
      <c r="AI90" s="432"/>
      <c r="AJ90" s="432"/>
      <c r="AK90" s="432"/>
      <c r="AL90" s="432"/>
      <c r="AM90" s="432"/>
      <c r="AN90" s="432"/>
      <c r="AO90" s="432"/>
      <c r="AP90" s="432"/>
      <c r="AQ90" s="432"/>
      <c r="AR90" s="432"/>
      <c r="AS90" s="432"/>
      <c r="AT90" s="432"/>
      <c r="AU90" s="432"/>
      <c r="AV90" s="432"/>
      <c r="AW90" s="432"/>
      <c r="AX90" s="432"/>
      <c r="AY90" s="432"/>
    </row>
    <row r="91" spans="1:51" x14ac:dyDescent="0.2">
      <c r="A91" s="431">
        <v>13073688</v>
      </c>
      <c r="B91" s="432">
        <v>538</v>
      </c>
      <c r="C91" s="432">
        <v>0</v>
      </c>
      <c r="D91" s="432">
        <v>31</v>
      </c>
      <c r="E91" s="432">
        <v>698.29998779296875</v>
      </c>
      <c r="F91" s="432">
        <v>11.510000228881836</v>
      </c>
      <c r="G91" s="432">
        <v>1</v>
      </c>
      <c r="H91" s="432"/>
      <c r="I91" s="432"/>
      <c r="J91" s="432"/>
      <c r="K91" s="432"/>
      <c r="L91" s="432"/>
      <c r="M91" s="432"/>
      <c r="N91" s="432"/>
      <c r="O91" s="432"/>
      <c r="P91" s="432"/>
      <c r="Q91" s="432"/>
      <c r="R91" s="432"/>
      <c r="S91" s="432"/>
      <c r="T91" s="432"/>
      <c r="U91" s="432"/>
      <c r="V91" s="432"/>
      <c r="W91" s="432"/>
      <c r="X91" s="432"/>
      <c r="Y91" s="432"/>
      <c r="Z91" s="432"/>
      <c r="AA91" s="432"/>
      <c r="AB91" s="432"/>
      <c r="AC91" s="432"/>
      <c r="AD91" s="432"/>
      <c r="AE91" s="432"/>
      <c r="AF91" s="432"/>
      <c r="AG91" s="432"/>
      <c r="AH91" s="432"/>
      <c r="AI91" s="432"/>
      <c r="AJ91" s="432"/>
      <c r="AK91" s="432"/>
      <c r="AL91" s="432"/>
      <c r="AM91" s="432"/>
      <c r="AN91" s="432"/>
      <c r="AO91" s="432"/>
      <c r="AP91" s="432"/>
      <c r="AQ91" s="432"/>
      <c r="AR91" s="432"/>
      <c r="AS91" s="432"/>
      <c r="AT91" s="432"/>
      <c r="AU91" s="432"/>
      <c r="AV91" s="432"/>
      <c r="AW91" s="432"/>
      <c r="AX91" s="432"/>
      <c r="AY91" s="432"/>
    </row>
    <row r="92" spans="1:51" x14ac:dyDescent="0.2">
      <c r="A92" s="431">
        <v>11297907</v>
      </c>
      <c r="B92" s="432">
        <v>359</v>
      </c>
      <c r="C92" s="432">
        <v>0</v>
      </c>
      <c r="D92" s="432">
        <v>30</v>
      </c>
      <c r="E92" s="432">
        <v>697.5999755859375</v>
      </c>
      <c r="F92" s="432">
        <v>13.279999732971191</v>
      </c>
      <c r="G92" s="432">
        <v>1</v>
      </c>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2"/>
      <c r="AG92" s="432"/>
      <c r="AH92" s="432"/>
      <c r="AI92" s="432"/>
      <c r="AJ92" s="432"/>
      <c r="AK92" s="432"/>
      <c r="AL92" s="432"/>
      <c r="AM92" s="432"/>
      <c r="AN92" s="432"/>
      <c r="AO92" s="432"/>
      <c r="AP92" s="432"/>
      <c r="AQ92" s="432"/>
      <c r="AR92" s="432"/>
      <c r="AS92" s="432"/>
      <c r="AT92" s="432"/>
      <c r="AU92" s="432"/>
      <c r="AV92" s="432"/>
      <c r="AW92" s="432"/>
      <c r="AX92" s="432"/>
      <c r="AY92" s="432"/>
    </row>
    <row r="93" spans="1:51" x14ac:dyDescent="0.2">
      <c r="A93" s="431">
        <v>10857342</v>
      </c>
      <c r="B93" s="432">
        <v>116.19999694824219</v>
      </c>
      <c r="C93" s="432">
        <v>29.799999237060547</v>
      </c>
      <c r="D93" s="432">
        <v>31</v>
      </c>
      <c r="E93" s="432">
        <v>704.9000244140625</v>
      </c>
      <c r="F93" s="432">
        <v>14.520000457763672</v>
      </c>
      <c r="G93" s="432">
        <v>1</v>
      </c>
      <c r="H93" s="432"/>
      <c r="I93" s="432"/>
      <c r="J93" s="432"/>
      <c r="K93" s="432"/>
      <c r="L93" s="432"/>
      <c r="M93" s="432"/>
      <c r="N93" s="432"/>
      <c r="O93" s="432"/>
      <c r="P93" s="432"/>
      <c r="Q93" s="432"/>
      <c r="R93" s="432"/>
      <c r="S93" s="432"/>
      <c r="T93" s="432"/>
      <c r="U93" s="432"/>
      <c r="V93" s="432"/>
      <c r="W93" s="432"/>
      <c r="X93" s="432"/>
      <c r="Y93" s="432"/>
      <c r="Z93" s="432"/>
      <c r="AA93" s="432"/>
      <c r="AB93" s="432"/>
      <c r="AC93" s="432"/>
      <c r="AD93" s="432"/>
      <c r="AE93" s="432"/>
      <c r="AF93" s="432"/>
      <c r="AG93" s="432"/>
      <c r="AH93" s="432"/>
      <c r="AI93" s="432"/>
      <c r="AJ93" s="432"/>
      <c r="AK93" s="432"/>
      <c r="AL93" s="432"/>
      <c r="AM93" s="432"/>
      <c r="AN93" s="432"/>
      <c r="AO93" s="432"/>
      <c r="AP93" s="432"/>
      <c r="AQ93" s="432"/>
      <c r="AR93" s="432"/>
      <c r="AS93" s="432"/>
      <c r="AT93" s="432"/>
      <c r="AU93" s="432"/>
      <c r="AV93" s="432"/>
      <c r="AW93" s="432"/>
      <c r="AX93" s="432"/>
      <c r="AY93" s="432"/>
    </row>
    <row r="94" spans="1:51" x14ac:dyDescent="0.2">
      <c r="A94" s="431">
        <v>11039303</v>
      </c>
      <c r="B94" s="432">
        <v>54.700000762939453</v>
      </c>
      <c r="C94" s="432">
        <v>15</v>
      </c>
      <c r="D94" s="432">
        <v>30</v>
      </c>
      <c r="E94" s="432">
        <v>715.0999755859375</v>
      </c>
      <c r="F94" s="432">
        <v>15.350000381469727</v>
      </c>
      <c r="G94" s="432">
        <v>0</v>
      </c>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2"/>
      <c r="AN94" s="432"/>
      <c r="AO94" s="432"/>
      <c r="AP94" s="432"/>
      <c r="AQ94" s="432"/>
      <c r="AR94" s="432"/>
      <c r="AS94" s="432"/>
      <c r="AT94" s="432"/>
      <c r="AU94" s="432"/>
      <c r="AV94" s="432"/>
      <c r="AW94" s="432"/>
      <c r="AX94" s="432"/>
      <c r="AY94" s="432"/>
    </row>
    <row r="95" spans="1:51" x14ac:dyDescent="0.2">
      <c r="A95" s="431">
        <v>11914109</v>
      </c>
      <c r="B95" s="432">
        <v>19.299999237060547</v>
      </c>
      <c r="C95" s="432">
        <v>57.700000762939453</v>
      </c>
      <c r="D95" s="432">
        <v>31</v>
      </c>
      <c r="E95" s="432">
        <v>716.5999755859375</v>
      </c>
      <c r="F95" s="432">
        <v>15.149999618530273</v>
      </c>
      <c r="G95" s="432">
        <v>0</v>
      </c>
      <c r="H95" s="432"/>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c r="AG95" s="432"/>
      <c r="AH95" s="432"/>
      <c r="AI95" s="432"/>
      <c r="AJ95" s="432"/>
      <c r="AK95" s="432"/>
      <c r="AL95" s="432"/>
      <c r="AM95" s="432"/>
      <c r="AN95" s="432"/>
      <c r="AO95" s="432"/>
      <c r="AP95" s="432"/>
      <c r="AQ95" s="432"/>
      <c r="AR95" s="432"/>
      <c r="AS95" s="432"/>
      <c r="AT95" s="432"/>
      <c r="AU95" s="432"/>
      <c r="AV95" s="432"/>
      <c r="AW95" s="432"/>
      <c r="AX95" s="432"/>
      <c r="AY95" s="432"/>
    </row>
    <row r="96" spans="1:51" x14ac:dyDescent="0.2">
      <c r="A96" s="431">
        <v>11281584</v>
      </c>
      <c r="B96" s="432">
        <v>29.5</v>
      </c>
      <c r="C96" s="432">
        <v>47.900001525878906</v>
      </c>
      <c r="D96" s="432">
        <v>31</v>
      </c>
      <c r="E96" s="432">
        <v>713.0999755859375</v>
      </c>
      <c r="F96" s="432">
        <v>14.029999732971191</v>
      </c>
      <c r="G96" s="432">
        <v>0</v>
      </c>
      <c r="H96" s="432"/>
      <c r="I96" s="432"/>
      <c r="J96" s="432"/>
      <c r="K96" s="432"/>
      <c r="L96" s="432"/>
      <c r="M96" s="432"/>
      <c r="N96" s="432"/>
      <c r="O96" s="432"/>
      <c r="P96" s="432"/>
      <c r="Q96" s="432"/>
      <c r="R96" s="432"/>
      <c r="S96" s="432"/>
      <c r="T96" s="432"/>
      <c r="U96" s="432"/>
      <c r="V96" s="432"/>
      <c r="W96" s="432"/>
      <c r="X96" s="432"/>
      <c r="Y96" s="432"/>
      <c r="Z96" s="432"/>
      <c r="AA96" s="432"/>
      <c r="AB96" s="432"/>
      <c r="AC96" s="432"/>
      <c r="AD96" s="432"/>
      <c r="AE96" s="432"/>
      <c r="AF96" s="432"/>
      <c r="AG96" s="432"/>
      <c r="AH96" s="432"/>
      <c r="AI96" s="432"/>
      <c r="AJ96" s="432"/>
      <c r="AK96" s="432"/>
      <c r="AL96" s="432"/>
      <c r="AM96" s="432"/>
      <c r="AN96" s="432"/>
      <c r="AO96" s="432"/>
      <c r="AP96" s="432"/>
      <c r="AQ96" s="432"/>
      <c r="AR96" s="432"/>
      <c r="AS96" s="432"/>
      <c r="AT96" s="432"/>
      <c r="AU96" s="432"/>
      <c r="AV96" s="432"/>
      <c r="AW96" s="432"/>
      <c r="AX96" s="432"/>
      <c r="AY96" s="432"/>
    </row>
    <row r="97" spans="1:51" x14ac:dyDescent="0.2">
      <c r="A97" s="431">
        <v>11694075</v>
      </c>
      <c r="B97" s="432">
        <v>58.200000762939453</v>
      </c>
      <c r="C97" s="432">
        <v>45.299999237060547</v>
      </c>
      <c r="D97" s="432">
        <v>30</v>
      </c>
      <c r="E97" s="432">
        <v>710.20001220703125</v>
      </c>
      <c r="F97" s="432">
        <v>12.289999961853027</v>
      </c>
      <c r="G97" s="432">
        <v>1</v>
      </c>
      <c r="H97" s="432"/>
      <c r="I97" s="432"/>
      <c r="J97" s="432"/>
      <c r="K97" s="432"/>
      <c r="L97" s="432"/>
      <c r="M97" s="432"/>
      <c r="N97" s="432"/>
      <c r="O97" s="432"/>
      <c r="P97" s="432"/>
      <c r="Q97" s="432"/>
      <c r="R97" s="432"/>
      <c r="S97" s="432"/>
      <c r="T97" s="432"/>
      <c r="U97" s="432"/>
      <c r="V97" s="432"/>
      <c r="W97" s="432"/>
      <c r="X97" s="432"/>
      <c r="Y97" s="432"/>
      <c r="Z97" s="432"/>
      <c r="AA97" s="432"/>
      <c r="AB97" s="432"/>
      <c r="AC97" s="432"/>
      <c r="AD97" s="432"/>
      <c r="AE97" s="432"/>
      <c r="AF97" s="432"/>
      <c r="AG97" s="432"/>
      <c r="AH97" s="432"/>
      <c r="AI97" s="432"/>
      <c r="AJ97" s="432"/>
      <c r="AK97" s="432"/>
      <c r="AL97" s="432"/>
      <c r="AM97" s="432"/>
      <c r="AN97" s="432"/>
      <c r="AO97" s="432"/>
      <c r="AP97" s="432"/>
      <c r="AQ97" s="432"/>
      <c r="AR97" s="432"/>
      <c r="AS97" s="432"/>
      <c r="AT97" s="432"/>
      <c r="AU97" s="432"/>
      <c r="AV97" s="432"/>
      <c r="AW97" s="432"/>
      <c r="AX97" s="432"/>
      <c r="AY97" s="432"/>
    </row>
    <row r="98" spans="1:51" x14ac:dyDescent="0.2">
      <c r="A98" s="431">
        <v>11285079</v>
      </c>
      <c r="B98" s="432">
        <v>290.10000610351563</v>
      </c>
      <c r="C98" s="432">
        <v>0</v>
      </c>
      <c r="D98" s="432">
        <v>31</v>
      </c>
      <c r="E98" s="432">
        <v>716.9000244140625</v>
      </c>
      <c r="F98" s="432">
        <v>10.510000228881836</v>
      </c>
      <c r="G98" s="432">
        <v>1</v>
      </c>
      <c r="H98" s="432"/>
      <c r="I98" s="432"/>
      <c r="J98" s="432"/>
      <c r="K98" s="432"/>
      <c r="L98" s="432"/>
      <c r="M98" s="432"/>
      <c r="N98" s="432"/>
      <c r="O98" s="432"/>
      <c r="P98" s="432"/>
      <c r="Q98" s="432"/>
      <c r="R98" s="432"/>
      <c r="S98" s="432"/>
      <c r="T98" s="432"/>
      <c r="U98" s="432"/>
      <c r="V98" s="432"/>
      <c r="W98" s="432"/>
      <c r="X98" s="432"/>
      <c r="Y98" s="432"/>
      <c r="Z98" s="432"/>
      <c r="AA98" s="432"/>
      <c r="AB98" s="432"/>
      <c r="AC98" s="432"/>
      <c r="AD98" s="432"/>
      <c r="AE98" s="432"/>
      <c r="AF98" s="432"/>
      <c r="AG98" s="432"/>
      <c r="AH98" s="432"/>
      <c r="AI98" s="432"/>
      <c r="AJ98" s="432"/>
      <c r="AK98" s="432"/>
      <c r="AL98" s="432"/>
      <c r="AM98" s="432"/>
      <c r="AN98" s="432"/>
      <c r="AO98" s="432"/>
      <c r="AP98" s="432"/>
      <c r="AQ98" s="432"/>
      <c r="AR98" s="432"/>
      <c r="AS98" s="432"/>
      <c r="AT98" s="432"/>
      <c r="AU98" s="432"/>
      <c r="AV98" s="432"/>
      <c r="AW98" s="432"/>
      <c r="AX98" s="432"/>
      <c r="AY98" s="432"/>
    </row>
    <row r="99" spans="1:51" x14ac:dyDescent="0.2">
      <c r="A99" s="431">
        <v>11539716</v>
      </c>
      <c r="B99" s="432">
        <v>391.10000610351563</v>
      </c>
      <c r="C99" s="432">
        <v>0</v>
      </c>
      <c r="D99" s="432">
        <v>30</v>
      </c>
      <c r="E99" s="432">
        <v>721</v>
      </c>
      <c r="F99" s="432">
        <v>9.2799997329711914</v>
      </c>
      <c r="G99" s="432">
        <v>1</v>
      </c>
      <c r="H99" s="432"/>
      <c r="I99" s="432"/>
      <c r="J99" s="432"/>
      <c r="K99" s="432"/>
      <c r="L99" s="432"/>
      <c r="M99" s="432"/>
      <c r="N99" s="432"/>
      <c r="O99" s="432"/>
      <c r="P99" s="432"/>
      <c r="Q99" s="432"/>
      <c r="R99" s="432"/>
      <c r="S99" s="432"/>
      <c r="T99" s="432"/>
      <c r="U99" s="432"/>
      <c r="V99" s="432"/>
      <c r="W99" s="432"/>
      <c r="X99" s="432"/>
      <c r="Y99" s="432"/>
      <c r="Z99" s="432"/>
      <c r="AA99" s="432"/>
      <c r="AB99" s="432"/>
      <c r="AC99" s="432"/>
      <c r="AD99" s="432"/>
      <c r="AE99" s="432"/>
      <c r="AF99" s="432"/>
      <c r="AG99" s="432"/>
      <c r="AH99" s="432"/>
      <c r="AI99" s="432"/>
      <c r="AJ99" s="432"/>
      <c r="AK99" s="432"/>
      <c r="AL99" s="432"/>
      <c r="AM99" s="432"/>
      <c r="AN99" s="432"/>
      <c r="AO99" s="432"/>
      <c r="AP99" s="432"/>
      <c r="AQ99" s="432"/>
      <c r="AR99" s="432"/>
      <c r="AS99" s="432"/>
      <c r="AT99" s="432"/>
      <c r="AU99" s="432"/>
      <c r="AV99" s="432"/>
      <c r="AW99" s="432"/>
      <c r="AX99" s="432"/>
      <c r="AY99" s="432"/>
    </row>
    <row r="100" spans="1:51" x14ac:dyDescent="0.2">
      <c r="A100" s="431">
        <v>12074225</v>
      </c>
      <c r="B100" s="432">
        <v>453</v>
      </c>
      <c r="C100" s="432">
        <v>0</v>
      </c>
      <c r="D100" s="432">
        <v>31</v>
      </c>
      <c r="E100" s="432">
        <v>718.70001220703125</v>
      </c>
      <c r="F100" s="432">
        <v>8.4700002670288086</v>
      </c>
      <c r="G100" s="432">
        <v>0</v>
      </c>
      <c r="H100" s="432"/>
      <c r="I100" s="432"/>
      <c r="J100" s="432"/>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c r="AG100" s="432"/>
      <c r="AH100" s="432"/>
      <c r="AI100" s="432"/>
      <c r="AJ100" s="432"/>
      <c r="AK100" s="432"/>
      <c r="AL100" s="432"/>
      <c r="AM100" s="432"/>
      <c r="AN100" s="432"/>
      <c r="AO100" s="432"/>
      <c r="AP100" s="432"/>
      <c r="AQ100" s="432"/>
      <c r="AR100" s="432"/>
      <c r="AS100" s="432"/>
      <c r="AT100" s="432"/>
      <c r="AU100" s="432"/>
      <c r="AV100" s="432"/>
      <c r="AW100" s="432"/>
      <c r="AX100" s="432"/>
      <c r="AY100" s="432"/>
    </row>
    <row r="101" spans="1:51" x14ac:dyDescent="0.2">
      <c r="A101" s="431">
        <v>13060489</v>
      </c>
      <c r="B101" s="432">
        <v>717.79998779296875</v>
      </c>
      <c r="C101" s="432">
        <v>0</v>
      </c>
      <c r="D101" s="432">
        <v>31</v>
      </c>
      <c r="E101" s="432">
        <v>715.79998779296875</v>
      </c>
      <c r="F101" s="432">
        <v>9.0900001525878906</v>
      </c>
      <c r="G101" s="432">
        <v>0</v>
      </c>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c r="AH101" s="432"/>
      <c r="AI101" s="432"/>
      <c r="AJ101" s="432"/>
      <c r="AK101" s="432"/>
      <c r="AL101" s="432"/>
      <c r="AM101" s="432"/>
      <c r="AN101" s="432"/>
      <c r="AO101" s="432"/>
      <c r="AP101" s="432"/>
      <c r="AQ101" s="432"/>
      <c r="AR101" s="432"/>
      <c r="AS101" s="432"/>
      <c r="AT101" s="432"/>
      <c r="AU101" s="432"/>
      <c r="AV101" s="432"/>
      <c r="AW101" s="432"/>
      <c r="AX101" s="432"/>
      <c r="AY101" s="432"/>
    </row>
    <row r="102" spans="1:51" x14ac:dyDescent="0.2">
      <c r="A102" s="431">
        <v>12179908</v>
      </c>
      <c r="B102" s="432">
        <v>627.4000244140625</v>
      </c>
      <c r="C102" s="432">
        <v>0</v>
      </c>
      <c r="D102" s="432">
        <v>29</v>
      </c>
      <c r="E102" s="432">
        <v>710.9000244140625</v>
      </c>
      <c r="F102" s="432">
        <v>10.189999580383301</v>
      </c>
      <c r="G102" s="432">
        <v>0</v>
      </c>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2"/>
      <c r="AN102" s="432"/>
      <c r="AO102" s="432"/>
      <c r="AP102" s="432"/>
      <c r="AQ102" s="432"/>
      <c r="AR102" s="432"/>
      <c r="AS102" s="432"/>
      <c r="AT102" s="432"/>
      <c r="AU102" s="432"/>
      <c r="AV102" s="432"/>
      <c r="AW102" s="432"/>
      <c r="AX102" s="432"/>
      <c r="AY102" s="432"/>
    </row>
    <row r="103" spans="1:51" x14ac:dyDescent="0.2">
      <c r="A103" s="431">
        <v>12201102</v>
      </c>
      <c r="B103" s="432">
        <v>479.39999389648438</v>
      </c>
      <c r="C103" s="432">
        <v>0</v>
      </c>
      <c r="D103" s="432">
        <v>31</v>
      </c>
      <c r="E103" s="432">
        <v>709.4000244140625</v>
      </c>
      <c r="F103" s="432">
        <v>11.510000228881836</v>
      </c>
      <c r="G103" s="432">
        <v>1</v>
      </c>
      <c r="H103" s="432"/>
      <c r="I103" s="432"/>
      <c r="J103" s="432"/>
      <c r="K103" s="432"/>
      <c r="L103" s="432"/>
      <c r="M103" s="432"/>
      <c r="N103" s="432"/>
      <c r="O103" s="432"/>
      <c r="P103" s="432"/>
      <c r="Q103" s="432"/>
      <c r="R103" s="432"/>
      <c r="S103" s="432"/>
      <c r="T103" s="432"/>
      <c r="U103" s="432"/>
      <c r="V103" s="432"/>
      <c r="W103" s="432"/>
      <c r="X103" s="432"/>
      <c r="Y103" s="432"/>
      <c r="Z103" s="432"/>
      <c r="AA103" s="432"/>
      <c r="AB103" s="432"/>
      <c r="AC103" s="432"/>
      <c r="AD103" s="432"/>
      <c r="AE103" s="432"/>
      <c r="AF103" s="432"/>
      <c r="AG103" s="432"/>
      <c r="AH103" s="432"/>
      <c r="AI103" s="432"/>
      <c r="AJ103" s="432"/>
      <c r="AK103" s="432"/>
      <c r="AL103" s="432"/>
      <c r="AM103" s="432"/>
      <c r="AN103" s="432"/>
      <c r="AO103" s="432"/>
      <c r="AP103" s="432"/>
      <c r="AQ103" s="432"/>
      <c r="AR103" s="432"/>
      <c r="AS103" s="432"/>
      <c r="AT103" s="432"/>
      <c r="AU103" s="432"/>
      <c r="AV103" s="432"/>
      <c r="AW103" s="432"/>
      <c r="AX103" s="432"/>
      <c r="AY103" s="432"/>
    </row>
    <row r="104" spans="1:51" x14ac:dyDescent="0.2">
      <c r="A104" s="431">
        <v>11377256</v>
      </c>
      <c r="B104" s="432">
        <v>431.79998779296875</v>
      </c>
      <c r="C104" s="432">
        <v>0</v>
      </c>
      <c r="D104" s="432">
        <v>30</v>
      </c>
      <c r="E104" s="432">
        <v>707.4000244140625</v>
      </c>
      <c r="F104" s="432">
        <v>13.279999732971191</v>
      </c>
      <c r="G104" s="432">
        <v>1</v>
      </c>
      <c r="H104" s="432"/>
      <c r="I104" s="432"/>
      <c r="J104" s="432"/>
      <c r="K104" s="432"/>
      <c r="L104" s="432"/>
      <c r="M104" s="432"/>
      <c r="N104" s="432"/>
      <c r="O104" s="432"/>
      <c r="P104" s="432"/>
      <c r="Q104" s="432"/>
      <c r="R104" s="432"/>
      <c r="S104" s="432"/>
      <c r="T104" s="432"/>
      <c r="U104" s="432"/>
      <c r="V104" s="432"/>
      <c r="W104" s="432"/>
      <c r="X104" s="432"/>
      <c r="Y104" s="432"/>
      <c r="Z104" s="432"/>
      <c r="AA104" s="432"/>
      <c r="AB104" s="432"/>
      <c r="AC104" s="432"/>
      <c r="AD104" s="432"/>
      <c r="AE104" s="432"/>
      <c r="AF104" s="432"/>
      <c r="AG104" s="432"/>
      <c r="AH104" s="432"/>
      <c r="AI104" s="432"/>
      <c r="AJ104" s="432"/>
      <c r="AK104" s="432"/>
      <c r="AL104" s="432"/>
      <c r="AM104" s="432"/>
      <c r="AN104" s="432"/>
      <c r="AO104" s="432"/>
      <c r="AP104" s="432"/>
      <c r="AQ104" s="432"/>
      <c r="AR104" s="432"/>
      <c r="AS104" s="432"/>
      <c r="AT104" s="432"/>
      <c r="AU104" s="432"/>
      <c r="AV104" s="432"/>
      <c r="AW104" s="432"/>
      <c r="AX104" s="432"/>
      <c r="AY104" s="432"/>
    </row>
    <row r="105" spans="1:51" x14ac:dyDescent="0.2">
      <c r="A105" s="431">
        <v>11016861</v>
      </c>
      <c r="B105" s="432">
        <v>174.60000610351563</v>
      </c>
      <c r="C105" s="432">
        <v>18.399999618530273</v>
      </c>
      <c r="D105" s="432">
        <v>31</v>
      </c>
      <c r="E105" s="432">
        <v>712.4000244140625</v>
      </c>
      <c r="F105" s="432">
        <v>14.520000457763672</v>
      </c>
      <c r="G105" s="432">
        <v>1</v>
      </c>
      <c r="H105" s="432"/>
      <c r="I105" s="432"/>
      <c r="J105" s="432"/>
      <c r="K105" s="432"/>
      <c r="L105" s="432"/>
      <c r="M105" s="432"/>
      <c r="N105" s="432"/>
      <c r="O105" s="432"/>
      <c r="P105" s="432"/>
      <c r="Q105" s="432"/>
      <c r="R105" s="432"/>
      <c r="S105" s="432"/>
      <c r="T105" s="432"/>
      <c r="U105" s="432"/>
      <c r="V105" s="432"/>
      <c r="W105" s="432"/>
      <c r="X105" s="432"/>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2"/>
      <c r="AY105" s="432"/>
    </row>
    <row r="106" spans="1:51" x14ac:dyDescent="0.2">
      <c r="A106" s="431">
        <v>11598866</v>
      </c>
      <c r="B106" s="432">
        <v>43.900001525878906</v>
      </c>
      <c r="C106" s="432">
        <v>24.100000381469727</v>
      </c>
      <c r="D106" s="432">
        <v>30</v>
      </c>
      <c r="E106" s="432">
        <v>714.5999755859375</v>
      </c>
      <c r="F106" s="432">
        <v>15.350000381469727</v>
      </c>
      <c r="G106" s="432">
        <v>0</v>
      </c>
      <c r="H106" s="432"/>
      <c r="I106" s="432"/>
      <c r="J106" s="432"/>
      <c r="K106" s="432"/>
      <c r="L106" s="432"/>
      <c r="M106" s="432"/>
      <c r="N106" s="432"/>
      <c r="O106" s="432"/>
      <c r="P106" s="432"/>
      <c r="Q106" s="432"/>
      <c r="R106" s="432"/>
      <c r="S106" s="432"/>
      <c r="T106" s="432"/>
      <c r="U106" s="432"/>
      <c r="V106" s="432"/>
      <c r="W106" s="432"/>
      <c r="X106" s="432"/>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2"/>
      <c r="AY106" s="432"/>
    </row>
    <row r="107" spans="1:51" x14ac:dyDescent="0.2">
      <c r="A107" s="431">
        <v>12389229</v>
      </c>
      <c r="B107" s="432">
        <v>19.299999237060547</v>
      </c>
      <c r="C107" s="432">
        <v>101.19999694824219</v>
      </c>
      <c r="D107" s="432">
        <v>31</v>
      </c>
      <c r="E107" s="432">
        <v>712.29998779296875</v>
      </c>
      <c r="F107" s="432">
        <v>15.149999618530273</v>
      </c>
      <c r="G107" s="432">
        <v>0</v>
      </c>
      <c r="H107" s="432"/>
      <c r="I107" s="432"/>
      <c r="J107" s="432"/>
      <c r="K107" s="432"/>
      <c r="L107" s="432"/>
      <c r="M107" s="432"/>
      <c r="N107" s="432"/>
      <c r="O107" s="432"/>
      <c r="P107" s="432"/>
      <c r="Q107" s="432"/>
      <c r="R107" s="432"/>
      <c r="S107" s="432"/>
      <c r="T107" s="432"/>
      <c r="U107" s="432"/>
      <c r="V107" s="432"/>
      <c r="W107" s="432"/>
      <c r="X107" s="432"/>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2"/>
      <c r="AY107" s="432"/>
    </row>
    <row r="108" spans="1:51" x14ac:dyDescent="0.2">
      <c r="A108" s="431">
        <v>12966123</v>
      </c>
      <c r="B108" s="432">
        <v>2.0999999046325684</v>
      </c>
      <c r="C108" s="432">
        <v>100.69999694824219</v>
      </c>
      <c r="D108" s="432">
        <v>31</v>
      </c>
      <c r="E108" s="432">
        <v>707.0999755859375</v>
      </c>
      <c r="F108" s="432">
        <v>14.029999732971191</v>
      </c>
      <c r="G108" s="432">
        <v>0</v>
      </c>
      <c r="H108" s="432"/>
      <c r="I108" s="432"/>
      <c r="J108" s="432"/>
      <c r="K108" s="432"/>
      <c r="L108" s="432"/>
      <c r="M108" s="432"/>
      <c r="N108" s="432"/>
      <c r="O108" s="432"/>
      <c r="P108" s="432"/>
      <c r="Q108" s="432"/>
      <c r="R108" s="432"/>
      <c r="S108" s="432"/>
      <c r="T108" s="432"/>
      <c r="U108" s="432"/>
      <c r="V108" s="432"/>
      <c r="W108" s="432"/>
      <c r="X108" s="432"/>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2"/>
      <c r="AY108" s="432"/>
    </row>
    <row r="109" spans="1:51" x14ac:dyDescent="0.2">
      <c r="A109" s="431">
        <v>11625065</v>
      </c>
      <c r="B109" s="432">
        <v>68.800003051757813</v>
      </c>
      <c r="C109" s="432">
        <v>16.100000381469727</v>
      </c>
      <c r="D109" s="432">
        <v>30</v>
      </c>
      <c r="E109" s="432">
        <v>702.4000244140625</v>
      </c>
      <c r="F109" s="432">
        <v>12.289999961853027</v>
      </c>
      <c r="G109" s="432">
        <v>1</v>
      </c>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2"/>
      <c r="AY109" s="432"/>
    </row>
    <row r="110" spans="1:51" x14ac:dyDescent="0.2">
      <c r="A110" s="431">
        <v>11422724</v>
      </c>
      <c r="B110" s="432">
        <v>209.39999389648438</v>
      </c>
      <c r="C110" s="432">
        <v>1.8999999761581421</v>
      </c>
      <c r="D110" s="432">
        <v>31</v>
      </c>
      <c r="E110" s="432">
        <v>702.29998779296875</v>
      </c>
      <c r="F110" s="432">
        <v>10.510000228881836</v>
      </c>
      <c r="G110" s="432">
        <v>1</v>
      </c>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2"/>
      <c r="AY110" s="432"/>
    </row>
    <row r="111" spans="1:51" x14ac:dyDescent="0.2">
      <c r="A111" s="431">
        <v>11734355</v>
      </c>
      <c r="B111" s="432">
        <v>319.70001220703125</v>
      </c>
      <c r="C111" s="432">
        <v>0</v>
      </c>
      <c r="D111" s="432">
        <v>30</v>
      </c>
      <c r="E111" s="432">
        <v>680.0777587890625</v>
      </c>
      <c r="F111" s="432">
        <v>9.2799997329711914</v>
      </c>
      <c r="G111" s="432">
        <v>1</v>
      </c>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2"/>
      <c r="AE111" s="432"/>
      <c r="AF111" s="432"/>
      <c r="AG111" s="432"/>
      <c r="AH111" s="432"/>
      <c r="AI111" s="432"/>
      <c r="AJ111" s="432"/>
      <c r="AK111" s="432"/>
      <c r="AL111" s="432"/>
      <c r="AM111" s="432"/>
      <c r="AN111" s="432"/>
      <c r="AO111" s="432"/>
      <c r="AP111" s="432"/>
      <c r="AQ111" s="432"/>
      <c r="AR111" s="432"/>
      <c r="AS111" s="432"/>
      <c r="AT111" s="432"/>
      <c r="AU111" s="432"/>
      <c r="AV111" s="432"/>
      <c r="AW111" s="432"/>
      <c r="AX111" s="432"/>
      <c r="AY111" s="432"/>
    </row>
    <row r="112" spans="1:51" x14ac:dyDescent="0.2">
      <c r="A112" s="431">
        <v>12387423</v>
      </c>
      <c r="B112" s="432">
        <v>639.8157958984375</v>
      </c>
      <c r="C112" s="432">
        <v>0</v>
      </c>
      <c r="D112" s="432">
        <v>31</v>
      </c>
      <c r="E112" s="432">
        <v>678.4666748046875</v>
      </c>
      <c r="F112" s="432">
        <v>8.4700002670288086</v>
      </c>
      <c r="G112" s="432">
        <v>0</v>
      </c>
      <c r="H112" s="432"/>
      <c r="I112" s="432"/>
      <c r="J112" s="432"/>
      <c r="K112" s="432"/>
      <c r="L112" s="432"/>
      <c r="M112" s="432"/>
      <c r="N112" s="432"/>
      <c r="O112" s="432"/>
      <c r="P112" s="432"/>
      <c r="Q112" s="432"/>
      <c r="R112" s="432"/>
      <c r="S112" s="432"/>
      <c r="T112" s="432"/>
      <c r="U112" s="432"/>
      <c r="V112" s="432"/>
      <c r="W112" s="432"/>
      <c r="X112" s="432"/>
      <c r="Y112" s="432"/>
      <c r="Z112" s="432"/>
      <c r="AA112" s="432"/>
      <c r="AB112" s="432"/>
      <c r="AC112" s="432"/>
      <c r="AD112" s="432"/>
      <c r="AE112" s="432"/>
      <c r="AF112" s="432"/>
      <c r="AG112" s="432"/>
      <c r="AH112" s="432"/>
      <c r="AI112" s="432"/>
      <c r="AJ112" s="432"/>
      <c r="AK112" s="432"/>
      <c r="AL112" s="432"/>
      <c r="AM112" s="432"/>
      <c r="AN112" s="432"/>
      <c r="AO112" s="432"/>
      <c r="AP112" s="432"/>
      <c r="AQ112" s="432"/>
      <c r="AR112" s="432"/>
      <c r="AS112" s="432"/>
      <c r="AT112" s="432"/>
      <c r="AU112" s="432"/>
      <c r="AV112" s="432"/>
      <c r="AW112" s="432"/>
      <c r="AX112" s="432"/>
      <c r="AY112" s="432"/>
    </row>
    <row r="113" spans="1:51" x14ac:dyDescent="0.2">
      <c r="A113" s="431"/>
      <c r="B113" s="432"/>
      <c r="C113" s="432"/>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32"/>
      <c r="AA113" s="432"/>
      <c r="AB113" s="432"/>
      <c r="AC113" s="432"/>
      <c r="AD113" s="432"/>
      <c r="AE113" s="432"/>
      <c r="AF113" s="432"/>
      <c r="AG113" s="432"/>
      <c r="AH113" s="432"/>
      <c r="AI113" s="432"/>
      <c r="AJ113" s="432"/>
      <c r="AK113" s="432"/>
      <c r="AL113" s="432"/>
      <c r="AM113" s="432"/>
      <c r="AN113" s="432"/>
      <c r="AO113" s="432"/>
      <c r="AP113" s="432"/>
      <c r="AQ113" s="432"/>
      <c r="AR113" s="432"/>
      <c r="AS113" s="432"/>
      <c r="AT113" s="432"/>
      <c r="AU113" s="432"/>
      <c r="AV113" s="432"/>
      <c r="AW113" s="432"/>
      <c r="AX113" s="432"/>
      <c r="AY113" s="432"/>
    </row>
    <row r="114" spans="1:51" x14ac:dyDescent="0.2">
      <c r="A114" s="431"/>
      <c r="B114" s="432"/>
      <c r="C114" s="432"/>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32"/>
      <c r="AA114" s="432"/>
      <c r="AB114" s="432"/>
      <c r="AC114" s="432"/>
      <c r="AD114" s="432"/>
      <c r="AE114" s="432"/>
      <c r="AF114" s="432"/>
      <c r="AG114" s="432"/>
      <c r="AH114" s="432"/>
      <c r="AI114" s="432"/>
      <c r="AJ114" s="432"/>
      <c r="AK114" s="432"/>
      <c r="AL114" s="432"/>
      <c r="AM114" s="432"/>
      <c r="AN114" s="432"/>
      <c r="AO114" s="432"/>
      <c r="AP114" s="432"/>
      <c r="AQ114" s="432"/>
      <c r="AR114" s="432"/>
      <c r="AS114" s="432"/>
      <c r="AT114" s="432"/>
      <c r="AU114" s="432"/>
      <c r="AV114" s="432"/>
      <c r="AW114" s="432"/>
      <c r="AX114" s="432"/>
      <c r="AY114" s="432"/>
    </row>
    <row r="115" spans="1:51" x14ac:dyDescent="0.2">
      <c r="A115" s="431"/>
      <c r="B115" s="432"/>
      <c r="C115" s="432"/>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432"/>
      <c r="AD115" s="432"/>
      <c r="AE115" s="432"/>
      <c r="AF115" s="432"/>
      <c r="AG115" s="432"/>
      <c r="AH115" s="432"/>
      <c r="AI115" s="432"/>
      <c r="AJ115" s="432"/>
      <c r="AK115" s="432"/>
      <c r="AL115" s="432"/>
      <c r="AM115" s="432"/>
      <c r="AN115" s="432"/>
      <c r="AO115" s="432"/>
      <c r="AP115" s="432"/>
      <c r="AQ115" s="432"/>
      <c r="AR115" s="432"/>
      <c r="AS115" s="432"/>
      <c r="AT115" s="432"/>
      <c r="AU115" s="432"/>
      <c r="AV115" s="432"/>
      <c r="AW115" s="432"/>
      <c r="AX115" s="432"/>
      <c r="AY115" s="432"/>
    </row>
    <row r="116" spans="1:51" x14ac:dyDescent="0.2">
      <c r="A116" s="431"/>
      <c r="B116" s="432"/>
      <c r="C116" s="432"/>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432"/>
      <c r="AD116" s="432"/>
      <c r="AE116" s="432"/>
      <c r="AF116" s="432"/>
      <c r="AG116" s="432"/>
      <c r="AH116" s="432"/>
      <c r="AI116" s="432"/>
      <c r="AJ116" s="432"/>
      <c r="AK116" s="432"/>
      <c r="AL116" s="432"/>
      <c r="AM116" s="432"/>
      <c r="AN116" s="432"/>
      <c r="AO116" s="432"/>
      <c r="AP116" s="432"/>
      <c r="AQ116" s="432"/>
      <c r="AR116" s="432"/>
      <c r="AS116" s="432"/>
      <c r="AT116" s="432"/>
      <c r="AU116" s="432"/>
      <c r="AV116" s="432"/>
      <c r="AW116" s="432"/>
      <c r="AX116" s="432"/>
      <c r="AY116" s="432"/>
    </row>
    <row r="117" spans="1:51" x14ac:dyDescent="0.2">
      <c r="A117" s="431"/>
      <c r="B117" s="432"/>
      <c r="C117" s="432"/>
      <c r="D117" s="432"/>
      <c r="E117" s="432"/>
      <c r="F117" s="432"/>
      <c r="G117" s="432"/>
      <c r="H117" s="432"/>
      <c r="I117" s="432"/>
      <c r="J117" s="432"/>
      <c r="K117" s="432"/>
      <c r="L117" s="432"/>
      <c r="M117" s="432"/>
      <c r="N117" s="432"/>
      <c r="O117" s="432"/>
      <c r="P117" s="432"/>
      <c r="Q117" s="432"/>
      <c r="R117" s="432"/>
      <c r="S117" s="432"/>
      <c r="T117" s="432"/>
      <c r="U117" s="432"/>
      <c r="V117" s="432"/>
      <c r="W117" s="432"/>
      <c r="X117" s="432"/>
      <c r="Y117" s="432"/>
      <c r="Z117" s="432"/>
      <c r="AA117" s="432"/>
      <c r="AB117" s="432"/>
      <c r="AC117" s="432"/>
      <c r="AD117" s="432"/>
      <c r="AE117" s="432"/>
      <c r="AF117" s="432"/>
      <c r="AG117" s="432"/>
      <c r="AH117" s="432"/>
      <c r="AI117" s="432"/>
      <c r="AJ117" s="432"/>
      <c r="AK117" s="432"/>
      <c r="AL117" s="432"/>
      <c r="AM117" s="432"/>
      <c r="AN117" s="432"/>
      <c r="AO117" s="432"/>
      <c r="AP117" s="432"/>
      <c r="AQ117" s="432"/>
      <c r="AR117" s="432"/>
      <c r="AS117" s="432"/>
      <c r="AT117" s="432"/>
      <c r="AU117" s="432"/>
      <c r="AV117" s="432"/>
      <c r="AW117" s="432"/>
      <c r="AX117" s="432"/>
      <c r="AY117" s="432"/>
    </row>
    <row r="118" spans="1:51" x14ac:dyDescent="0.2">
      <c r="A118" s="431"/>
      <c r="B118" s="432"/>
      <c r="C118" s="432"/>
      <c r="D118" s="432"/>
      <c r="E118" s="432"/>
      <c r="F118" s="432"/>
      <c r="G118" s="432"/>
      <c r="H118" s="432"/>
      <c r="I118" s="432"/>
      <c r="J118" s="432"/>
      <c r="K118" s="432"/>
      <c r="L118" s="432"/>
      <c r="M118" s="432"/>
      <c r="N118" s="432"/>
      <c r="O118" s="432"/>
      <c r="P118" s="432"/>
      <c r="Q118" s="432"/>
      <c r="R118" s="432"/>
      <c r="S118" s="432"/>
      <c r="T118" s="432"/>
      <c r="U118" s="432"/>
      <c r="V118" s="432"/>
      <c r="W118" s="432"/>
      <c r="X118" s="432"/>
      <c r="Y118" s="432"/>
      <c r="Z118" s="432"/>
      <c r="AA118" s="432"/>
      <c r="AB118" s="432"/>
      <c r="AC118" s="432"/>
      <c r="AD118" s="432"/>
      <c r="AE118" s="432"/>
      <c r="AF118" s="432"/>
      <c r="AG118" s="432"/>
      <c r="AH118" s="432"/>
      <c r="AI118" s="432"/>
      <c r="AJ118" s="432"/>
      <c r="AK118" s="432"/>
      <c r="AL118" s="432"/>
      <c r="AM118" s="432"/>
      <c r="AN118" s="432"/>
      <c r="AO118" s="432"/>
      <c r="AP118" s="432"/>
      <c r="AQ118" s="432"/>
      <c r="AR118" s="432"/>
      <c r="AS118" s="432"/>
      <c r="AT118" s="432"/>
      <c r="AU118" s="432"/>
      <c r="AV118" s="432"/>
      <c r="AW118" s="432"/>
      <c r="AX118" s="432"/>
      <c r="AY118" s="432"/>
    </row>
    <row r="119" spans="1:51" x14ac:dyDescent="0.2">
      <c r="A119" s="431"/>
      <c r="B119" s="432"/>
      <c r="C119" s="432"/>
      <c r="D119" s="432"/>
      <c r="E119" s="432"/>
      <c r="F119" s="432"/>
      <c r="G119" s="432"/>
      <c r="H119" s="432"/>
      <c r="I119" s="432"/>
      <c r="J119" s="432"/>
      <c r="K119" s="432"/>
      <c r="L119" s="432"/>
      <c r="M119" s="432"/>
      <c r="N119" s="432"/>
      <c r="O119" s="432"/>
      <c r="P119" s="432"/>
      <c r="Q119" s="432"/>
      <c r="R119" s="432"/>
      <c r="S119" s="432"/>
      <c r="T119" s="432"/>
      <c r="U119" s="432"/>
      <c r="V119" s="432"/>
      <c r="W119" s="432"/>
      <c r="X119" s="432"/>
      <c r="Y119" s="432"/>
      <c r="Z119" s="432"/>
      <c r="AA119" s="432"/>
      <c r="AB119" s="432"/>
      <c r="AC119" s="432"/>
      <c r="AD119" s="432"/>
      <c r="AE119" s="432"/>
      <c r="AF119" s="432"/>
      <c r="AG119" s="432"/>
      <c r="AH119" s="432"/>
      <c r="AI119" s="432"/>
      <c r="AJ119" s="432"/>
      <c r="AK119" s="432"/>
      <c r="AL119" s="432"/>
      <c r="AM119" s="432"/>
      <c r="AN119" s="432"/>
      <c r="AO119" s="432"/>
      <c r="AP119" s="432"/>
      <c r="AQ119" s="432"/>
      <c r="AR119" s="432"/>
      <c r="AS119" s="432"/>
      <c r="AT119" s="432"/>
      <c r="AU119" s="432"/>
      <c r="AV119" s="432"/>
      <c r="AW119" s="432"/>
      <c r="AX119" s="432"/>
      <c r="AY119" s="432"/>
    </row>
    <row r="120" spans="1:51" x14ac:dyDescent="0.2">
      <c r="A120" s="431"/>
      <c r="B120" s="432"/>
      <c r="C120" s="432"/>
      <c r="D120" s="432"/>
      <c r="E120" s="432"/>
      <c r="F120" s="432"/>
      <c r="G120" s="432"/>
      <c r="H120" s="432"/>
      <c r="I120" s="432"/>
      <c r="J120" s="432"/>
      <c r="K120" s="432"/>
      <c r="L120" s="432"/>
      <c r="M120" s="432"/>
      <c r="N120" s="432"/>
      <c r="O120" s="432"/>
      <c r="P120" s="432"/>
      <c r="Q120" s="432"/>
      <c r="R120" s="432"/>
      <c r="S120" s="432"/>
      <c r="T120" s="432"/>
      <c r="U120" s="432"/>
      <c r="V120" s="432"/>
      <c r="W120" s="432"/>
      <c r="X120" s="432"/>
      <c r="Y120" s="432"/>
      <c r="Z120" s="432"/>
      <c r="AA120" s="432"/>
      <c r="AB120" s="432"/>
      <c r="AC120" s="432"/>
      <c r="AD120" s="432"/>
      <c r="AE120" s="432"/>
      <c r="AF120" s="432"/>
      <c r="AG120" s="432"/>
      <c r="AH120" s="432"/>
      <c r="AI120" s="432"/>
      <c r="AJ120" s="432"/>
      <c r="AK120" s="432"/>
      <c r="AL120" s="432"/>
      <c r="AM120" s="432"/>
      <c r="AN120" s="432"/>
      <c r="AO120" s="432"/>
      <c r="AP120" s="432"/>
      <c r="AQ120" s="432"/>
      <c r="AR120" s="432"/>
      <c r="AS120" s="432"/>
      <c r="AT120" s="432"/>
      <c r="AU120" s="432"/>
      <c r="AV120" s="432"/>
      <c r="AW120" s="432"/>
      <c r="AX120" s="432"/>
      <c r="AY120" s="432"/>
    </row>
    <row r="121" spans="1:51" x14ac:dyDescent="0.2">
      <c r="A121" s="431"/>
      <c r="B121" s="432"/>
      <c r="C121" s="432"/>
      <c r="D121" s="432"/>
      <c r="E121" s="432"/>
      <c r="F121" s="432"/>
      <c r="G121" s="432"/>
      <c r="H121" s="432"/>
      <c r="I121" s="432"/>
      <c r="J121" s="432"/>
      <c r="K121" s="432"/>
      <c r="L121" s="432"/>
      <c r="M121" s="432"/>
      <c r="N121" s="432"/>
      <c r="O121" s="432"/>
      <c r="P121" s="432"/>
      <c r="Q121" s="432"/>
      <c r="R121" s="432"/>
      <c r="S121" s="432"/>
      <c r="T121" s="432"/>
      <c r="U121" s="432"/>
      <c r="V121" s="432"/>
      <c r="W121" s="432"/>
      <c r="X121" s="432"/>
      <c r="Y121" s="432"/>
      <c r="Z121" s="432"/>
      <c r="AA121" s="432"/>
      <c r="AB121" s="432"/>
      <c r="AC121" s="432"/>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2"/>
      <c r="AY121" s="432"/>
    </row>
    <row r="122" spans="1:51" x14ac:dyDescent="0.2">
      <c r="A122" s="431"/>
      <c r="B122" s="432"/>
      <c r="C122" s="432"/>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32"/>
      <c r="AD122" s="432"/>
      <c r="AE122" s="432"/>
      <c r="AF122" s="432"/>
      <c r="AG122" s="432"/>
      <c r="AH122" s="432"/>
      <c r="AI122" s="432"/>
      <c r="AJ122" s="432"/>
      <c r="AK122" s="432"/>
      <c r="AL122" s="432"/>
      <c r="AM122" s="432"/>
      <c r="AN122" s="432"/>
      <c r="AO122" s="432"/>
      <c r="AP122" s="432"/>
      <c r="AQ122" s="432"/>
      <c r="AR122" s="432"/>
      <c r="AS122" s="432"/>
      <c r="AT122" s="432"/>
      <c r="AU122" s="432"/>
      <c r="AV122" s="432"/>
      <c r="AW122" s="432"/>
      <c r="AX122" s="432"/>
      <c r="AY122" s="432"/>
    </row>
    <row r="123" spans="1:51" x14ac:dyDescent="0.2">
      <c r="A123" s="431"/>
      <c r="B123" s="432"/>
      <c r="C123" s="432"/>
      <c r="D123" s="432"/>
      <c r="E123" s="432"/>
      <c r="F123" s="432"/>
      <c r="G123" s="432"/>
      <c r="H123" s="432"/>
      <c r="I123" s="432"/>
      <c r="J123" s="432"/>
      <c r="K123" s="432"/>
      <c r="L123" s="432"/>
      <c r="M123" s="432"/>
      <c r="N123" s="432"/>
      <c r="O123" s="432"/>
      <c r="P123" s="432"/>
      <c r="Q123" s="432"/>
      <c r="R123" s="432"/>
      <c r="S123" s="432"/>
      <c r="T123" s="432"/>
      <c r="U123" s="432"/>
      <c r="V123" s="432"/>
      <c r="W123" s="432"/>
      <c r="X123" s="432"/>
      <c r="Y123" s="432"/>
      <c r="Z123" s="432"/>
      <c r="AA123" s="432"/>
      <c r="AB123" s="432"/>
      <c r="AC123" s="432"/>
      <c r="AD123" s="432"/>
      <c r="AE123" s="432"/>
      <c r="AF123" s="432"/>
      <c r="AG123" s="432"/>
      <c r="AH123" s="432"/>
      <c r="AI123" s="432"/>
      <c r="AJ123" s="432"/>
      <c r="AK123" s="432"/>
      <c r="AL123" s="432"/>
      <c r="AM123" s="432"/>
      <c r="AN123" s="432"/>
      <c r="AO123" s="432"/>
      <c r="AP123" s="432"/>
      <c r="AQ123" s="432"/>
      <c r="AR123" s="432"/>
      <c r="AS123" s="432"/>
      <c r="AT123" s="432"/>
      <c r="AU123" s="432"/>
      <c r="AV123" s="432"/>
      <c r="AW123" s="432"/>
      <c r="AX123" s="432"/>
      <c r="AY123" s="432"/>
    </row>
    <row r="124" spans="1:51" x14ac:dyDescent="0.2">
      <c r="A124" s="431"/>
      <c r="B124" s="432"/>
      <c r="C124" s="432"/>
      <c r="D124" s="432"/>
      <c r="E124" s="432"/>
      <c r="F124" s="432"/>
      <c r="G124" s="432"/>
      <c r="H124" s="432"/>
      <c r="I124" s="432"/>
      <c r="J124" s="432"/>
      <c r="K124" s="432"/>
      <c r="L124" s="432"/>
      <c r="M124" s="432"/>
      <c r="N124" s="432"/>
      <c r="O124" s="432"/>
      <c r="P124" s="432"/>
      <c r="Q124" s="432"/>
      <c r="R124" s="432"/>
      <c r="S124" s="432"/>
      <c r="T124" s="432"/>
      <c r="U124" s="432"/>
      <c r="V124" s="432"/>
      <c r="W124" s="432"/>
      <c r="X124" s="432"/>
      <c r="Y124" s="432"/>
      <c r="Z124" s="432"/>
      <c r="AA124" s="432"/>
      <c r="AB124" s="432"/>
      <c r="AC124" s="432"/>
      <c r="AD124" s="432"/>
      <c r="AE124" s="432"/>
      <c r="AF124" s="432"/>
      <c r="AG124" s="432"/>
      <c r="AH124" s="432"/>
      <c r="AI124" s="432"/>
      <c r="AJ124" s="432"/>
      <c r="AK124" s="432"/>
      <c r="AL124" s="432"/>
      <c r="AM124" s="432"/>
      <c r="AN124" s="432"/>
      <c r="AO124" s="432"/>
      <c r="AP124" s="432"/>
      <c r="AQ124" s="432"/>
      <c r="AR124" s="432"/>
      <c r="AS124" s="432"/>
      <c r="AT124" s="432"/>
      <c r="AU124" s="432"/>
      <c r="AV124" s="432"/>
      <c r="AW124" s="432"/>
      <c r="AX124" s="432"/>
      <c r="AY124" s="432"/>
    </row>
    <row r="125" spans="1:51" x14ac:dyDescent="0.2">
      <c r="A125" s="431"/>
      <c r="B125" s="432"/>
      <c r="C125" s="432"/>
      <c r="D125" s="432"/>
      <c r="E125" s="432"/>
      <c r="F125" s="432"/>
      <c r="G125" s="432"/>
      <c r="H125" s="432"/>
      <c r="I125" s="432"/>
      <c r="J125" s="432"/>
      <c r="K125" s="432"/>
      <c r="L125" s="432"/>
      <c r="M125" s="432"/>
      <c r="N125" s="432"/>
      <c r="O125" s="432"/>
      <c r="P125" s="432"/>
      <c r="Q125" s="432"/>
      <c r="R125" s="432"/>
      <c r="S125" s="432"/>
      <c r="T125" s="432"/>
      <c r="U125" s="432"/>
      <c r="V125" s="432"/>
      <c r="W125" s="432"/>
      <c r="X125" s="432"/>
      <c r="Y125" s="432"/>
      <c r="Z125" s="432"/>
      <c r="AA125" s="432"/>
      <c r="AB125" s="432"/>
      <c r="AC125" s="432"/>
      <c r="AD125" s="432"/>
      <c r="AE125" s="432"/>
      <c r="AF125" s="432"/>
      <c r="AG125" s="432"/>
      <c r="AH125" s="432"/>
      <c r="AI125" s="432"/>
      <c r="AJ125" s="432"/>
      <c r="AK125" s="432"/>
      <c r="AL125" s="432"/>
      <c r="AM125" s="432"/>
      <c r="AN125" s="432"/>
      <c r="AO125" s="432"/>
      <c r="AP125" s="432"/>
      <c r="AQ125" s="432"/>
      <c r="AR125" s="432"/>
      <c r="AS125" s="432"/>
      <c r="AT125" s="432"/>
      <c r="AU125" s="432"/>
      <c r="AV125" s="432"/>
      <c r="AW125" s="432"/>
      <c r="AX125" s="432"/>
      <c r="AY125" s="432"/>
    </row>
    <row r="126" spans="1:51" x14ac:dyDescent="0.2">
      <c r="A126" s="431"/>
      <c r="B126" s="432"/>
      <c r="C126" s="432"/>
      <c r="D126" s="432"/>
      <c r="E126" s="432"/>
      <c r="F126" s="432"/>
      <c r="G126" s="432"/>
      <c r="H126" s="432"/>
      <c r="I126" s="432"/>
      <c r="J126" s="432"/>
      <c r="K126" s="432"/>
      <c r="L126" s="432"/>
      <c r="M126" s="432"/>
      <c r="N126" s="432"/>
      <c r="O126" s="432"/>
      <c r="P126" s="432"/>
      <c r="Q126" s="432"/>
      <c r="R126" s="432"/>
      <c r="S126" s="432"/>
      <c r="T126" s="432"/>
      <c r="U126" s="432"/>
      <c r="V126" s="432"/>
      <c r="W126" s="432"/>
      <c r="X126" s="432"/>
      <c r="Y126" s="432"/>
      <c r="Z126" s="432"/>
      <c r="AA126" s="432"/>
      <c r="AB126" s="432"/>
      <c r="AC126" s="432"/>
      <c r="AD126" s="432"/>
      <c r="AE126" s="432"/>
      <c r="AF126" s="432"/>
      <c r="AG126" s="432"/>
      <c r="AH126" s="432"/>
      <c r="AI126" s="432"/>
      <c r="AJ126" s="432"/>
      <c r="AK126" s="432"/>
      <c r="AL126" s="432"/>
      <c r="AM126" s="432"/>
      <c r="AN126" s="432"/>
      <c r="AO126" s="432"/>
      <c r="AP126" s="432"/>
      <c r="AQ126" s="432"/>
      <c r="AR126" s="432"/>
      <c r="AS126" s="432"/>
      <c r="AT126" s="432"/>
      <c r="AU126" s="432"/>
      <c r="AV126" s="432"/>
      <c r="AW126" s="432"/>
      <c r="AX126" s="432"/>
      <c r="AY126" s="432"/>
    </row>
    <row r="127" spans="1:51" x14ac:dyDescent="0.2">
      <c r="A127" s="431"/>
      <c r="B127" s="432"/>
      <c r="C127" s="432"/>
      <c r="D127" s="432"/>
      <c r="E127" s="432"/>
      <c r="F127" s="432"/>
      <c r="G127" s="432"/>
      <c r="H127" s="432"/>
      <c r="I127" s="432"/>
      <c r="J127" s="432"/>
      <c r="K127" s="432"/>
      <c r="L127" s="432"/>
      <c r="M127" s="432"/>
      <c r="N127" s="432"/>
      <c r="O127" s="432"/>
      <c r="P127" s="432"/>
      <c r="Q127" s="432"/>
      <c r="R127" s="432"/>
      <c r="S127" s="432"/>
      <c r="T127" s="432"/>
      <c r="U127" s="432"/>
      <c r="V127" s="432"/>
      <c r="W127" s="432"/>
      <c r="X127" s="432"/>
      <c r="Y127" s="432"/>
      <c r="Z127" s="432"/>
      <c r="AA127" s="432"/>
      <c r="AB127" s="432"/>
      <c r="AC127" s="432"/>
      <c r="AD127" s="432"/>
      <c r="AE127" s="432"/>
      <c r="AF127" s="432"/>
      <c r="AG127" s="432"/>
      <c r="AH127" s="432"/>
      <c r="AI127" s="432"/>
      <c r="AJ127" s="432"/>
      <c r="AK127" s="432"/>
      <c r="AL127" s="432"/>
      <c r="AM127" s="432"/>
      <c r="AN127" s="432"/>
      <c r="AO127" s="432"/>
      <c r="AP127" s="432"/>
      <c r="AQ127" s="432"/>
      <c r="AR127" s="432"/>
      <c r="AS127" s="432"/>
      <c r="AT127" s="432"/>
      <c r="AU127" s="432"/>
      <c r="AV127" s="432"/>
      <c r="AW127" s="432"/>
      <c r="AX127" s="432"/>
      <c r="AY127" s="432"/>
    </row>
    <row r="128" spans="1:51" x14ac:dyDescent="0.2">
      <c r="A128" s="431"/>
      <c r="B128" s="432"/>
      <c r="C128" s="432"/>
      <c r="D128" s="432"/>
      <c r="E128" s="432"/>
      <c r="F128" s="432"/>
      <c r="G128" s="432"/>
      <c r="H128" s="432"/>
      <c r="I128" s="432"/>
      <c r="J128" s="432"/>
      <c r="K128" s="432"/>
      <c r="L128" s="432"/>
      <c r="M128" s="432"/>
      <c r="N128" s="432"/>
      <c r="O128" s="432"/>
      <c r="P128" s="432"/>
      <c r="Q128" s="432"/>
      <c r="R128" s="432"/>
      <c r="S128" s="432"/>
      <c r="T128" s="432"/>
      <c r="U128" s="432"/>
      <c r="V128" s="432"/>
      <c r="W128" s="432"/>
      <c r="X128" s="432"/>
      <c r="Y128" s="432"/>
      <c r="Z128" s="432"/>
      <c r="AA128" s="432"/>
      <c r="AB128" s="432"/>
      <c r="AC128" s="432"/>
      <c r="AD128" s="432"/>
      <c r="AE128" s="432"/>
      <c r="AF128" s="432"/>
      <c r="AG128" s="432"/>
      <c r="AH128" s="432"/>
      <c r="AI128" s="432"/>
      <c r="AJ128" s="432"/>
      <c r="AK128" s="432"/>
      <c r="AL128" s="432"/>
      <c r="AM128" s="432"/>
      <c r="AN128" s="432"/>
      <c r="AO128" s="432"/>
      <c r="AP128" s="432"/>
      <c r="AQ128" s="432"/>
      <c r="AR128" s="432"/>
      <c r="AS128" s="432"/>
      <c r="AT128" s="432"/>
      <c r="AU128" s="432"/>
      <c r="AV128" s="432"/>
      <c r="AW128" s="432"/>
      <c r="AX128" s="432"/>
      <c r="AY128" s="432"/>
    </row>
    <row r="129" spans="1:51" x14ac:dyDescent="0.2">
      <c r="A129" s="431"/>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2"/>
      <c r="AY129" s="432"/>
    </row>
    <row r="130" spans="1:51" x14ac:dyDescent="0.2">
      <c r="A130" s="431"/>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2"/>
      <c r="AY130" s="432"/>
    </row>
    <row r="131" spans="1:51" x14ac:dyDescent="0.2">
      <c r="A131" s="431"/>
      <c r="B131" s="432"/>
      <c r="C131" s="432"/>
      <c r="D131" s="432"/>
      <c r="E131" s="432"/>
      <c r="F131" s="432"/>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2"/>
      <c r="AY131" s="432"/>
    </row>
    <row r="132" spans="1:51" x14ac:dyDescent="0.2">
      <c r="A132" s="431"/>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2"/>
      <c r="AY132" s="432"/>
    </row>
    <row r="133" spans="1:51" x14ac:dyDescent="0.2">
      <c r="A133" s="431"/>
      <c r="B133" s="432"/>
      <c r="C133" s="432"/>
      <c r="D133" s="432"/>
      <c r="E133" s="432"/>
      <c r="F133" s="432"/>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2"/>
      <c r="AY133" s="432"/>
    </row>
    <row r="134" spans="1:51" x14ac:dyDescent="0.2">
      <c r="A134" s="431"/>
      <c r="B134" s="432"/>
      <c r="C134" s="432"/>
      <c r="D134" s="432"/>
      <c r="E134" s="432"/>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2"/>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2"/>
      <c r="AY134" s="432"/>
    </row>
    <row r="135" spans="1:51" x14ac:dyDescent="0.2">
      <c r="A135" s="431"/>
      <c r="B135" s="432"/>
      <c r="C135" s="432"/>
      <c r="D135" s="432"/>
      <c r="E135" s="432"/>
      <c r="F135" s="432"/>
      <c r="G135" s="432"/>
      <c r="H135" s="432"/>
      <c r="I135" s="432"/>
      <c r="J135" s="432"/>
      <c r="K135" s="432"/>
      <c r="L135" s="432"/>
      <c r="M135" s="432"/>
      <c r="N135" s="432"/>
      <c r="O135" s="432"/>
      <c r="P135" s="432"/>
      <c r="Q135" s="432"/>
      <c r="R135" s="432"/>
      <c r="S135" s="432"/>
      <c r="T135" s="432"/>
      <c r="U135" s="432"/>
      <c r="V135" s="432"/>
      <c r="W135" s="432"/>
      <c r="X135" s="432"/>
      <c r="Y135" s="432"/>
      <c r="Z135" s="432"/>
      <c r="AA135" s="432"/>
      <c r="AB135" s="432"/>
      <c r="AC135" s="432"/>
      <c r="AD135" s="432"/>
      <c r="AE135" s="432"/>
      <c r="AF135" s="432"/>
      <c r="AG135" s="432"/>
      <c r="AH135" s="432"/>
      <c r="AI135" s="432"/>
      <c r="AJ135" s="432"/>
      <c r="AK135" s="432"/>
      <c r="AL135" s="432"/>
      <c r="AM135" s="432"/>
      <c r="AN135" s="432"/>
      <c r="AO135" s="432"/>
      <c r="AP135" s="432"/>
      <c r="AQ135" s="432"/>
      <c r="AR135" s="432"/>
      <c r="AS135" s="432"/>
      <c r="AT135" s="432"/>
      <c r="AU135" s="432"/>
      <c r="AV135" s="432"/>
      <c r="AW135" s="432"/>
      <c r="AX135" s="432"/>
      <c r="AY135" s="432"/>
    </row>
    <row r="136" spans="1:51" x14ac:dyDescent="0.2">
      <c r="A136" s="431"/>
      <c r="B136" s="432"/>
      <c r="C136" s="432"/>
      <c r="D136" s="432"/>
      <c r="E136" s="432"/>
      <c r="F136" s="432"/>
      <c r="G136" s="432"/>
      <c r="H136" s="432"/>
      <c r="I136" s="432"/>
      <c r="J136" s="432"/>
      <c r="K136" s="432"/>
      <c r="L136" s="432"/>
      <c r="M136" s="432"/>
      <c r="N136" s="432"/>
      <c r="O136" s="432"/>
      <c r="P136" s="432"/>
      <c r="Q136" s="432"/>
      <c r="R136" s="432"/>
      <c r="S136" s="432"/>
      <c r="T136" s="432"/>
      <c r="U136" s="432"/>
      <c r="V136" s="432"/>
      <c r="W136" s="432"/>
      <c r="X136" s="432"/>
      <c r="Y136" s="432"/>
      <c r="Z136" s="432"/>
      <c r="AA136" s="432"/>
      <c r="AB136" s="432"/>
      <c r="AC136" s="432"/>
      <c r="AD136" s="432"/>
      <c r="AE136" s="432"/>
      <c r="AF136" s="432"/>
      <c r="AG136" s="432"/>
      <c r="AH136" s="432"/>
      <c r="AI136" s="432"/>
      <c r="AJ136" s="432"/>
      <c r="AK136" s="432"/>
      <c r="AL136" s="432"/>
      <c r="AM136" s="432"/>
      <c r="AN136" s="432"/>
      <c r="AO136" s="432"/>
      <c r="AP136" s="432"/>
      <c r="AQ136" s="432"/>
      <c r="AR136" s="432"/>
      <c r="AS136" s="432"/>
      <c r="AT136" s="432"/>
      <c r="AU136" s="432"/>
      <c r="AV136" s="432"/>
      <c r="AW136" s="432"/>
      <c r="AX136" s="432"/>
      <c r="AY136" s="432"/>
    </row>
    <row r="137" spans="1:51" x14ac:dyDescent="0.2">
      <c r="A137" s="431"/>
      <c r="B137" s="432"/>
      <c r="C137" s="432"/>
      <c r="D137" s="432"/>
      <c r="E137" s="432"/>
      <c r="F137" s="432"/>
      <c r="G137" s="432"/>
      <c r="H137" s="432"/>
      <c r="I137" s="432"/>
      <c r="J137" s="432"/>
      <c r="K137" s="432"/>
      <c r="L137" s="432"/>
      <c r="M137" s="432"/>
      <c r="N137" s="432"/>
      <c r="O137" s="432"/>
      <c r="P137" s="432"/>
      <c r="Q137" s="432"/>
      <c r="R137" s="432"/>
      <c r="S137" s="432"/>
      <c r="T137" s="432"/>
      <c r="U137" s="432"/>
      <c r="V137" s="432"/>
      <c r="W137" s="432"/>
      <c r="X137" s="432"/>
      <c r="Y137" s="432"/>
      <c r="Z137" s="432"/>
      <c r="AA137" s="432"/>
      <c r="AB137" s="432"/>
      <c r="AC137" s="432"/>
      <c r="AD137" s="432"/>
      <c r="AE137" s="432"/>
      <c r="AF137" s="432"/>
      <c r="AG137" s="432"/>
      <c r="AH137" s="432"/>
      <c r="AI137" s="432"/>
      <c r="AJ137" s="432"/>
      <c r="AK137" s="432"/>
      <c r="AL137" s="432"/>
      <c r="AM137" s="432"/>
      <c r="AN137" s="432"/>
      <c r="AO137" s="432"/>
      <c r="AP137" s="432"/>
      <c r="AQ137" s="432"/>
      <c r="AR137" s="432"/>
      <c r="AS137" s="432"/>
      <c r="AT137" s="432"/>
      <c r="AU137" s="432"/>
      <c r="AV137" s="432"/>
      <c r="AW137" s="432"/>
      <c r="AX137" s="432"/>
      <c r="AY137" s="432"/>
    </row>
    <row r="138" spans="1:51" x14ac:dyDescent="0.2">
      <c r="A138" s="431"/>
      <c r="B138" s="432"/>
      <c r="C138" s="432"/>
      <c r="D138" s="432"/>
      <c r="E138" s="432"/>
      <c r="F138" s="432"/>
      <c r="G138" s="432"/>
      <c r="H138" s="432"/>
      <c r="I138" s="432"/>
      <c r="J138" s="432"/>
      <c r="K138" s="432"/>
      <c r="L138" s="432"/>
      <c r="M138" s="432"/>
      <c r="N138" s="432"/>
      <c r="O138" s="432"/>
      <c r="P138" s="432"/>
      <c r="Q138" s="432"/>
      <c r="R138" s="432"/>
      <c r="S138" s="432"/>
      <c r="T138" s="432"/>
      <c r="U138" s="432"/>
      <c r="V138" s="432"/>
      <c r="W138" s="432"/>
      <c r="X138" s="432"/>
      <c r="Y138" s="432"/>
      <c r="Z138" s="432"/>
      <c r="AA138" s="432"/>
      <c r="AB138" s="432"/>
      <c r="AC138" s="432"/>
      <c r="AD138" s="432"/>
      <c r="AE138" s="432"/>
      <c r="AF138" s="432"/>
      <c r="AG138" s="432"/>
      <c r="AH138" s="432"/>
      <c r="AI138" s="432"/>
      <c r="AJ138" s="432"/>
      <c r="AK138" s="432"/>
      <c r="AL138" s="432"/>
      <c r="AM138" s="432"/>
      <c r="AN138" s="432"/>
      <c r="AO138" s="432"/>
      <c r="AP138" s="432"/>
      <c r="AQ138" s="432"/>
      <c r="AR138" s="432"/>
      <c r="AS138" s="432"/>
      <c r="AT138" s="432"/>
      <c r="AU138" s="432"/>
      <c r="AV138" s="432"/>
      <c r="AW138" s="432"/>
      <c r="AX138" s="432"/>
      <c r="AY138" s="432"/>
    </row>
    <row r="139" spans="1:51" x14ac:dyDescent="0.2">
      <c r="A139" s="431"/>
      <c r="B139" s="432"/>
      <c r="C139" s="432"/>
      <c r="D139" s="432"/>
      <c r="E139" s="432"/>
      <c r="F139" s="432"/>
      <c r="G139" s="432"/>
      <c r="H139" s="432"/>
      <c r="I139" s="432"/>
      <c r="J139" s="432"/>
      <c r="K139" s="432"/>
      <c r="L139" s="432"/>
      <c r="M139" s="432"/>
      <c r="N139" s="432"/>
      <c r="O139" s="432"/>
      <c r="P139" s="432"/>
      <c r="Q139" s="432"/>
      <c r="R139" s="432"/>
      <c r="S139" s="432"/>
      <c r="T139" s="432"/>
      <c r="U139" s="432"/>
      <c r="V139" s="432"/>
      <c r="W139" s="432"/>
      <c r="X139" s="432"/>
      <c r="Y139" s="432"/>
      <c r="Z139" s="432"/>
      <c r="AA139" s="432"/>
      <c r="AB139" s="432"/>
      <c r="AC139" s="432"/>
      <c r="AD139" s="432"/>
      <c r="AE139" s="432"/>
      <c r="AF139" s="432"/>
      <c r="AG139" s="432"/>
      <c r="AH139" s="432"/>
      <c r="AI139" s="432"/>
      <c r="AJ139" s="432"/>
      <c r="AK139" s="432"/>
      <c r="AL139" s="432"/>
      <c r="AM139" s="432"/>
      <c r="AN139" s="432"/>
      <c r="AO139" s="432"/>
      <c r="AP139" s="432"/>
      <c r="AQ139" s="432"/>
      <c r="AR139" s="432"/>
      <c r="AS139" s="432"/>
      <c r="AT139" s="432"/>
      <c r="AU139" s="432"/>
      <c r="AV139" s="432"/>
      <c r="AW139" s="432"/>
      <c r="AX139" s="432"/>
      <c r="AY139" s="432"/>
    </row>
    <row r="140" spans="1:51" x14ac:dyDescent="0.2">
      <c r="A140" s="431"/>
      <c r="B140" s="432"/>
      <c r="C140" s="432"/>
      <c r="D140" s="432"/>
      <c r="E140" s="432"/>
      <c r="F140" s="432"/>
      <c r="G140" s="432"/>
      <c r="H140" s="432"/>
      <c r="I140" s="432"/>
      <c r="J140" s="432"/>
      <c r="K140" s="432"/>
      <c r="L140" s="432"/>
      <c r="M140" s="432"/>
      <c r="N140" s="432"/>
      <c r="O140" s="432"/>
      <c r="P140" s="432"/>
      <c r="Q140" s="432"/>
      <c r="R140" s="432"/>
      <c r="S140" s="432"/>
      <c r="T140" s="432"/>
      <c r="U140" s="432"/>
      <c r="V140" s="432"/>
      <c r="W140" s="432"/>
      <c r="X140" s="432"/>
      <c r="Y140" s="432"/>
      <c r="Z140" s="432"/>
      <c r="AA140" s="432"/>
      <c r="AB140" s="432"/>
      <c r="AC140" s="432"/>
      <c r="AD140" s="432"/>
      <c r="AE140" s="432"/>
      <c r="AF140" s="432"/>
      <c r="AG140" s="432"/>
      <c r="AH140" s="432"/>
      <c r="AI140" s="432"/>
      <c r="AJ140" s="432"/>
      <c r="AK140" s="432"/>
      <c r="AL140" s="432"/>
      <c r="AM140" s="432"/>
      <c r="AN140" s="432"/>
      <c r="AO140" s="432"/>
      <c r="AP140" s="432"/>
      <c r="AQ140" s="432"/>
      <c r="AR140" s="432"/>
      <c r="AS140" s="432"/>
      <c r="AT140" s="432"/>
      <c r="AU140" s="432"/>
      <c r="AV140" s="432"/>
      <c r="AW140" s="432"/>
      <c r="AX140" s="432"/>
      <c r="AY140" s="432"/>
    </row>
    <row r="141" spans="1:51" x14ac:dyDescent="0.2">
      <c r="A141" s="431"/>
      <c r="B141" s="432"/>
      <c r="C141" s="432"/>
      <c r="D141" s="432"/>
      <c r="E141" s="432"/>
      <c r="F141" s="432"/>
      <c r="G141" s="432"/>
      <c r="H141" s="432"/>
      <c r="I141" s="432"/>
      <c r="J141" s="432"/>
      <c r="K141" s="432"/>
      <c r="L141" s="432"/>
      <c r="M141" s="432"/>
      <c r="N141" s="432"/>
      <c r="O141" s="432"/>
      <c r="P141" s="432"/>
      <c r="Q141" s="432"/>
      <c r="R141" s="432"/>
      <c r="S141" s="432"/>
      <c r="T141" s="432"/>
      <c r="U141" s="432"/>
      <c r="V141" s="432"/>
      <c r="W141" s="432"/>
      <c r="X141" s="432"/>
      <c r="Y141" s="432"/>
      <c r="Z141" s="432"/>
      <c r="AA141" s="432"/>
      <c r="AB141" s="432"/>
      <c r="AC141" s="432"/>
      <c r="AD141" s="432"/>
      <c r="AE141" s="432"/>
      <c r="AF141" s="432"/>
      <c r="AG141" s="432"/>
      <c r="AH141" s="432"/>
      <c r="AI141" s="432"/>
      <c r="AJ141" s="432"/>
      <c r="AK141" s="432"/>
      <c r="AL141" s="432"/>
      <c r="AM141" s="432"/>
      <c r="AN141" s="432"/>
      <c r="AO141" s="432"/>
      <c r="AP141" s="432"/>
      <c r="AQ141" s="432"/>
      <c r="AR141" s="432"/>
      <c r="AS141" s="432"/>
      <c r="AT141" s="432"/>
      <c r="AU141" s="432"/>
      <c r="AV141" s="432"/>
      <c r="AW141" s="432"/>
      <c r="AX141" s="432"/>
      <c r="AY141" s="432"/>
    </row>
    <row r="142" spans="1:51" x14ac:dyDescent="0.2">
      <c r="A142" s="431"/>
      <c r="B142" s="432"/>
      <c r="C142" s="432"/>
      <c r="D142" s="432"/>
      <c r="E142" s="432"/>
      <c r="F142" s="432"/>
      <c r="G142" s="432"/>
      <c r="H142" s="432"/>
      <c r="I142" s="432"/>
      <c r="J142" s="432"/>
      <c r="K142" s="432"/>
      <c r="L142" s="432"/>
      <c r="M142" s="432"/>
      <c r="N142" s="432"/>
      <c r="O142" s="432"/>
      <c r="P142" s="432"/>
      <c r="Q142" s="432"/>
      <c r="R142" s="432"/>
      <c r="S142" s="432"/>
      <c r="T142" s="432"/>
      <c r="U142" s="432"/>
      <c r="V142" s="432"/>
      <c r="W142" s="432"/>
      <c r="X142" s="432"/>
      <c r="Y142" s="432"/>
      <c r="Z142" s="432"/>
      <c r="AA142" s="432"/>
      <c r="AB142" s="432"/>
      <c r="AC142" s="432"/>
      <c r="AD142" s="432"/>
      <c r="AE142" s="432"/>
      <c r="AF142" s="432"/>
      <c r="AG142" s="432"/>
      <c r="AH142" s="432"/>
      <c r="AI142" s="432"/>
      <c r="AJ142" s="432"/>
      <c r="AK142" s="432"/>
      <c r="AL142" s="432"/>
      <c r="AM142" s="432"/>
      <c r="AN142" s="432"/>
      <c r="AO142" s="432"/>
      <c r="AP142" s="432"/>
      <c r="AQ142" s="432"/>
      <c r="AR142" s="432"/>
      <c r="AS142" s="432"/>
      <c r="AT142" s="432"/>
      <c r="AU142" s="432"/>
      <c r="AV142" s="432"/>
      <c r="AW142" s="432"/>
      <c r="AX142" s="432"/>
      <c r="AY142" s="432"/>
    </row>
    <row r="143" spans="1:51" x14ac:dyDescent="0.2">
      <c r="A143" s="431"/>
      <c r="B143" s="432"/>
      <c r="C143" s="432"/>
      <c r="D143" s="432"/>
      <c r="E143" s="432"/>
      <c r="F143" s="432"/>
      <c r="G143" s="432"/>
      <c r="H143" s="432"/>
      <c r="I143" s="432"/>
      <c r="J143" s="432"/>
      <c r="K143" s="432"/>
      <c r="L143" s="432"/>
      <c r="M143" s="432"/>
      <c r="N143" s="432"/>
      <c r="O143" s="432"/>
      <c r="P143" s="432"/>
      <c r="Q143" s="432"/>
      <c r="R143" s="432"/>
      <c r="S143" s="432"/>
      <c r="T143" s="432"/>
      <c r="U143" s="432"/>
      <c r="V143" s="432"/>
      <c r="W143" s="432"/>
      <c r="X143" s="432"/>
      <c r="Y143" s="432"/>
      <c r="Z143" s="432"/>
      <c r="AA143" s="432"/>
      <c r="AB143" s="432"/>
      <c r="AC143" s="432"/>
      <c r="AD143" s="432"/>
      <c r="AE143" s="432"/>
      <c r="AF143" s="432"/>
      <c r="AG143" s="432"/>
      <c r="AH143" s="432"/>
      <c r="AI143" s="432"/>
      <c r="AJ143" s="432"/>
      <c r="AK143" s="432"/>
      <c r="AL143" s="432"/>
      <c r="AM143" s="432"/>
      <c r="AN143" s="432"/>
      <c r="AO143" s="432"/>
      <c r="AP143" s="432"/>
      <c r="AQ143" s="432"/>
      <c r="AR143" s="432"/>
      <c r="AS143" s="432"/>
      <c r="AT143" s="432"/>
      <c r="AU143" s="432"/>
      <c r="AV143" s="432"/>
      <c r="AW143" s="432"/>
      <c r="AX143" s="432"/>
      <c r="AY143" s="432"/>
    </row>
    <row r="144" spans="1:51" x14ac:dyDescent="0.2">
      <c r="A144" s="431"/>
      <c r="B144" s="432"/>
      <c r="C144" s="432"/>
      <c r="D144" s="432"/>
      <c r="E144" s="432"/>
      <c r="F144" s="432"/>
      <c r="G144" s="432"/>
      <c r="H144" s="432"/>
      <c r="I144" s="432"/>
      <c r="J144" s="432"/>
      <c r="K144" s="432"/>
      <c r="L144" s="432"/>
      <c r="M144" s="432"/>
      <c r="N144" s="432"/>
      <c r="O144" s="432"/>
      <c r="P144" s="432"/>
      <c r="Q144" s="432"/>
      <c r="R144" s="432"/>
      <c r="S144" s="432"/>
      <c r="T144" s="432"/>
      <c r="U144" s="432"/>
      <c r="V144" s="432"/>
      <c r="W144" s="432"/>
      <c r="X144" s="432"/>
      <c r="Y144" s="432"/>
      <c r="Z144" s="432"/>
      <c r="AA144" s="432"/>
      <c r="AB144" s="432"/>
      <c r="AC144" s="432"/>
      <c r="AD144" s="432"/>
      <c r="AE144" s="432"/>
      <c r="AF144" s="432"/>
      <c r="AG144" s="432"/>
      <c r="AH144" s="432"/>
      <c r="AI144" s="432"/>
      <c r="AJ144" s="432"/>
      <c r="AK144" s="432"/>
      <c r="AL144" s="432"/>
      <c r="AM144" s="432"/>
      <c r="AN144" s="432"/>
      <c r="AO144" s="432"/>
      <c r="AP144" s="432"/>
      <c r="AQ144" s="432"/>
      <c r="AR144" s="432"/>
      <c r="AS144" s="432"/>
      <c r="AT144" s="432"/>
      <c r="AU144" s="432"/>
      <c r="AV144" s="432"/>
      <c r="AW144" s="432"/>
      <c r="AX144" s="432"/>
      <c r="AY144" s="432"/>
    </row>
    <row r="145" spans="1:51" x14ac:dyDescent="0.2">
      <c r="A145" s="431"/>
      <c r="B145" s="432"/>
      <c r="C145" s="432"/>
      <c r="D145" s="432"/>
      <c r="E145" s="432"/>
      <c r="F145" s="432"/>
      <c r="G145" s="432"/>
      <c r="H145" s="432"/>
      <c r="I145" s="432"/>
      <c r="J145" s="432"/>
      <c r="K145" s="432"/>
      <c r="L145" s="432"/>
      <c r="M145" s="432"/>
      <c r="N145" s="432"/>
      <c r="O145" s="432"/>
      <c r="P145" s="432"/>
      <c r="Q145" s="432"/>
      <c r="R145" s="432"/>
      <c r="S145" s="432"/>
      <c r="T145" s="432"/>
      <c r="U145" s="432"/>
      <c r="V145" s="432"/>
      <c r="W145" s="432"/>
      <c r="X145" s="432"/>
      <c r="Y145" s="432"/>
      <c r="Z145" s="432"/>
      <c r="AA145" s="432"/>
      <c r="AB145" s="432"/>
      <c r="AC145" s="432"/>
      <c r="AD145" s="432"/>
      <c r="AE145" s="432"/>
      <c r="AF145" s="432"/>
      <c r="AG145" s="432"/>
      <c r="AH145" s="432"/>
      <c r="AI145" s="432"/>
      <c r="AJ145" s="432"/>
      <c r="AK145" s="432"/>
      <c r="AL145" s="432"/>
      <c r="AM145" s="432"/>
      <c r="AN145" s="432"/>
      <c r="AO145" s="432"/>
      <c r="AP145" s="432"/>
      <c r="AQ145" s="432"/>
      <c r="AR145" s="432"/>
      <c r="AS145" s="432"/>
      <c r="AT145" s="432"/>
      <c r="AU145" s="432"/>
      <c r="AV145" s="432"/>
      <c r="AW145" s="432"/>
      <c r="AX145" s="432"/>
      <c r="AY145" s="432"/>
    </row>
    <row r="146" spans="1:51" x14ac:dyDescent="0.2">
      <c r="A146" s="431"/>
      <c r="B146" s="432"/>
      <c r="C146" s="432"/>
      <c r="D146" s="432"/>
      <c r="E146" s="432"/>
      <c r="F146" s="432"/>
      <c r="G146" s="432"/>
      <c r="H146" s="432"/>
      <c r="I146" s="432"/>
      <c r="J146" s="432"/>
      <c r="K146" s="432"/>
      <c r="L146" s="432"/>
      <c r="M146" s="432"/>
      <c r="N146" s="432"/>
      <c r="O146" s="432"/>
      <c r="P146" s="432"/>
      <c r="Q146" s="432"/>
      <c r="R146" s="432"/>
      <c r="S146" s="432"/>
      <c r="T146" s="432"/>
      <c r="U146" s="432"/>
      <c r="V146" s="432"/>
      <c r="W146" s="432"/>
      <c r="X146" s="432"/>
      <c r="Y146" s="432"/>
      <c r="Z146" s="432"/>
      <c r="AA146" s="432"/>
      <c r="AB146" s="432"/>
      <c r="AC146" s="432"/>
      <c r="AD146" s="432"/>
      <c r="AE146" s="432"/>
      <c r="AF146" s="432"/>
      <c r="AG146" s="432"/>
      <c r="AH146" s="432"/>
      <c r="AI146" s="432"/>
      <c r="AJ146" s="432"/>
      <c r="AK146" s="432"/>
      <c r="AL146" s="432"/>
      <c r="AM146" s="432"/>
      <c r="AN146" s="432"/>
      <c r="AO146" s="432"/>
      <c r="AP146" s="432"/>
      <c r="AQ146" s="432"/>
      <c r="AR146" s="432"/>
      <c r="AS146" s="432"/>
      <c r="AT146" s="432"/>
      <c r="AU146" s="432"/>
      <c r="AV146" s="432"/>
      <c r="AW146" s="432"/>
      <c r="AX146" s="432"/>
      <c r="AY146" s="432"/>
    </row>
    <row r="147" spans="1:51" x14ac:dyDescent="0.2">
      <c r="A147" s="431"/>
      <c r="B147" s="432"/>
      <c r="C147" s="432"/>
      <c r="D147" s="432"/>
      <c r="E147" s="432"/>
      <c r="F147" s="432"/>
      <c r="G147" s="432"/>
      <c r="H147" s="432"/>
      <c r="I147" s="432"/>
      <c r="J147" s="432"/>
      <c r="K147" s="432"/>
      <c r="L147" s="432"/>
      <c r="M147" s="432"/>
      <c r="N147" s="432"/>
      <c r="O147" s="432"/>
      <c r="P147" s="432"/>
      <c r="Q147" s="432"/>
      <c r="R147" s="432"/>
      <c r="S147" s="432"/>
      <c r="T147" s="432"/>
      <c r="U147" s="432"/>
      <c r="V147" s="432"/>
      <c r="W147" s="432"/>
      <c r="X147" s="432"/>
      <c r="Y147" s="432"/>
      <c r="Z147" s="432"/>
      <c r="AA147" s="432"/>
      <c r="AB147" s="432"/>
      <c r="AC147" s="432"/>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2"/>
      <c r="AY147" s="432"/>
    </row>
    <row r="148" spans="1:51" x14ac:dyDescent="0.2">
      <c r="A148" s="431"/>
      <c r="B148" s="432"/>
      <c r="C148" s="432"/>
      <c r="D148" s="432"/>
      <c r="E148" s="432"/>
      <c r="F148" s="432"/>
      <c r="G148" s="432"/>
      <c r="H148" s="432"/>
      <c r="I148" s="432"/>
      <c r="J148" s="432"/>
      <c r="K148" s="432"/>
      <c r="L148" s="432"/>
      <c r="M148" s="432"/>
      <c r="N148" s="432"/>
      <c r="O148" s="432"/>
      <c r="P148" s="432"/>
      <c r="Q148" s="432"/>
      <c r="R148" s="432"/>
      <c r="S148" s="432"/>
      <c r="T148" s="432"/>
      <c r="U148" s="432"/>
      <c r="V148" s="432"/>
      <c r="W148" s="432"/>
      <c r="X148" s="432"/>
      <c r="Y148" s="432"/>
      <c r="Z148" s="432"/>
      <c r="AA148" s="432"/>
      <c r="AB148" s="432"/>
      <c r="AC148" s="432"/>
      <c r="AD148" s="432"/>
      <c r="AE148" s="432"/>
      <c r="AF148" s="432"/>
      <c r="AG148" s="432"/>
      <c r="AH148" s="432"/>
      <c r="AI148" s="432"/>
      <c r="AJ148" s="432"/>
      <c r="AK148" s="432"/>
      <c r="AL148" s="432"/>
      <c r="AM148" s="432"/>
      <c r="AN148" s="432"/>
      <c r="AO148" s="432"/>
      <c r="AP148" s="432"/>
      <c r="AQ148" s="432"/>
      <c r="AR148" s="432"/>
      <c r="AS148" s="432"/>
      <c r="AT148" s="432"/>
      <c r="AU148" s="432"/>
      <c r="AV148" s="432"/>
      <c r="AW148" s="432"/>
      <c r="AX148" s="432"/>
      <c r="AY148" s="432"/>
    </row>
    <row r="149" spans="1:51" x14ac:dyDescent="0.2">
      <c r="A149" s="431"/>
      <c r="B149" s="432"/>
      <c r="C149" s="432"/>
      <c r="D149" s="432"/>
      <c r="E149" s="432"/>
      <c r="F149" s="432"/>
      <c r="G149" s="432"/>
      <c r="H149" s="432"/>
      <c r="I149" s="432"/>
      <c r="J149" s="432"/>
      <c r="K149" s="432"/>
      <c r="L149" s="432"/>
      <c r="M149" s="432"/>
      <c r="N149" s="432"/>
      <c r="O149" s="432"/>
      <c r="P149" s="432"/>
      <c r="Q149" s="432"/>
      <c r="R149" s="432"/>
      <c r="S149" s="432"/>
      <c r="T149" s="432"/>
      <c r="U149" s="432"/>
      <c r="V149" s="432"/>
      <c r="W149" s="432"/>
      <c r="X149" s="432"/>
      <c r="Y149" s="432"/>
      <c r="Z149" s="432"/>
      <c r="AA149" s="432"/>
      <c r="AB149" s="432"/>
      <c r="AC149" s="432"/>
      <c r="AD149" s="432"/>
      <c r="AE149" s="432"/>
      <c r="AF149" s="432"/>
      <c r="AG149" s="432"/>
      <c r="AH149" s="432"/>
      <c r="AI149" s="432"/>
      <c r="AJ149" s="432"/>
      <c r="AK149" s="432"/>
      <c r="AL149" s="432"/>
      <c r="AM149" s="432"/>
      <c r="AN149" s="432"/>
      <c r="AO149" s="432"/>
      <c r="AP149" s="432"/>
      <c r="AQ149" s="432"/>
      <c r="AR149" s="432"/>
      <c r="AS149" s="432"/>
      <c r="AT149" s="432"/>
      <c r="AU149" s="432"/>
      <c r="AV149" s="432"/>
      <c r="AW149" s="432"/>
      <c r="AX149" s="432"/>
      <c r="AY149" s="432"/>
    </row>
    <row r="150" spans="1:51" x14ac:dyDescent="0.2">
      <c r="A150" s="431"/>
      <c r="B150" s="432"/>
      <c r="C150" s="432"/>
      <c r="D150" s="432"/>
      <c r="E150" s="432"/>
      <c r="F150" s="432"/>
      <c r="G150" s="432"/>
      <c r="H150" s="432"/>
      <c r="I150" s="432"/>
      <c r="J150" s="432"/>
      <c r="K150" s="432"/>
      <c r="L150" s="432"/>
      <c r="M150" s="432"/>
      <c r="N150" s="432"/>
      <c r="O150" s="432"/>
      <c r="P150" s="432"/>
      <c r="Q150" s="432"/>
      <c r="R150" s="432"/>
      <c r="S150" s="432"/>
      <c r="T150" s="432"/>
      <c r="U150" s="432"/>
      <c r="V150" s="432"/>
      <c r="W150" s="432"/>
      <c r="X150" s="432"/>
      <c r="Y150" s="432"/>
      <c r="Z150" s="432"/>
      <c r="AA150" s="432"/>
      <c r="AB150" s="432"/>
      <c r="AC150" s="432"/>
      <c r="AD150" s="432"/>
      <c r="AE150" s="432"/>
      <c r="AF150" s="432"/>
      <c r="AG150" s="432"/>
      <c r="AH150" s="432"/>
      <c r="AI150" s="432"/>
      <c r="AJ150" s="432"/>
      <c r="AK150" s="432"/>
      <c r="AL150" s="432"/>
      <c r="AM150" s="432"/>
      <c r="AN150" s="432"/>
      <c r="AO150" s="432"/>
      <c r="AP150" s="432"/>
      <c r="AQ150" s="432"/>
      <c r="AR150" s="432"/>
      <c r="AS150" s="432"/>
      <c r="AT150" s="432"/>
      <c r="AU150" s="432"/>
      <c r="AV150" s="432"/>
      <c r="AW150" s="432"/>
      <c r="AX150" s="432"/>
      <c r="AY150" s="432"/>
    </row>
    <row r="151" spans="1:51" x14ac:dyDescent="0.2">
      <c r="A151" s="431"/>
      <c r="B151" s="432"/>
      <c r="C151" s="432"/>
      <c r="D151" s="432"/>
      <c r="E151" s="432"/>
      <c r="F151" s="432"/>
      <c r="G151" s="432"/>
      <c r="H151" s="432"/>
      <c r="I151" s="432"/>
      <c r="J151" s="432"/>
      <c r="K151" s="432"/>
      <c r="L151" s="432"/>
      <c r="M151" s="432"/>
      <c r="N151" s="432"/>
      <c r="O151" s="432"/>
      <c r="P151" s="432"/>
      <c r="Q151" s="432"/>
      <c r="R151" s="432"/>
      <c r="S151" s="432"/>
      <c r="T151" s="432"/>
      <c r="U151" s="432"/>
      <c r="V151" s="432"/>
      <c r="W151" s="432"/>
      <c r="X151" s="432"/>
      <c r="Y151" s="432"/>
      <c r="Z151" s="432"/>
      <c r="AA151" s="432"/>
      <c r="AB151" s="432"/>
      <c r="AC151" s="432"/>
      <c r="AD151" s="432"/>
      <c r="AE151" s="432"/>
      <c r="AF151" s="432"/>
      <c r="AG151" s="432"/>
      <c r="AH151" s="432"/>
      <c r="AI151" s="432"/>
      <c r="AJ151" s="432"/>
      <c r="AK151" s="432"/>
      <c r="AL151" s="432"/>
      <c r="AM151" s="432"/>
      <c r="AN151" s="432"/>
      <c r="AO151" s="432"/>
      <c r="AP151" s="432"/>
      <c r="AQ151" s="432"/>
      <c r="AR151" s="432"/>
      <c r="AS151" s="432"/>
      <c r="AT151" s="432"/>
      <c r="AU151" s="432"/>
      <c r="AV151" s="432"/>
      <c r="AW151" s="432"/>
      <c r="AX151" s="432"/>
      <c r="AY151" s="432"/>
    </row>
    <row r="152" spans="1:51" x14ac:dyDescent="0.2">
      <c r="A152" s="431"/>
      <c r="B152" s="432"/>
      <c r="C152" s="432"/>
      <c r="D152" s="432"/>
      <c r="E152" s="432"/>
      <c r="F152" s="432"/>
      <c r="G152" s="432"/>
      <c r="H152" s="432"/>
      <c r="I152" s="432"/>
      <c r="J152" s="432"/>
      <c r="K152" s="432"/>
      <c r="L152" s="432"/>
      <c r="M152" s="432"/>
      <c r="N152" s="432"/>
      <c r="O152" s="432"/>
      <c r="P152" s="432"/>
      <c r="Q152" s="432"/>
      <c r="R152" s="432"/>
      <c r="S152" s="432"/>
      <c r="T152" s="432"/>
      <c r="U152" s="432"/>
      <c r="V152" s="432"/>
      <c r="W152" s="432"/>
      <c r="X152" s="432"/>
      <c r="Y152" s="432"/>
      <c r="Z152" s="432"/>
      <c r="AA152" s="432"/>
      <c r="AB152" s="432"/>
      <c r="AC152" s="432"/>
      <c r="AD152" s="432"/>
      <c r="AE152" s="432"/>
      <c r="AF152" s="432"/>
      <c r="AG152" s="432"/>
      <c r="AH152" s="432"/>
      <c r="AI152" s="432"/>
      <c r="AJ152" s="432"/>
      <c r="AK152" s="432"/>
      <c r="AL152" s="432"/>
      <c r="AM152" s="432"/>
      <c r="AN152" s="432"/>
      <c r="AO152" s="432"/>
      <c r="AP152" s="432"/>
      <c r="AQ152" s="432"/>
      <c r="AR152" s="432"/>
      <c r="AS152" s="432"/>
      <c r="AT152" s="432"/>
      <c r="AU152" s="432"/>
      <c r="AV152" s="432"/>
      <c r="AW152" s="432"/>
      <c r="AX152" s="432"/>
      <c r="AY152" s="432"/>
    </row>
    <row r="153" spans="1:51" x14ac:dyDescent="0.2">
      <c r="A153" s="431"/>
      <c r="B153" s="432"/>
      <c r="C153" s="432"/>
      <c r="D153" s="432"/>
      <c r="E153" s="432"/>
      <c r="F153" s="432"/>
      <c r="G153" s="432"/>
      <c r="H153" s="432"/>
      <c r="I153" s="432"/>
      <c r="J153" s="432"/>
      <c r="K153" s="432"/>
      <c r="L153" s="432"/>
      <c r="M153" s="432"/>
      <c r="N153" s="432"/>
      <c r="O153" s="432"/>
      <c r="P153" s="432"/>
      <c r="Q153" s="432"/>
      <c r="R153" s="432"/>
      <c r="S153" s="432"/>
      <c r="T153" s="432"/>
      <c r="U153" s="432"/>
      <c r="V153" s="432"/>
      <c r="W153" s="432"/>
      <c r="X153" s="432"/>
      <c r="Y153" s="432"/>
      <c r="Z153" s="432"/>
      <c r="AA153" s="432"/>
      <c r="AB153" s="432"/>
      <c r="AC153" s="432"/>
      <c r="AD153" s="432"/>
      <c r="AE153" s="432"/>
      <c r="AF153" s="432"/>
      <c r="AG153" s="432"/>
      <c r="AH153" s="432"/>
      <c r="AI153" s="432"/>
      <c r="AJ153" s="432"/>
      <c r="AK153" s="432"/>
      <c r="AL153" s="432"/>
      <c r="AM153" s="432"/>
      <c r="AN153" s="432"/>
      <c r="AO153" s="432"/>
      <c r="AP153" s="432"/>
      <c r="AQ153" s="432"/>
      <c r="AR153" s="432"/>
      <c r="AS153" s="432"/>
      <c r="AT153" s="432"/>
      <c r="AU153" s="432"/>
      <c r="AV153" s="432"/>
      <c r="AW153" s="432"/>
      <c r="AX153" s="432"/>
      <c r="AY153" s="432"/>
    </row>
    <row r="154" spans="1:51" x14ac:dyDescent="0.2">
      <c r="A154" s="431"/>
      <c r="B154" s="432"/>
      <c r="C154" s="432"/>
      <c r="D154" s="432"/>
      <c r="E154" s="432"/>
      <c r="F154" s="432"/>
      <c r="G154" s="432"/>
      <c r="H154" s="432"/>
      <c r="I154" s="432"/>
      <c r="J154" s="432"/>
      <c r="K154" s="432"/>
      <c r="L154" s="432"/>
      <c r="M154" s="432"/>
      <c r="N154" s="432"/>
      <c r="O154" s="432"/>
      <c r="P154" s="432"/>
      <c r="Q154" s="432"/>
      <c r="R154" s="432"/>
      <c r="S154" s="432"/>
      <c r="T154" s="432"/>
      <c r="U154" s="432"/>
      <c r="V154" s="432"/>
      <c r="W154" s="432"/>
      <c r="X154" s="432"/>
      <c r="Y154" s="432"/>
      <c r="Z154" s="432"/>
      <c r="AA154" s="432"/>
      <c r="AB154" s="432"/>
      <c r="AC154" s="432"/>
      <c r="AD154" s="432"/>
      <c r="AE154" s="432"/>
      <c r="AF154" s="432"/>
      <c r="AG154" s="432"/>
      <c r="AH154" s="432"/>
      <c r="AI154" s="432"/>
      <c r="AJ154" s="432"/>
      <c r="AK154" s="432"/>
      <c r="AL154" s="432"/>
      <c r="AM154" s="432"/>
      <c r="AN154" s="432"/>
      <c r="AO154" s="432"/>
      <c r="AP154" s="432"/>
      <c r="AQ154" s="432"/>
      <c r="AR154" s="432"/>
      <c r="AS154" s="432"/>
      <c r="AT154" s="432"/>
      <c r="AU154" s="432"/>
      <c r="AV154" s="432"/>
      <c r="AW154" s="432"/>
      <c r="AX154" s="432"/>
      <c r="AY154" s="432"/>
    </row>
    <row r="155" spans="1:51" x14ac:dyDescent="0.2">
      <c r="A155" s="431"/>
      <c r="B155" s="432"/>
      <c r="C155" s="432"/>
      <c r="D155" s="432"/>
      <c r="E155" s="432"/>
      <c r="F155" s="432"/>
      <c r="G155" s="432"/>
      <c r="H155" s="432"/>
      <c r="I155" s="432"/>
      <c r="J155" s="432"/>
      <c r="K155" s="432"/>
      <c r="L155" s="432"/>
      <c r="M155" s="432"/>
      <c r="N155" s="432"/>
      <c r="O155" s="432"/>
      <c r="P155" s="432"/>
      <c r="Q155" s="432"/>
      <c r="R155" s="432"/>
      <c r="S155" s="432"/>
      <c r="T155" s="432"/>
      <c r="U155" s="432"/>
      <c r="V155" s="432"/>
      <c r="W155" s="432"/>
      <c r="X155" s="432"/>
      <c r="Y155" s="432"/>
      <c r="Z155" s="432"/>
      <c r="AA155" s="432"/>
      <c r="AB155" s="432"/>
      <c r="AC155" s="432"/>
      <c r="AD155" s="432"/>
      <c r="AE155" s="432"/>
      <c r="AF155" s="432"/>
      <c r="AG155" s="432"/>
      <c r="AH155" s="432"/>
      <c r="AI155" s="432"/>
      <c r="AJ155" s="432"/>
      <c r="AK155" s="432"/>
      <c r="AL155" s="432"/>
      <c r="AM155" s="432"/>
      <c r="AN155" s="432"/>
      <c r="AO155" s="432"/>
      <c r="AP155" s="432"/>
      <c r="AQ155" s="432"/>
      <c r="AR155" s="432"/>
      <c r="AS155" s="432"/>
      <c r="AT155" s="432"/>
      <c r="AU155" s="432"/>
      <c r="AV155" s="432"/>
      <c r="AW155" s="432"/>
      <c r="AX155" s="432"/>
      <c r="AY155" s="432"/>
    </row>
    <row r="156" spans="1:51" x14ac:dyDescent="0.2">
      <c r="A156" s="431"/>
      <c r="B156" s="432"/>
      <c r="C156" s="432"/>
      <c r="D156" s="432"/>
      <c r="E156" s="432"/>
      <c r="F156" s="432"/>
      <c r="G156" s="432"/>
      <c r="H156" s="432"/>
      <c r="I156" s="432"/>
      <c r="J156" s="432"/>
      <c r="K156" s="432"/>
      <c r="L156" s="432"/>
      <c r="M156" s="432"/>
      <c r="N156" s="432"/>
      <c r="O156" s="432"/>
      <c r="P156" s="432"/>
      <c r="Q156" s="432"/>
      <c r="R156" s="432"/>
      <c r="S156" s="432"/>
      <c r="T156" s="432"/>
      <c r="U156" s="432"/>
      <c r="V156" s="432"/>
      <c r="W156" s="432"/>
      <c r="X156" s="432"/>
      <c r="Y156" s="432"/>
      <c r="Z156" s="432"/>
      <c r="AA156" s="432"/>
      <c r="AB156" s="432"/>
      <c r="AC156" s="432"/>
      <c r="AD156" s="432"/>
      <c r="AE156" s="432"/>
      <c r="AF156" s="432"/>
      <c r="AG156" s="432"/>
      <c r="AH156" s="432"/>
      <c r="AI156" s="432"/>
      <c r="AJ156" s="432"/>
      <c r="AK156" s="432"/>
      <c r="AL156" s="432"/>
      <c r="AM156" s="432"/>
      <c r="AN156" s="432"/>
      <c r="AO156" s="432"/>
      <c r="AP156" s="432"/>
      <c r="AQ156" s="432"/>
      <c r="AR156" s="432"/>
      <c r="AS156" s="432"/>
      <c r="AT156" s="432"/>
      <c r="AU156" s="432"/>
      <c r="AV156" s="432"/>
      <c r="AW156" s="432"/>
      <c r="AX156" s="432"/>
      <c r="AY156" s="432"/>
    </row>
    <row r="157" spans="1:51" x14ac:dyDescent="0.2">
      <c r="A157" s="431"/>
      <c r="B157" s="432"/>
      <c r="C157" s="432"/>
      <c r="D157" s="432"/>
      <c r="E157" s="432"/>
      <c r="F157" s="432"/>
      <c r="G157" s="432"/>
      <c r="H157" s="432"/>
      <c r="I157" s="432"/>
      <c r="J157" s="432"/>
      <c r="K157" s="432"/>
      <c r="L157" s="432"/>
      <c r="M157" s="432"/>
      <c r="N157" s="432"/>
      <c r="O157" s="432"/>
      <c r="P157" s="432"/>
      <c r="Q157" s="432"/>
      <c r="R157" s="432"/>
      <c r="S157" s="432"/>
      <c r="T157" s="432"/>
      <c r="U157" s="432"/>
      <c r="V157" s="432"/>
      <c r="W157" s="432"/>
      <c r="X157" s="432"/>
      <c r="Y157" s="432"/>
      <c r="Z157" s="432"/>
      <c r="AA157" s="432"/>
      <c r="AB157" s="432"/>
      <c r="AC157" s="432"/>
      <c r="AD157" s="432"/>
      <c r="AE157" s="432"/>
      <c r="AF157" s="432"/>
      <c r="AG157" s="432"/>
      <c r="AH157" s="432"/>
      <c r="AI157" s="432"/>
      <c r="AJ157" s="432"/>
      <c r="AK157" s="432"/>
      <c r="AL157" s="432"/>
      <c r="AM157" s="432"/>
      <c r="AN157" s="432"/>
      <c r="AO157" s="432"/>
      <c r="AP157" s="432"/>
      <c r="AQ157" s="432"/>
      <c r="AR157" s="432"/>
      <c r="AS157" s="432"/>
      <c r="AT157" s="432"/>
      <c r="AU157" s="432"/>
      <c r="AV157" s="432"/>
      <c r="AW157" s="432"/>
      <c r="AX157" s="432"/>
      <c r="AY157" s="432"/>
    </row>
    <row r="158" spans="1:51" x14ac:dyDescent="0.2">
      <c r="A158" s="431"/>
      <c r="B158" s="432"/>
      <c r="C158" s="432"/>
      <c r="D158" s="432"/>
      <c r="E158" s="432"/>
      <c r="F158" s="432"/>
      <c r="G158" s="432"/>
      <c r="H158" s="432"/>
      <c r="I158" s="432"/>
      <c r="J158" s="432"/>
      <c r="K158" s="432"/>
      <c r="L158" s="432"/>
      <c r="M158" s="432"/>
      <c r="N158" s="432"/>
      <c r="O158" s="432"/>
      <c r="P158" s="432"/>
      <c r="Q158" s="432"/>
      <c r="R158" s="432"/>
      <c r="S158" s="432"/>
      <c r="T158" s="432"/>
      <c r="U158" s="432"/>
      <c r="V158" s="432"/>
      <c r="W158" s="432"/>
      <c r="X158" s="432"/>
      <c r="Y158" s="432"/>
      <c r="Z158" s="432"/>
      <c r="AA158" s="432"/>
      <c r="AB158" s="432"/>
      <c r="AC158" s="432"/>
      <c r="AD158" s="432"/>
      <c r="AE158" s="432"/>
      <c r="AF158" s="432"/>
      <c r="AG158" s="432"/>
      <c r="AH158" s="432"/>
      <c r="AI158" s="432"/>
      <c r="AJ158" s="432"/>
      <c r="AK158" s="432"/>
      <c r="AL158" s="432"/>
      <c r="AM158" s="432"/>
      <c r="AN158" s="432"/>
      <c r="AO158" s="432"/>
      <c r="AP158" s="432"/>
      <c r="AQ158" s="432"/>
      <c r="AR158" s="432"/>
      <c r="AS158" s="432"/>
      <c r="AT158" s="432"/>
      <c r="AU158" s="432"/>
      <c r="AV158" s="432"/>
      <c r="AW158" s="432"/>
      <c r="AX158" s="432"/>
      <c r="AY158" s="432"/>
    </row>
    <row r="159" spans="1:51" x14ac:dyDescent="0.2">
      <c r="A159" s="431"/>
      <c r="B159" s="432"/>
      <c r="C159" s="432"/>
      <c r="D159" s="432"/>
      <c r="E159" s="432"/>
      <c r="F159" s="432"/>
      <c r="G159" s="432"/>
      <c r="H159" s="432"/>
      <c r="I159" s="432"/>
      <c r="J159" s="432"/>
      <c r="K159" s="432"/>
      <c r="L159" s="432"/>
      <c r="M159" s="432"/>
      <c r="N159" s="432"/>
      <c r="O159" s="432"/>
      <c r="P159" s="432"/>
      <c r="Q159" s="432"/>
      <c r="R159" s="432"/>
      <c r="S159" s="432"/>
      <c r="T159" s="432"/>
      <c r="U159" s="432"/>
      <c r="V159" s="432"/>
      <c r="W159" s="432"/>
      <c r="X159" s="432"/>
      <c r="Y159" s="432"/>
      <c r="Z159" s="432"/>
      <c r="AA159" s="432"/>
      <c r="AB159" s="432"/>
      <c r="AC159" s="432"/>
      <c r="AD159" s="432"/>
      <c r="AE159" s="432"/>
      <c r="AF159" s="432"/>
      <c r="AG159" s="432"/>
      <c r="AH159" s="432"/>
      <c r="AI159" s="432"/>
      <c r="AJ159" s="432"/>
      <c r="AK159" s="432"/>
      <c r="AL159" s="432"/>
      <c r="AM159" s="432"/>
      <c r="AN159" s="432"/>
      <c r="AO159" s="432"/>
      <c r="AP159" s="432"/>
      <c r="AQ159" s="432"/>
      <c r="AR159" s="432"/>
      <c r="AS159" s="432"/>
      <c r="AT159" s="432"/>
      <c r="AU159" s="432"/>
      <c r="AV159" s="432"/>
      <c r="AW159" s="432"/>
      <c r="AX159" s="432"/>
      <c r="AY159" s="432"/>
    </row>
    <row r="160" spans="1:51" x14ac:dyDescent="0.2">
      <c r="A160" s="431"/>
      <c r="B160" s="432"/>
      <c r="C160" s="432"/>
      <c r="D160" s="432"/>
      <c r="E160" s="432"/>
      <c r="F160" s="432"/>
      <c r="G160" s="432"/>
      <c r="H160" s="432"/>
      <c r="I160" s="432"/>
      <c r="J160" s="432"/>
      <c r="K160" s="432"/>
      <c r="L160" s="432"/>
      <c r="M160" s="432"/>
      <c r="N160" s="432"/>
      <c r="O160" s="432"/>
      <c r="P160" s="432"/>
      <c r="Q160" s="432"/>
      <c r="R160" s="432"/>
      <c r="S160" s="432"/>
      <c r="T160" s="432"/>
      <c r="U160" s="432"/>
      <c r="V160" s="432"/>
      <c r="W160" s="432"/>
      <c r="X160" s="432"/>
      <c r="Y160" s="432"/>
      <c r="Z160" s="432"/>
      <c r="AA160" s="432"/>
      <c r="AB160" s="432"/>
      <c r="AC160" s="432"/>
      <c r="AD160" s="432"/>
      <c r="AE160" s="432"/>
      <c r="AF160" s="432"/>
      <c r="AG160" s="432"/>
      <c r="AH160" s="432"/>
      <c r="AI160" s="432"/>
      <c r="AJ160" s="432"/>
      <c r="AK160" s="432"/>
      <c r="AL160" s="432"/>
      <c r="AM160" s="432"/>
      <c r="AN160" s="432"/>
      <c r="AO160" s="432"/>
      <c r="AP160" s="432"/>
      <c r="AQ160" s="432"/>
      <c r="AR160" s="432"/>
      <c r="AS160" s="432"/>
      <c r="AT160" s="432"/>
      <c r="AU160" s="432"/>
      <c r="AV160" s="432"/>
      <c r="AW160" s="432"/>
      <c r="AX160" s="432"/>
      <c r="AY160" s="432"/>
    </row>
    <row r="161" spans="1:51" x14ac:dyDescent="0.2">
      <c r="A161" s="431"/>
      <c r="B161" s="432"/>
      <c r="C161" s="432"/>
      <c r="D161" s="432"/>
      <c r="E161" s="432"/>
      <c r="F161" s="432"/>
      <c r="G161" s="432"/>
      <c r="H161" s="432"/>
      <c r="I161" s="432"/>
      <c r="J161" s="432"/>
      <c r="K161" s="432"/>
      <c r="L161" s="432"/>
      <c r="M161" s="432"/>
      <c r="N161" s="432"/>
      <c r="O161" s="432"/>
      <c r="P161" s="432"/>
      <c r="Q161" s="432"/>
      <c r="R161" s="432"/>
      <c r="S161" s="432"/>
      <c r="T161" s="432"/>
      <c r="U161" s="432"/>
      <c r="V161" s="432"/>
      <c r="W161" s="432"/>
      <c r="X161" s="432"/>
      <c r="Y161" s="432"/>
      <c r="Z161" s="432"/>
      <c r="AA161" s="432"/>
      <c r="AB161" s="432"/>
      <c r="AC161" s="432"/>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2"/>
      <c r="AY161" s="432"/>
    </row>
    <row r="162" spans="1:51" x14ac:dyDescent="0.2">
      <c r="A162" s="431"/>
      <c r="B162" s="432"/>
      <c r="C162" s="432"/>
      <c r="D162" s="432"/>
      <c r="E162" s="432"/>
      <c r="F162" s="432"/>
      <c r="G162" s="432"/>
      <c r="H162" s="432"/>
      <c r="I162" s="432"/>
      <c r="J162" s="432"/>
      <c r="K162" s="432"/>
      <c r="L162" s="432"/>
      <c r="M162" s="432"/>
      <c r="N162" s="432"/>
      <c r="O162" s="432"/>
      <c r="P162" s="432"/>
      <c r="Q162" s="432"/>
      <c r="R162" s="432"/>
      <c r="S162" s="432"/>
      <c r="T162" s="432"/>
      <c r="U162" s="432"/>
      <c r="V162" s="432"/>
      <c r="W162" s="432"/>
      <c r="X162" s="432"/>
      <c r="Y162" s="432"/>
      <c r="Z162" s="432"/>
      <c r="AA162" s="432"/>
      <c r="AB162" s="432"/>
      <c r="AC162" s="432"/>
      <c r="AD162" s="432"/>
      <c r="AE162" s="432"/>
      <c r="AF162" s="432"/>
      <c r="AG162" s="432"/>
      <c r="AH162" s="432"/>
      <c r="AI162" s="432"/>
      <c r="AJ162" s="432"/>
      <c r="AK162" s="432"/>
      <c r="AL162" s="432"/>
      <c r="AM162" s="432"/>
      <c r="AN162" s="432"/>
      <c r="AO162" s="432"/>
      <c r="AP162" s="432"/>
      <c r="AQ162" s="432"/>
      <c r="AR162" s="432"/>
      <c r="AS162" s="432"/>
      <c r="AT162" s="432"/>
      <c r="AU162" s="432"/>
      <c r="AV162" s="432"/>
      <c r="AW162" s="432"/>
      <c r="AX162" s="432"/>
      <c r="AY162" s="432"/>
    </row>
    <row r="163" spans="1:51" x14ac:dyDescent="0.2">
      <c r="A163" s="431"/>
      <c r="B163" s="432"/>
      <c r="C163" s="432"/>
      <c r="D163" s="432"/>
      <c r="E163" s="432"/>
      <c r="F163" s="432"/>
      <c r="G163" s="432"/>
      <c r="H163" s="432"/>
      <c r="I163" s="432"/>
      <c r="J163" s="432"/>
      <c r="K163" s="432"/>
      <c r="L163" s="432"/>
      <c r="M163" s="432"/>
      <c r="N163" s="432"/>
      <c r="O163" s="432"/>
      <c r="P163" s="432"/>
      <c r="Q163" s="432"/>
      <c r="R163" s="432"/>
      <c r="S163" s="432"/>
      <c r="T163" s="432"/>
      <c r="U163" s="432"/>
      <c r="V163" s="432"/>
      <c r="W163" s="432"/>
      <c r="X163" s="432"/>
      <c r="Y163" s="432"/>
      <c r="Z163" s="432"/>
      <c r="AA163" s="432"/>
      <c r="AB163" s="432"/>
      <c r="AC163" s="432"/>
      <c r="AD163" s="432"/>
      <c r="AE163" s="432"/>
      <c r="AF163" s="432"/>
      <c r="AG163" s="432"/>
      <c r="AH163" s="432"/>
      <c r="AI163" s="432"/>
      <c r="AJ163" s="432"/>
      <c r="AK163" s="432"/>
      <c r="AL163" s="432"/>
      <c r="AM163" s="432"/>
      <c r="AN163" s="432"/>
      <c r="AO163" s="432"/>
      <c r="AP163" s="432"/>
      <c r="AQ163" s="432"/>
      <c r="AR163" s="432"/>
      <c r="AS163" s="432"/>
      <c r="AT163" s="432"/>
      <c r="AU163" s="432"/>
      <c r="AV163" s="432"/>
      <c r="AW163" s="432"/>
      <c r="AX163" s="432"/>
      <c r="AY163" s="432"/>
    </row>
    <row r="164" spans="1:51" x14ac:dyDescent="0.2">
      <c r="A164" s="431"/>
      <c r="B164" s="432"/>
      <c r="C164" s="432"/>
      <c r="D164" s="432"/>
      <c r="E164" s="432"/>
      <c r="F164" s="432"/>
      <c r="G164" s="432"/>
      <c r="H164" s="432"/>
      <c r="I164" s="432"/>
      <c r="J164" s="432"/>
      <c r="K164" s="432"/>
      <c r="L164" s="432"/>
      <c r="M164" s="432"/>
      <c r="N164" s="432"/>
      <c r="O164" s="432"/>
      <c r="P164" s="432"/>
      <c r="Q164" s="432"/>
      <c r="R164" s="432"/>
      <c r="S164" s="432"/>
      <c r="T164" s="432"/>
      <c r="U164" s="432"/>
      <c r="V164" s="432"/>
      <c r="W164" s="432"/>
      <c r="X164" s="432"/>
      <c r="Y164" s="432"/>
      <c r="Z164" s="432"/>
      <c r="AA164" s="432"/>
      <c r="AB164" s="432"/>
      <c r="AC164" s="432"/>
      <c r="AD164" s="432"/>
      <c r="AE164" s="432"/>
      <c r="AF164" s="432"/>
      <c r="AG164" s="432"/>
      <c r="AH164" s="432"/>
      <c r="AI164" s="432"/>
      <c r="AJ164" s="432"/>
      <c r="AK164" s="432"/>
      <c r="AL164" s="432"/>
      <c r="AM164" s="432"/>
      <c r="AN164" s="432"/>
      <c r="AO164" s="432"/>
      <c r="AP164" s="432"/>
      <c r="AQ164" s="432"/>
      <c r="AR164" s="432"/>
      <c r="AS164" s="432"/>
      <c r="AT164" s="432"/>
      <c r="AU164" s="432"/>
      <c r="AV164" s="432"/>
      <c r="AW164" s="432"/>
      <c r="AX164" s="432"/>
      <c r="AY164" s="432"/>
    </row>
    <row r="165" spans="1:51" x14ac:dyDescent="0.2">
      <c r="A165" s="431"/>
      <c r="B165" s="432"/>
      <c r="C165" s="432"/>
      <c r="D165" s="432"/>
      <c r="E165" s="432"/>
      <c r="F165" s="432"/>
      <c r="G165" s="432"/>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432"/>
      <c r="AL165" s="432"/>
      <c r="AM165" s="432"/>
      <c r="AN165" s="432"/>
      <c r="AO165" s="432"/>
      <c r="AP165" s="432"/>
      <c r="AQ165" s="432"/>
      <c r="AR165" s="432"/>
      <c r="AS165" s="432"/>
      <c r="AT165" s="432"/>
      <c r="AU165" s="432"/>
      <c r="AV165" s="432"/>
      <c r="AW165" s="432"/>
      <c r="AX165" s="432"/>
      <c r="AY165" s="432"/>
    </row>
    <row r="166" spans="1:51" x14ac:dyDescent="0.2">
      <c r="A166" s="431"/>
      <c r="B166" s="432"/>
      <c r="C166" s="432"/>
      <c r="D166" s="432"/>
      <c r="E166" s="432"/>
      <c r="F166" s="432"/>
      <c r="G166" s="432"/>
      <c r="H166" s="432"/>
      <c r="I166" s="432"/>
      <c r="J166" s="432"/>
      <c r="K166" s="432"/>
      <c r="L166" s="432"/>
      <c r="M166" s="432"/>
      <c r="N166" s="432"/>
      <c r="O166" s="432"/>
      <c r="P166" s="432"/>
      <c r="Q166" s="432"/>
      <c r="R166" s="432"/>
      <c r="S166" s="432"/>
      <c r="T166" s="432"/>
      <c r="U166" s="432"/>
      <c r="V166" s="432"/>
      <c r="W166" s="432"/>
      <c r="X166" s="432"/>
      <c r="Y166" s="432"/>
      <c r="Z166" s="432"/>
      <c r="AA166" s="432"/>
      <c r="AB166" s="432"/>
      <c r="AC166" s="432"/>
      <c r="AD166" s="432"/>
      <c r="AE166" s="432"/>
      <c r="AF166" s="432"/>
      <c r="AG166" s="432"/>
      <c r="AH166" s="432"/>
      <c r="AI166" s="432"/>
      <c r="AJ166" s="432"/>
      <c r="AK166" s="432"/>
      <c r="AL166" s="432"/>
      <c r="AM166" s="432"/>
      <c r="AN166" s="432"/>
      <c r="AO166" s="432"/>
      <c r="AP166" s="432"/>
      <c r="AQ166" s="432"/>
      <c r="AR166" s="432"/>
      <c r="AS166" s="432"/>
      <c r="AT166" s="432"/>
      <c r="AU166" s="432"/>
      <c r="AV166" s="432"/>
      <c r="AW166" s="432"/>
      <c r="AX166" s="432"/>
      <c r="AY166" s="432"/>
    </row>
    <row r="167" spans="1:51" x14ac:dyDescent="0.2">
      <c r="A167" s="431"/>
      <c r="B167" s="432"/>
      <c r="C167" s="432"/>
      <c r="D167" s="432"/>
      <c r="E167" s="432"/>
      <c r="F167" s="432"/>
      <c r="G167" s="432"/>
      <c r="H167" s="432"/>
      <c r="I167" s="432"/>
      <c r="J167" s="432"/>
      <c r="K167" s="432"/>
      <c r="L167" s="432"/>
      <c r="M167" s="432"/>
      <c r="N167" s="432"/>
      <c r="O167" s="432"/>
      <c r="P167" s="432"/>
      <c r="Q167" s="432"/>
      <c r="R167" s="432"/>
      <c r="S167" s="432"/>
      <c r="T167" s="432"/>
      <c r="U167" s="432"/>
      <c r="V167" s="432"/>
      <c r="W167" s="432"/>
      <c r="X167" s="432"/>
      <c r="Y167" s="432"/>
      <c r="Z167" s="432"/>
      <c r="AA167" s="432"/>
      <c r="AB167" s="432"/>
      <c r="AC167" s="432"/>
      <c r="AD167" s="432"/>
      <c r="AE167" s="432"/>
      <c r="AF167" s="432"/>
      <c r="AG167" s="432"/>
      <c r="AH167" s="432"/>
      <c r="AI167" s="432"/>
      <c r="AJ167" s="432"/>
      <c r="AK167" s="432"/>
      <c r="AL167" s="432"/>
      <c r="AM167" s="432"/>
      <c r="AN167" s="432"/>
      <c r="AO167" s="432"/>
      <c r="AP167" s="432"/>
      <c r="AQ167" s="432"/>
      <c r="AR167" s="432"/>
      <c r="AS167" s="432"/>
      <c r="AT167" s="432"/>
      <c r="AU167" s="432"/>
      <c r="AV167" s="432"/>
      <c r="AW167" s="432"/>
      <c r="AX167" s="432"/>
      <c r="AY167" s="432"/>
    </row>
    <row r="168" spans="1:51" x14ac:dyDescent="0.2">
      <c r="A168" s="431"/>
      <c r="B168" s="432"/>
      <c r="C168" s="432"/>
      <c r="D168" s="432"/>
      <c r="E168" s="432"/>
      <c r="F168" s="432"/>
      <c r="G168" s="432"/>
      <c r="H168" s="432"/>
      <c r="I168" s="432"/>
      <c r="J168" s="432"/>
      <c r="K168" s="432"/>
      <c r="L168" s="432"/>
      <c r="M168" s="432"/>
      <c r="N168" s="432"/>
      <c r="O168" s="432"/>
      <c r="P168" s="432"/>
      <c r="Q168" s="432"/>
      <c r="R168" s="432"/>
      <c r="S168" s="432"/>
      <c r="T168" s="432"/>
      <c r="U168" s="432"/>
      <c r="V168" s="432"/>
      <c r="W168" s="432"/>
      <c r="X168" s="432"/>
      <c r="Y168" s="432"/>
      <c r="Z168" s="432"/>
      <c r="AA168" s="432"/>
      <c r="AB168" s="432"/>
      <c r="AC168" s="432"/>
      <c r="AD168" s="432"/>
      <c r="AE168" s="432"/>
      <c r="AF168" s="432"/>
      <c r="AG168" s="432"/>
      <c r="AH168" s="432"/>
      <c r="AI168" s="432"/>
      <c r="AJ168" s="432"/>
      <c r="AK168" s="432"/>
      <c r="AL168" s="432"/>
      <c r="AM168" s="432"/>
      <c r="AN168" s="432"/>
      <c r="AO168" s="432"/>
      <c r="AP168" s="432"/>
      <c r="AQ168" s="432"/>
      <c r="AR168" s="432"/>
      <c r="AS168" s="432"/>
      <c r="AT168" s="432"/>
      <c r="AU168" s="432"/>
      <c r="AV168" s="432"/>
      <c r="AW168" s="432"/>
      <c r="AX168" s="432"/>
      <c r="AY168" s="432"/>
    </row>
    <row r="169" spans="1:51" x14ac:dyDescent="0.2">
      <c r="A169" s="431"/>
      <c r="B169" s="432"/>
      <c r="C169" s="432"/>
      <c r="D169" s="432"/>
      <c r="E169" s="432"/>
      <c r="F169" s="432"/>
      <c r="G169" s="432"/>
      <c r="H169" s="432"/>
      <c r="I169" s="432"/>
      <c r="J169" s="432"/>
      <c r="K169" s="432"/>
      <c r="L169" s="432"/>
      <c r="M169" s="432"/>
      <c r="N169" s="432"/>
      <c r="O169" s="432"/>
      <c r="P169" s="432"/>
      <c r="Q169" s="432"/>
      <c r="R169" s="432"/>
      <c r="S169" s="432"/>
      <c r="T169" s="432"/>
      <c r="U169" s="432"/>
      <c r="V169" s="432"/>
      <c r="W169" s="432"/>
      <c r="X169" s="432"/>
      <c r="Y169" s="432"/>
      <c r="Z169" s="432"/>
      <c r="AA169" s="432"/>
      <c r="AB169" s="432"/>
      <c r="AC169" s="432"/>
      <c r="AD169" s="432"/>
      <c r="AE169" s="432"/>
      <c r="AF169" s="432"/>
      <c r="AG169" s="432"/>
      <c r="AH169" s="432"/>
      <c r="AI169" s="432"/>
      <c r="AJ169" s="432"/>
      <c r="AK169" s="432"/>
      <c r="AL169" s="432"/>
      <c r="AM169" s="432"/>
      <c r="AN169" s="432"/>
      <c r="AO169" s="432"/>
      <c r="AP169" s="432"/>
      <c r="AQ169" s="432"/>
      <c r="AR169" s="432"/>
      <c r="AS169" s="432"/>
      <c r="AT169" s="432"/>
      <c r="AU169" s="432"/>
      <c r="AV169" s="432"/>
      <c r="AW169" s="432"/>
      <c r="AX169" s="432"/>
      <c r="AY169" s="432"/>
    </row>
    <row r="170" spans="1:51" x14ac:dyDescent="0.2">
      <c r="A170" s="431"/>
      <c r="B170" s="432"/>
      <c r="C170" s="432"/>
      <c r="D170" s="432"/>
      <c r="E170" s="432"/>
      <c r="F170" s="432"/>
      <c r="G170" s="432"/>
      <c r="H170" s="432"/>
      <c r="I170" s="432"/>
      <c r="J170" s="432"/>
      <c r="K170" s="432"/>
      <c r="L170" s="432"/>
      <c r="M170" s="432"/>
      <c r="N170" s="432"/>
      <c r="O170" s="432"/>
      <c r="P170" s="432"/>
      <c r="Q170" s="432"/>
      <c r="R170" s="432"/>
      <c r="S170" s="432"/>
      <c r="T170" s="432"/>
      <c r="U170" s="432"/>
      <c r="V170" s="432"/>
      <c r="W170" s="432"/>
      <c r="X170" s="432"/>
      <c r="Y170" s="432"/>
      <c r="Z170" s="432"/>
      <c r="AA170" s="432"/>
      <c r="AB170" s="432"/>
      <c r="AC170" s="432"/>
      <c r="AD170" s="432"/>
      <c r="AE170" s="432"/>
      <c r="AF170" s="432"/>
      <c r="AG170" s="432"/>
      <c r="AH170" s="432"/>
      <c r="AI170" s="432"/>
      <c r="AJ170" s="432"/>
      <c r="AK170" s="432"/>
      <c r="AL170" s="432"/>
      <c r="AM170" s="432"/>
      <c r="AN170" s="432"/>
      <c r="AO170" s="432"/>
      <c r="AP170" s="432"/>
      <c r="AQ170" s="432"/>
      <c r="AR170" s="432"/>
      <c r="AS170" s="432"/>
      <c r="AT170" s="432"/>
      <c r="AU170" s="432"/>
      <c r="AV170" s="432"/>
      <c r="AW170" s="432"/>
      <c r="AX170" s="432"/>
      <c r="AY170" s="432"/>
    </row>
    <row r="171" spans="1:51" x14ac:dyDescent="0.2">
      <c r="A171" s="431"/>
      <c r="B171" s="432"/>
      <c r="C171" s="432"/>
      <c r="D171" s="432"/>
      <c r="E171" s="432"/>
      <c r="F171" s="432"/>
      <c r="G171" s="432"/>
      <c r="H171" s="432"/>
      <c r="I171" s="432"/>
      <c r="J171" s="432"/>
      <c r="K171" s="432"/>
      <c r="L171" s="432"/>
      <c r="M171" s="432"/>
      <c r="N171" s="432"/>
      <c r="O171" s="432"/>
      <c r="P171" s="432"/>
      <c r="Q171" s="432"/>
      <c r="R171" s="432"/>
      <c r="S171" s="432"/>
      <c r="T171" s="432"/>
      <c r="U171" s="432"/>
      <c r="V171" s="432"/>
      <c r="W171" s="432"/>
      <c r="X171" s="432"/>
      <c r="Y171" s="432"/>
      <c r="Z171" s="432"/>
      <c r="AA171" s="432"/>
      <c r="AB171" s="432"/>
      <c r="AC171" s="432"/>
      <c r="AD171" s="432"/>
      <c r="AE171" s="432"/>
      <c r="AF171" s="432"/>
      <c r="AG171" s="432"/>
      <c r="AH171" s="432"/>
      <c r="AI171" s="432"/>
      <c r="AJ171" s="432"/>
      <c r="AK171" s="432"/>
      <c r="AL171" s="432"/>
      <c r="AM171" s="432"/>
      <c r="AN171" s="432"/>
      <c r="AO171" s="432"/>
      <c r="AP171" s="432"/>
      <c r="AQ171" s="432"/>
      <c r="AR171" s="432"/>
      <c r="AS171" s="432"/>
      <c r="AT171" s="432"/>
      <c r="AU171" s="432"/>
      <c r="AV171" s="432"/>
      <c r="AW171" s="432"/>
      <c r="AX171" s="432"/>
      <c r="AY171" s="432"/>
    </row>
    <row r="172" spans="1:51" x14ac:dyDescent="0.2">
      <c r="A172" s="431"/>
      <c r="B172" s="432"/>
      <c r="C172" s="432"/>
      <c r="D172" s="432"/>
      <c r="E172" s="432"/>
      <c r="F172" s="432"/>
      <c r="G172" s="432"/>
      <c r="H172" s="432"/>
      <c r="I172" s="432"/>
      <c r="J172" s="432"/>
      <c r="K172" s="432"/>
      <c r="L172" s="432"/>
      <c r="M172" s="432"/>
      <c r="N172" s="432"/>
      <c r="O172" s="432"/>
      <c r="P172" s="432"/>
      <c r="Q172" s="432"/>
      <c r="R172" s="432"/>
      <c r="S172" s="432"/>
      <c r="T172" s="432"/>
      <c r="U172" s="432"/>
      <c r="V172" s="432"/>
      <c r="W172" s="432"/>
      <c r="X172" s="432"/>
      <c r="Y172" s="432"/>
      <c r="Z172" s="432"/>
      <c r="AA172" s="432"/>
      <c r="AB172" s="432"/>
      <c r="AC172" s="432"/>
      <c r="AD172" s="432"/>
      <c r="AE172" s="432"/>
      <c r="AF172" s="432"/>
      <c r="AG172" s="432"/>
      <c r="AH172" s="432"/>
      <c r="AI172" s="432"/>
      <c r="AJ172" s="432"/>
      <c r="AK172" s="432"/>
      <c r="AL172" s="432"/>
      <c r="AM172" s="432"/>
      <c r="AN172" s="432"/>
      <c r="AO172" s="432"/>
      <c r="AP172" s="432"/>
      <c r="AQ172" s="432"/>
      <c r="AR172" s="432"/>
      <c r="AS172" s="432"/>
      <c r="AT172" s="432"/>
      <c r="AU172" s="432"/>
      <c r="AV172" s="432"/>
      <c r="AW172" s="432"/>
      <c r="AX172" s="432"/>
      <c r="AY172" s="432"/>
    </row>
    <row r="173" spans="1:51" x14ac:dyDescent="0.2">
      <c r="A173" s="431"/>
      <c r="B173" s="432"/>
      <c r="C173" s="432"/>
      <c r="D173" s="432"/>
      <c r="E173" s="432"/>
      <c r="F173" s="432"/>
      <c r="G173" s="432"/>
      <c r="H173" s="432"/>
      <c r="I173" s="432"/>
      <c r="J173" s="432"/>
      <c r="K173" s="432"/>
      <c r="L173" s="432"/>
      <c r="M173" s="432"/>
      <c r="N173" s="432"/>
      <c r="O173" s="432"/>
      <c r="P173" s="432"/>
      <c r="Q173" s="432"/>
      <c r="R173" s="432"/>
      <c r="S173" s="432"/>
      <c r="T173" s="432"/>
      <c r="U173" s="432"/>
      <c r="V173" s="432"/>
      <c r="W173" s="432"/>
      <c r="X173" s="432"/>
      <c r="Y173" s="432"/>
      <c r="Z173" s="432"/>
      <c r="AA173" s="432"/>
      <c r="AB173" s="432"/>
      <c r="AC173" s="432"/>
      <c r="AD173" s="432"/>
      <c r="AE173" s="432"/>
      <c r="AF173" s="432"/>
      <c r="AG173" s="432"/>
      <c r="AH173" s="432"/>
      <c r="AI173" s="432"/>
      <c r="AJ173" s="432"/>
      <c r="AK173" s="432"/>
      <c r="AL173" s="432"/>
      <c r="AM173" s="432"/>
      <c r="AN173" s="432"/>
      <c r="AO173" s="432"/>
      <c r="AP173" s="432"/>
      <c r="AQ173" s="432"/>
      <c r="AR173" s="432"/>
      <c r="AS173" s="432"/>
      <c r="AT173" s="432"/>
      <c r="AU173" s="432"/>
      <c r="AV173" s="432"/>
      <c r="AW173" s="432"/>
      <c r="AX173" s="432"/>
      <c r="AY173" s="432"/>
    </row>
    <row r="174" spans="1:51" x14ac:dyDescent="0.2">
      <c r="A174" s="431"/>
      <c r="B174" s="432"/>
      <c r="C174" s="432"/>
      <c r="D174" s="432"/>
      <c r="E174" s="432"/>
      <c r="F174" s="432"/>
      <c r="G174" s="432"/>
      <c r="H174" s="432"/>
      <c r="I174" s="432"/>
      <c r="J174" s="432"/>
      <c r="K174" s="432"/>
      <c r="L174" s="432"/>
      <c r="M174" s="432"/>
      <c r="N174" s="432"/>
      <c r="O174" s="432"/>
      <c r="P174" s="432"/>
      <c r="Q174" s="432"/>
      <c r="R174" s="432"/>
      <c r="S174" s="432"/>
      <c r="T174" s="432"/>
      <c r="U174" s="432"/>
      <c r="V174" s="432"/>
      <c r="W174" s="432"/>
      <c r="X174" s="432"/>
      <c r="Y174" s="432"/>
      <c r="Z174" s="432"/>
      <c r="AA174" s="432"/>
      <c r="AB174" s="432"/>
      <c r="AC174" s="432"/>
      <c r="AD174" s="432"/>
      <c r="AE174" s="432"/>
      <c r="AF174" s="432"/>
      <c r="AG174" s="432"/>
      <c r="AH174" s="432"/>
      <c r="AI174" s="432"/>
      <c r="AJ174" s="432"/>
      <c r="AK174" s="432"/>
      <c r="AL174" s="432"/>
      <c r="AM174" s="432"/>
      <c r="AN174" s="432"/>
      <c r="AO174" s="432"/>
      <c r="AP174" s="432"/>
      <c r="AQ174" s="432"/>
      <c r="AR174" s="432"/>
      <c r="AS174" s="432"/>
      <c r="AT174" s="432"/>
      <c r="AU174" s="432"/>
      <c r="AV174" s="432"/>
      <c r="AW174" s="432"/>
      <c r="AX174" s="432"/>
      <c r="AY174" s="432"/>
    </row>
    <row r="175" spans="1:51" x14ac:dyDescent="0.2">
      <c r="A175" s="431"/>
      <c r="B175" s="432"/>
      <c r="C175" s="432"/>
      <c r="D175" s="432"/>
      <c r="E175" s="432"/>
      <c r="F175" s="432"/>
      <c r="G175" s="432"/>
      <c r="H175" s="432"/>
      <c r="I175" s="432"/>
      <c r="J175" s="432"/>
      <c r="K175" s="432"/>
      <c r="L175" s="432"/>
      <c r="M175" s="432"/>
      <c r="N175" s="432"/>
      <c r="O175" s="432"/>
      <c r="P175" s="432"/>
      <c r="Q175" s="432"/>
      <c r="R175" s="432"/>
      <c r="S175" s="432"/>
      <c r="T175" s="432"/>
      <c r="U175" s="432"/>
      <c r="V175" s="432"/>
      <c r="W175" s="432"/>
      <c r="X175" s="432"/>
      <c r="Y175" s="432"/>
      <c r="Z175" s="432"/>
      <c r="AA175" s="432"/>
      <c r="AB175" s="432"/>
      <c r="AC175" s="432"/>
      <c r="AD175" s="432"/>
      <c r="AE175" s="432"/>
      <c r="AF175" s="432"/>
      <c r="AG175" s="432"/>
      <c r="AH175" s="432"/>
      <c r="AI175" s="432"/>
      <c r="AJ175" s="432"/>
      <c r="AK175" s="432"/>
      <c r="AL175" s="432"/>
      <c r="AM175" s="432"/>
      <c r="AN175" s="432"/>
      <c r="AO175" s="432"/>
      <c r="AP175" s="432"/>
      <c r="AQ175" s="432"/>
      <c r="AR175" s="432"/>
      <c r="AS175" s="432"/>
      <c r="AT175" s="432"/>
      <c r="AU175" s="432"/>
      <c r="AV175" s="432"/>
      <c r="AW175" s="432"/>
      <c r="AX175" s="432"/>
      <c r="AY175" s="432"/>
    </row>
    <row r="176" spans="1:51" x14ac:dyDescent="0.2">
      <c r="A176" s="431"/>
      <c r="B176" s="432"/>
      <c r="C176" s="432"/>
      <c r="D176" s="432"/>
      <c r="E176" s="432"/>
      <c r="F176" s="432"/>
      <c r="G176" s="432"/>
      <c r="H176" s="432"/>
      <c r="I176" s="432"/>
      <c r="J176" s="432"/>
      <c r="K176" s="432"/>
      <c r="L176" s="432"/>
      <c r="M176" s="432"/>
      <c r="N176" s="432"/>
      <c r="O176" s="432"/>
      <c r="P176" s="432"/>
      <c r="Q176" s="432"/>
      <c r="R176" s="432"/>
      <c r="S176" s="432"/>
      <c r="T176" s="432"/>
      <c r="U176" s="432"/>
      <c r="V176" s="432"/>
      <c r="W176" s="432"/>
      <c r="X176" s="432"/>
      <c r="Y176" s="432"/>
      <c r="Z176" s="432"/>
      <c r="AA176" s="432"/>
      <c r="AB176" s="432"/>
      <c r="AC176" s="432"/>
      <c r="AD176" s="432"/>
      <c r="AE176" s="432"/>
      <c r="AF176" s="432"/>
      <c r="AG176" s="432"/>
      <c r="AH176" s="432"/>
      <c r="AI176" s="432"/>
      <c r="AJ176" s="432"/>
      <c r="AK176" s="432"/>
      <c r="AL176" s="432"/>
      <c r="AM176" s="432"/>
      <c r="AN176" s="432"/>
      <c r="AO176" s="432"/>
      <c r="AP176" s="432"/>
      <c r="AQ176" s="432"/>
      <c r="AR176" s="432"/>
      <c r="AS176" s="432"/>
      <c r="AT176" s="432"/>
      <c r="AU176" s="432"/>
      <c r="AV176" s="432"/>
      <c r="AW176" s="432"/>
      <c r="AX176" s="432"/>
      <c r="AY176" s="432"/>
    </row>
    <row r="177" spans="1:51" x14ac:dyDescent="0.2">
      <c r="A177" s="431"/>
      <c r="B177" s="432"/>
      <c r="C177" s="432"/>
      <c r="D177" s="432"/>
      <c r="E177" s="432"/>
      <c r="F177" s="432"/>
      <c r="G177" s="432"/>
      <c r="H177" s="432"/>
      <c r="I177" s="432"/>
      <c r="J177" s="432"/>
      <c r="K177" s="432"/>
      <c r="L177" s="432"/>
      <c r="M177" s="432"/>
      <c r="N177" s="432"/>
      <c r="O177" s="432"/>
      <c r="P177" s="432"/>
      <c r="Q177" s="432"/>
      <c r="R177" s="432"/>
      <c r="S177" s="432"/>
      <c r="T177" s="432"/>
      <c r="U177" s="432"/>
      <c r="V177" s="432"/>
      <c r="W177" s="432"/>
      <c r="X177" s="432"/>
      <c r="Y177" s="432"/>
      <c r="Z177" s="432"/>
      <c r="AA177" s="432"/>
      <c r="AB177" s="432"/>
      <c r="AC177" s="432"/>
      <c r="AD177" s="432"/>
      <c r="AE177" s="432"/>
      <c r="AF177" s="432"/>
      <c r="AG177" s="432"/>
      <c r="AH177" s="432"/>
      <c r="AI177" s="432"/>
      <c r="AJ177" s="432"/>
      <c r="AK177" s="432"/>
      <c r="AL177" s="432"/>
      <c r="AM177" s="432"/>
      <c r="AN177" s="432"/>
      <c r="AO177" s="432"/>
      <c r="AP177" s="432"/>
      <c r="AQ177" s="432"/>
      <c r="AR177" s="432"/>
      <c r="AS177" s="432"/>
      <c r="AT177" s="432"/>
      <c r="AU177" s="432"/>
      <c r="AV177" s="432"/>
      <c r="AW177" s="432"/>
      <c r="AX177" s="432"/>
      <c r="AY177" s="432"/>
    </row>
    <row r="178" spans="1:51" x14ac:dyDescent="0.2">
      <c r="A178" s="431"/>
      <c r="B178" s="432"/>
      <c r="C178" s="432"/>
      <c r="D178" s="432"/>
      <c r="E178" s="432"/>
      <c r="F178" s="432"/>
      <c r="G178" s="432"/>
      <c r="H178" s="432"/>
      <c r="I178" s="432"/>
      <c r="J178" s="432"/>
      <c r="K178" s="432"/>
      <c r="L178" s="432"/>
      <c r="M178" s="432"/>
      <c r="N178" s="432"/>
      <c r="O178" s="432"/>
      <c r="P178" s="432"/>
      <c r="Q178" s="432"/>
      <c r="R178" s="432"/>
      <c r="S178" s="432"/>
      <c r="T178" s="432"/>
      <c r="U178" s="432"/>
      <c r="V178" s="432"/>
      <c r="W178" s="432"/>
      <c r="X178" s="432"/>
      <c r="Y178" s="432"/>
      <c r="Z178" s="432"/>
      <c r="AA178" s="432"/>
      <c r="AB178" s="432"/>
      <c r="AC178" s="432"/>
      <c r="AD178" s="432"/>
      <c r="AE178" s="432"/>
      <c r="AF178" s="432"/>
      <c r="AG178" s="432"/>
      <c r="AH178" s="432"/>
      <c r="AI178" s="432"/>
      <c r="AJ178" s="432"/>
      <c r="AK178" s="432"/>
      <c r="AL178" s="432"/>
      <c r="AM178" s="432"/>
      <c r="AN178" s="432"/>
      <c r="AO178" s="432"/>
      <c r="AP178" s="432"/>
      <c r="AQ178" s="432"/>
      <c r="AR178" s="432"/>
      <c r="AS178" s="432"/>
      <c r="AT178" s="432"/>
      <c r="AU178" s="432"/>
      <c r="AV178" s="432"/>
      <c r="AW178" s="432"/>
      <c r="AX178" s="432"/>
      <c r="AY178" s="432"/>
    </row>
    <row r="179" spans="1:51" x14ac:dyDescent="0.2">
      <c r="A179" s="431"/>
      <c r="B179" s="432"/>
      <c r="C179" s="432"/>
      <c r="D179" s="432"/>
      <c r="E179" s="432"/>
      <c r="F179" s="432"/>
      <c r="G179" s="432"/>
      <c r="H179" s="432"/>
      <c r="I179" s="432"/>
      <c r="J179" s="432"/>
      <c r="K179" s="432"/>
      <c r="L179" s="432"/>
      <c r="M179" s="432"/>
      <c r="N179" s="432"/>
      <c r="O179" s="432"/>
      <c r="P179" s="432"/>
      <c r="Q179" s="432"/>
      <c r="R179" s="432"/>
      <c r="S179" s="432"/>
      <c r="T179" s="432"/>
      <c r="U179" s="432"/>
      <c r="V179" s="432"/>
      <c r="W179" s="432"/>
      <c r="X179" s="432"/>
      <c r="Y179" s="432"/>
      <c r="Z179" s="432"/>
      <c r="AA179" s="432"/>
      <c r="AB179" s="432"/>
      <c r="AC179" s="432"/>
      <c r="AD179" s="432"/>
      <c r="AE179" s="432"/>
      <c r="AF179" s="432"/>
      <c r="AG179" s="432"/>
      <c r="AH179" s="432"/>
      <c r="AI179" s="432"/>
      <c r="AJ179" s="432"/>
      <c r="AK179" s="432"/>
      <c r="AL179" s="432"/>
      <c r="AM179" s="432"/>
      <c r="AN179" s="432"/>
      <c r="AO179" s="432"/>
      <c r="AP179" s="432"/>
      <c r="AQ179" s="432"/>
      <c r="AR179" s="432"/>
      <c r="AS179" s="432"/>
      <c r="AT179" s="432"/>
      <c r="AU179" s="432"/>
      <c r="AV179" s="432"/>
      <c r="AW179" s="432"/>
      <c r="AX179" s="432"/>
      <c r="AY179" s="432"/>
    </row>
    <row r="180" spans="1:51" x14ac:dyDescent="0.2">
      <c r="A180" s="431"/>
      <c r="B180" s="432"/>
      <c r="C180" s="432"/>
      <c r="D180" s="432"/>
      <c r="E180" s="432"/>
      <c r="F180" s="432"/>
      <c r="G180" s="432"/>
      <c r="H180" s="432"/>
      <c r="I180" s="432"/>
      <c r="J180" s="432"/>
      <c r="K180" s="432"/>
      <c r="L180" s="432"/>
      <c r="M180" s="432"/>
      <c r="N180" s="432"/>
      <c r="O180" s="432"/>
      <c r="P180" s="432"/>
      <c r="Q180" s="432"/>
      <c r="R180" s="432"/>
      <c r="S180" s="432"/>
      <c r="T180" s="432"/>
      <c r="U180" s="432"/>
      <c r="V180" s="432"/>
      <c r="W180" s="432"/>
      <c r="X180" s="432"/>
      <c r="Y180" s="432"/>
      <c r="Z180" s="432"/>
      <c r="AA180" s="432"/>
      <c r="AB180" s="432"/>
      <c r="AC180" s="432"/>
      <c r="AD180" s="432"/>
      <c r="AE180" s="432"/>
      <c r="AF180" s="432"/>
      <c r="AG180" s="432"/>
      <c r="AH180" s="432"/>
      <c r="AI180" s="432"/>
      <c r="AJ180" s="432"/>
      <c r="AK180" s="432"/>
      <c r="AL180" s="432"/>
      <c r="AM180" s="432"/>
      <c r="AN180" s="432"/>
      <c r="AO180" s="432"/>
      <c r="AP180" s="432"/>
      <c r="AQ180" s="432"/>
      <c r="AR180" s="432"/>
      <c r="AS180" s="432"/>
      <c r="AT180" s="432"/>
      <c r="AU180" s="432"/>
      <c r="AV180" s="432"/>
      <c r="AW180" s="432"/>
      <c r="AX180" s="432"/>
      <c r="AY180" s="432"/>
    </row>
    <row r="181" spans="1:51" x14ac:dyDescent="0.2">
      <c r="A181" s="431"/>
      <c r="B181" s="432"/>
      <c r="C181" s="432"/>
      <c r="D181" s="432"/>
      <c r="E181" s="432"/>
      <c r="F181" s="432"/>
      <c r="G181" s="432"/>
      <c r="H181" s="432"/>
      <c r="I181" s="432"/>
      <c r="J181" s="432"/>
      <c r="K181" s="432"/>
      <c r="L181" s="432"/>
      <c r="M181" s="432"/>
      <c r="N181" s="432"/>
      <c r="O181" s="432"/>
      <c r="P181" s="432"/>
      <c r="Q181" s="432"/>
      <c r="R181" s="432"/>
      <c r="S181" s="432"/>
      <c r="T181" s="432"/>
      <c r="U181" s="432"/>
      <c r="V181" s="432"/>
      <c r="W181" s="432"/>
      <c r="X181" s="432"/>
      <c r="Y181" s="432"/>
      <c r="Z181" s="432"/>
      <c r="AA181" s="432"/>
      <c r="AB181" s="432"/>
      <c r="AC181" s="432"/>
      <c r="AD181" s="432"/>
      <c r="AE181" s="432"/>
      <c r="AF181" s="432"/>
      <c r="AG181" s="432"/>
      <c r="AH181" s="432"/>
      <c r="AI181" s="432"/>
      <c r="AJ181" s="432"/>
      <c r="AK181" s="432"/>
      <c r="AL181" s="432"/>
      <c r="AM181" s="432"/>
      <c r="AN181" s="432"/>
      <c r="AO181" s="432"/>
      <c r="AP181" s="432"/>
      <c r="AQ181" s="432"/>
      <c r="AR181" s="432"/>
      <c r="AS181" s="432"/>
      <c r="AT181" s="432"/>
      <c r="AU181" s="432"/>
      <c r="AV181" s="432"/>
      <c r="AW181" s="432"/>
      <c r="AX181" s="432"/>
      <c r="AY181" s="432"/>
    </row>
    <row r="182" spans="1:51" x14ac:dyDescent="0.2">
      <c r="A182" s="431"/>
      <c r="B182" s="432"/>
      <c r="C182" s="432"/>
      <c r="D182" s="432"/>
      <c r="E182" s="432"/>
      <c r="F182" s="432"/>
      <c r="G182" s="432"/>
      <c r="H182" s="432"/>
      <c r="I182" s="432"/>
      <c r="J182" s="432"/>
      <c r="K182" s="432"/>
      <c r="L182" s="432"/>
      <c r="M182" s="432"/>
      <c r="N182" s="432"/>
      <c r="O182" s="432"/>
      <c r="P182" s="432"/>
      <c r="Q182" s="432"/>
      <c r="R182" s="432"/>
      <c r="S182" s="432"/>
      <c r="T182" s="432"/>
      <c r="U182" s="432"/>
      <c r="V182" s="432"/>
      <c r="W182" s="432"/>
      <c r="X182" s="432"/>
      <c r="Y182" s="432"/>
      <c r="Z182" s="432"/>
      <c r="AA182" s="432"/>
      <c r="AB182" s="432"/>
      <c r="AC182" s="432"/>
      <c r="AD182" s="432"/>
      <c r="AE182" s="432"/>
      <c r="AF182" s="432"/>
      <c r="AG182" s="432"/>
      <c r="AH182" s="432"/>
      <c r="AI182" s="432"/>
      <c r="AJ182" s="432"/>
      <c r="AK182" s="432"/>
      <c r="AL182" s="432"/>
      <c r="AM182" s="432"/>
      <c r="AN182" s="432"/>
      <c r="AO182" s="432"/>
      <c r="AP182" s="432"/>
      <c r="AQ182" s="432"/>
      <c r="AR182" s="432"/>
      <c r="AS182" s="432"/>
      <c r="AT182" s="432"/>
      <c r="AU182" s="432"/>
      <c r="AV182" s="432"/>
      <c r="AW182" s="432"/>
      <c r="AX182" s="432"/>
      <c r="AY182" s="432"/>
    </row>
    <row r="183" spans="1:51" x14ac:dyDescent="0.2">
      <c r="A183" s="431"/>
      <c r="B183" s="432"/>
      <c r="C183" s="432"/>
      <c r="D183" s="432"/>
      <c r="E183" s="432"/>
      <c r="F183" s="432"/>
      <c r="G183" s="432"/>
      <c r="H183" s="432"/>
      <c r="I183" s="432"/>
      <c r="J183" s="432"/>
      <c r="K183" s="432"/>
      <c r="L183" s="432"/>
      <c r="M183" s="432"/>
      <c r="N183" s="432"/>
      <c r="O183" s="432"/>
      <c r="P183" s="432"/>
      <c r="Q183" s="432"/>
      <c r="R183" s="432"/>
      <c r="S183" s="432"/>
      <c r="T183" s="432"/>
      <c r="U183" s="432"/>
      <c r="V183" s="432"/>
      <c r="W183" s="432"/>
      <c r="X183" s="432"/>
      <c r="Y183" s="432"/>
      <c r="Z183" s="432"/>
      <c r="AA183" s="432"/>
      <c r="AB183" s="432"/>
      <c r="AC183" s="432"/>
      <c r="AD183" s="432"/>
      <c r="AE183" s="432"/>
      <c r="AF183" s="432"/>
      <c r="AG183" s="432"/>
      <c r="AH183" s="432"/>
      <c r="AI183" s="432"/>
      <c r="AJ183" s="432"/>
      <c r="AK183" s="432"/>
      <c r="AL183" s="432"/>
      <c r="AM183" s="432"/>
      <c r="AN183" s="432"/>
      <c r="AO183" s="432"/>
      <c r="AP183" s="432"/>
      <c r="AQ183" s="432"/>
      <c r="AR183" s="432"/>
      <c r="AS183" s="432"/>
      <c r="AT183" s="432"/>
      <c r="AU183" s="432"/>
      <c r="AV183" s="432"/>
      <c r="AW183" s="432"/>
      <c r="AX183" s="432"/>
      <c r="AY183" s="432"/>
    </row>
    <row r="184" spans="1:51" x14ac:dyDescent="0.2">
      <c r="A184" s="431"/>
      <c r="B184" s="432"/>
      <c r="C184" s="432"/>
      <c r="D184" s="432"/>
      <c r="E184" s="432"/>
      <c r="F184" s="432"/>
      <c r="G184" s="432"/>
      <c r="H184" s="432"/>
      <c r="I184" s="432"/>
      <c r="J184" s="432"/>
      <c r="K184" s="432"/>
      <c r="L184" s="432"/>
      <c r="M184" s="432"/>
      <c r="N184" s="432"/>
      <c r="O184" s="432"/>
      <c r="P184" s="432"/>
      <c r="Q184" s="432"/>
      <c r="R184" s="432"/>
      <c r="S184" s="432"/>
      <c r="T184" s="432"/>
      <c r="U184" s="432"/>
      <c r="V184" s="432"/>
      <c r="W184" s="432"/>
      <c r="X184" s="432"/>
      <c r="Y184" s="432"/>
      <c r="Z184" s="432"/>
      <c r="AA184" s="432"/>
      <c r="AB184" s="432"/>
      <c r="AC184" s="432"/>
      <c r="AD184" s="432"/>
      <c r="AE184" s="432"/>
      <c r="AF184" s="432"/>
      <c r="AG184" s="432"/>
      <c r="AH184" s="432"/>
      <c r="AI184" s="432"/>
      <c r="AJ184" s="432"/>
      <c r="AK184" s="432"/>
      <c r="AL184" s="432"/>
      <c r="AM184" s="432"/>
      <c r="AN184" s="432"/>
      <c r="AO184" s="432"/>
      <c r="AP184" s="432"/>
      <c r="AQ184" s="432"/>
      <c r="AR184" s="432"/>
      <c r="AS184" s="432"/>
      <c r="AT184" s="432"/>
      <c r="AU184" s="432"/>
      <c r="AV184" s="432"/>
      <c r="AW184" s="432"/>
      <c r="AX184" s="432"/>
      <c r="AY184" s="432"/>
    </row>
    <row r="185" spans="1:51" x14ac:dyDescent="0.2">
      <c r="A185" s="431"/>
      <c r="B185" s="432"/>
      <c r="C185" s="432"/>
      <c r="D185" s="432"/>
      <c r="E185" s="432"/>
      <c r="F185" s="432"/>
      <c r="G185" s="432"/>
      <c r="H185" s="432"/>
      <c r="I185" s="432"/>
      <c r="J185" s="432"/>
      <c r="K185" s="432"/>
      <c r="L185" s="432"/>
      <c r="M185" s="432"/>
      <c r="N185" s="432"/>
      <c r="O185" s="432"/>
      <c r="P185" s="432"/>
      <c r="Q185" s="432"/>
      <c r="R185" s="432"/>
      <c r="S185" s="432"/>
      <c r="T185" s="432"/>
      <c r="U185" s="432"/>
      <c r="V185" s="432"/>
      <c r="W185" s="432"/>
      <c r="X185" s="432"/>
      <c r="Y185" s="432"/>
      <c r="Z185" s="432"/>
      <c r="AA185" s="432"/>
      <c r="AB185" s="432"/>
      <c r="AC185" s="432"/>
      <c r="AD185" s="432"/>
      <c r="AE185" s="432"/>
      <c r="AF185" s="432"/>
      <c r="AG185" s="432"/>
      <c r="AH185" s="432"/>
      <c r="AI185" s="432"/>
      <c r="AJ185" s="432"/>
      <c r="AK185" s="432"/>
      <c r="AL185" s="432"/>
      <c r="AM185" s="432"/>
      <c r="AN185" s="432"/>
      <c r="AO185" s="432"/>
      <c r="AP185" s="432"/>
      <c r="AQ185" s="432"/>
      <c r="AR185" s="432"/>
      <c r="AS185" s="432"/>
      <c r="AT185" s="432"/>
      <c r="AU185" s="432"/>
      <c r="AV185" s="432"/>
      <c r="AW185" s="432"/>
      <c r="AX185" s="432"/>
      <c r="AY185" s="432"/>
    </row>
    <row r="186" spans="1:51" x14ac:dyDescent="0.2">
      <c r="A186" s="431"/>
      <c r="B186" s="432"/>
      <c r="C186" s="432"/>
      <c r="D186" s="432"/>
      <c r="E186" s="432"/>
      <c r="F186" s="432"/>
      <c r="G186" s="432"/>
      <c r="H186" s="432"/>
      <c r="I186" s="432"/>
      <c r="J186" s="432"/>
      <c r="K186" s="432"/>
      <c r="L186" s="432"/>
      <c r="M186" s="432"/>
      <c r="N186" s="432"/>
      <c r="O186" s="432"/>
      <c r="P186" s="432"/>
      <c r="Q186" s="432"/>
      <c r="R186" s="432"/>
      <c r="S186" s="432"/>
      <c r="T186" s="432"/>
      <c r="U186" s="432"/>
      <c r="V186" s="432"/>
      <c r="W186" s="432"/>
      <c r="X186" s="432"/>
      <c r="Y186" s="432"/>
      <c r="Z186" s="432"/>
      <c r="AA186" s="432"/>
      <c r="AB186" s="432"/>
      <c r="AC186" s="432"/>
      <c r="AD186" s="432"/>
      <c r="AE186" s="432"/>
      <c r="AF186" s="432"/>
      <c r="AG186" s="432"/>
      <c r="AH186" s="432"/>
      <c r="AI186" s="432"/>
      <c r="AJ186" s="432"/>
      <c r="AK186" s="432"/>
      <c r="AL186" s="432"/>
      <c r="AM186" s="432"/>
      <c r="AN186" s="432"/>
      <c r="AO186" s="432"/>
      <c r="AP186" s="432"/>
      <c r="AQ186" s="432"/>
      <c r="AR186" s="432"/>
      <c r="AS186" s="432"/>
      <c r="AT186" s="432"/>
      <c r="AU186" s="432"/>
      <c r="AV186" s="432"/>
      <c r="AW186" s="432"/>
      <c r="AX186" s="432"/>
      <c r="AY186" s="432"/>
    </row>
    <row r="187" spans="1:51" x14ac:dyDescent="0.2">
      <c r="A187" s="431"/>
      <c r="B187" s="432"/>
      <c r="C187" s="432"/>
      <c r="D187" s="432"/>
      <c r="E187" s="432"/>
      <c r="F187" s="432"/>
      <c r="G187" s="432"/>
      <c r="H187" s="432"/>
      <c r="I187" s="432"/>
      <c r="J187" s="432"/>
      <c r="K187" s="432"/>
      <c r="L187" s="432"/>
      <c r="M187" s="432"/>
      <c r="N187" s="432"/>
      <c r="O187" s="432"/>
      <c r="P187" s="432"/>
      <c r="Q187" s="432"/>
      <c r="R187" s="432"/>
      <c r="S187" s="432"/>
      <c r="T187" s="432"/>
      <c r="U187" s="432"/>
      <c r="V187" s="432"/>
      <c r="W187" s="432"/>
      <c r="X187" s="432"/>
      <c r="Y187" s="432"/>
      <c r="Z187" s="432"/>
      <c r="AA187" s="432"/>
      <c r="AB187" s="432"/>
      <c r="AC187" s="432"/>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2"/>
      <c r="AY187" s="432"/>
    </row>
    <row r="188" spans="1:51" x14ac:dyDescent="0.2">
      <c r="A188" s="431"/>
      <c r="B188" s="432"/>
      <c r="C188" s="432"/>
      <c r="D188" s="432"/>
      <c r="E188" s="432"/>
      <c r="F188" s="432"/>
      <c r="G188" s="432"/>
      <c r="H188" s="432"/>
      <c r="I188" s="432"/>
      <c r="J188" s="432"/>
      <c r="K188" s="432"/>
      <c r="L188" s="432"/>
      <c r="M188" s="432"/>
      <c r="N188" s="432"/>
      <c r="O188" s="432"/>
      <c r="P188" s="432"/>
      <c r="Q188" s="432"/>
      <c r="R188" s="432"/>
      <c r="S188" s="432"/>
      <c r="T188" s="432"/>
      <c r="U188" s="432"/>
      <c r="V188" s="432"/>
      <c r="W188" s="432"/>
      <c r="X188" s="432"/>
      <c r="Y188" s="432"/>
      <c r="Z188" s="432"/>
      <c r="AA188" s="432"/>
      <c r="AB188" s="432"/>
      <c r="AC188" s="432"/>
      <c r="AD188" s="432"/>
      <c r="AE188" s="432"/>
      <c r="AF188" s="432"/>
      <c r="AG188" s="432"/>
      <c r="AH188" s="432"/>
      <c r="AI188" s="432"/>
      <c r="AJ188" s="432"/>
      <c r="AK188" s="432"/>
      <c r="AL188" s="432"/>
      <c r="AM188" s="432"/>
      <c r="AN188" s="432"/>
      <c r="AO188" s="432"/>
      <c r="AP188" s="432"/>
      <c r="AQ188" s="432"/>
      <c r="AR188" s="432"/>
      <c r="AS188" s="432"/>
      <c r="AT188" s="432"/>
      <c r="AU188" s="432"/>
      <c r="AV188" s="432"/>
      <c r="AW188" s="432"/>
      <c r="AX188" s="432"/>
      <c r="AY188" s="432"/>
    </row>
    <row r="189" spans="1:51" x14ac:dyDescent="0.2">
      <c r="A189" s="431"/>
      <c r="B189" s="432"/>
      <c r="C189" s="432"/>
      <c r="D189" s="432"/>
      <c r="E189" s="432"/>
      <c r="F189" s="432"/>
      <c r="G189" s="432"/>
      <c r="H189" s="432"/>
      <c r="I189" s="432"/>
      <c r="J189" s="432"/>
      <c r="K189" s="432"/>
      <c r="L189" s="432"/>
      <c r="M189" s="432"/>
      <c r="N189" s="432"/>
      <c r="O189" s="432"/>
      <c r="P189" s="432"/>
      <c r="Q189" s="432"/>
      <c r="R189" s="432"/>
      <c r="S189" s="432"/>
      <c r="T189" s="432"/>
      <c r="U189" s="432"/>
      <c r="V189" s="432"/>
      <c r="W189" s="432"/>
      <c r="X189" s="432"/>
      <c r="Y189" s="432"/>
      <c r="Z189" s="432"/>
      <c r="AA189" s="432"/>
      <c r="AB189" s="432"/>
      <c r="AC189" s="432"/>
      <c r="AD189" s="432"/>
      <c r="AE189" s="432"/>
      <c r="AF189" s="432"/>
      <c r="AG189" s="432"/>
      <c r="AH189" s="432"/>
      <c r="AI189" s="432"/>
      <c r="AJ189" s="432"/>
      <c r="AK189" s="432"/>
      <c r="AL189" s="432"/>
      <c r="AM189" s="432"/>
      <c r="AN189" s="432"/>
      <c r="AO189" s="432"/>
      <c r="AP189" s="432"/>
      <c r="AQ189" s="432"/>
      <c r="AR189" s="432"/>
      <c r="AS189" s="432"/>
      <c r="AT189" s="432"/>
      <c r="AU189" s="432"/>
      <c r="AV189" s="432"/>
      <c r="AW189" s="432"/>
      <c r="AX189" s="432"/>
      <c r="AY189" s="432"/>
    </row>
    <row r="190" spans="1:51" x14ac:dyDescent="0.2">
      <c r="A190" s="431"/>
      <c r="B190" s="432"/>
      <c r="C190" s="432"/>
      <c r="D190" s="432"/>
      <c r="E190" s="432"/>
      <c r="F190" s="432"/>
      <c r="G190" s="432"/>
      <c r="H190" s="432"/>
      <c r="I190" s="432"/>
      <c r="J190" s="432"/>
      <c r="K190" s="432"/>
      <c r="L190" s="432"/>
      <c r="M190" s="432"/>
      <c r="N190" s="432"/>
      <c r="O190" s="432"/>
      <c r="P190" s="432"/>
      <c r="Q190" s="432"/>
      <c r="R190" s="432"/>
      <c r="S190" s="432"/>
      <c r="T190" s="432"/>
      <c r="U190" s="432"/>
      <c r="V190" s="432"/>
      <c r="W190" s="432"/>
      <c r="X190" s="432"/>
      <c r="Y190" s="432"/>
      <c r="Z190" s="432"/>
      <c r="AA190" s="432"/>
      <c r="AB190" s="432"/>
      <c r="AC190" s="432"/>
      <c r="AD190" s="432"/>
      <c r="AE190" s="432"/>
      <c r="AF190" s="432"/>
      <c r="AG190" s="432"/>
      <c r="AH190" s="432"/>
      <c r="AI190" s="432"/>
      <c r="AJ190" s="432"/>
      <c r="AK190" s="432"/>
      <c r="AL190" s="432"/>
      <c r="AM190" s="432"/>
      <c r="AN190" s="432"/>
      <c r="AO190" s="432"/>
      <c r="AP190" s="432"/>
      <c r="AQ190" s="432"/>
      <c r="AR190" s="432"/>
      <c r="AS190" s="432"/>
      <c r="AT190" s="432"/>
      <c r="AU190" s="432"/>
      <c r="AV190" s="432"/>
      <c r="AW190" s="432"/>
      <c r="AX190" s="432"/>
      <c r="AY190" s="432"/>
    </row>
    <row r="191" spans="1:51" x14ac:dyDescent="0.2">
      <c r="A191" s="431"/>
      <c r="B191" s="432"/>
      <c r="C191" s="432"/>
      <c r="D191" s="432"/>
      <c r="E191" s="432"/>
      <c r="F191" s="432"/>
      <c r="G191" s="432"/>
      <c r="H191" s="432"/>
      <c r="I191" s="432"/>
      <c r="J191" s="432"/>
      <c r="K191" s="432"/>
      <c r="L191" s="432"/>
      <c r="M191" s="432"/>
      <c r="N191" s="432"/>
      <c r="O191" s="432"/>
      <c r="P191" s="432"/>
      <c r="Q191" s="432"/>
      <c r="R191" s="432"/>
      <c r="S191" s="432"/>
      <c r="T191" s="432"/>
      <c r="U191" s="432"/>
      <c r="V191" s="432"/>
      <c r="W191" s="432"/>
      <c r="X191" s="432"/>
      <c r="Y191" s="432"/>
      <c r="Z191" s="432"/>
      <c r="AA191" s="432"/>
      <c r="AB191" s="432"/>
      <c r="AC191" s="432"/>
      <c r="AD191" s="432"/>
      <c r="AE191" s="432"/>
      <c r="AF191" s="432"/>
      <c r="AG191" s="432"/>
      <c r="AH191" s="432"/>
      <c r="AI191" s="432"/>
      <c r="AJ191" s="432"/>
      <c r="AK191" s="432"/>
      <c r="AL191" s="432"/>
      <c r="AM191" s="432"/>
      <c r="AN191" s="432"/>
      <c r="AO191" s="432"/>
      <c r="AP191" s="432"/>
      <c r="AQ191" s="432"/>
      <c r="AR191" s="432"/>
      <c r="AS191" s="432"/>
      <c r="AT191" s="432"/>
      <c r="AU191" s="432"/>
      <c r="AV191" s="432"/>
      <c r="AW191" s="432"/>
      <c r="AX191" s="432"/>
      <c r="AY191" s="432"/>
    </row>
    <row r="192" spans="1:51" x14ac:dyDescent="0.2">
      <c r="A192" s="431"/>
      <c r="B192" s="432"/>
      <c r="C192" s="432"/>
      <c r="D192" s="432"/>
      <c r="E192" s="432"/>
      <c r="F192" s="432"/>
      <c r="G192" s="432"/>
      <c r="H192" s="432"/>
      <c r="I192" s="432"/>
      <c r="J192" s="432"/>
      <c r="K192" s="432"/>
      <c r="L192" s="432"/>
      <c r="M192" s="432"/>
      <c r="N192" s="432"/>
      <c r="O192" s="432"/>
      <c r="P192" s="432"/>
      <c r="Q192" s="432"/>
      <c r="R192" s="432"/>
      <c r="S192" s="432"/>
      <c r="T192" s="432"/>
      <c r="U192" s="432"/>
      <c r="V192" s="432"/>
      <c r="W192" s="432"/>
      <c r="X192" s="432"/>
      <c r="Y192" s="432"/>
      <c r="Z192" s="432"/>
      <c r="AA192" s="432"/>
      <c r="AB192" s="432"/>
      <c r="AC192" s="432"/>
      <c r="AD192" s="432"/>
      <c r="AE192" s="432"/>
      <c r="AF192" s="432"/>
      <c r="AG192" s="432"/>
      <c r="AH192" s="432"/>
      <c r="AI192" s="432"/>
      <c r="AJ192" s="432"/>
      <c r="AK192" s="432"/>
      <c r="AL192" s="432"/>
      <c r="AM192" s="432"/>
      <c r="AN192" s="432"/>
      <c r="AO192" s="432"/>
      <c r="AP192" s="432"/>
      <c r="AQ192" s="432"/>
      <c r="AR192" s="432"/>
      <c r="AS192" s="432"/>
      <c r="AT192" s="432"/>
      <c r="AU192" s="432"/>
      <c r="AV192" s="432"/>
      <c r="AW192" s="432"/>
      <c r="AX192" s="432"/>
      <c r="AY192" s="432"/>
    </row>
    <row r="193" spans="1:51" x14ac:dyDescent="0.2">
      <c r="A193" s="431"/>
      <c r="B193" s="432"/>
      <c r="C193" s="432"/>
      <c r="D193" s="432"/>
      <c r="E193" s="432"/>
      <c r="F193" s="432"/>
      <c r="G193" s="432"/>
      <c r="H193" s="432"/>
      <c r="I193" s="432"/>
      <c r="J193" s="432"/>
      <c r="K193" s="432"/>
      <c r="L193" s="432"/>
      <c r="M193" s="432"/>
      <c r="N193" s="432"/>
      <c r="O193" s="432"/>
      <c r="P193" s="432"/>
      <c r="Q193" s="432"/>
      <c r="R193" s="432"/>
      <c r="S193" s="432"/>
      <c r="T193" s="432"/>
      <c r="U193" s="432"/>
      <c r="V193" s="432"/>
      <c r="W193" s="432"/>
      <c r="X193" s="432"/>
      <c r="Y193" s="432"/>
      <c r="Z193" s="432"/>
      <c r="AA193" s="432"/>
      <c r="AB193" s="432"/>
      <c r="AC193" s="432"/>
      <c r="AD193" s="432"/>
      <c r="AE193" s="432"/>
      <c r="AF193" s="432"/>
      <c r="AG193" s="432"/>
      <c r="AH193" s="432"/>
      <c r="AI193" s="432"/>
      <c r="AJ193" s="432"/>
      <c r="AK193" s="432"/>
      <c r="AL193" s="432"/>
      <c r="AM193" s="432"/>
      <c r="AN193" s="432"/>
      <c r="AO193" s="432"/>
      <c r="AP193" s="432"/>
      <c r="AQ193" s="432"/>
      <c r="AR193" s="432"/>
      <c r="AS193" s="432"/>
      <c r="AT193" s="432"/>
      <c r="AU193" s="432"/>
      <c r="AV193" s="432"/>
      <c r="AW193" s="432"/>
      <c r="AX193" s="432"/>
      <c r="AY193" s="432"/>
    </row>
    <row r="194" spans="1:51" x14ac:dyDescent="0.2">
      <c r="A194" s="431"/>
      <c r="B194" s="432"/>
      <c r="C194" s="432"/>
      <c r="D194" s="432"/>
      <c r="E194" s="432"/>
      <c r="F194" s="432"/>
      <c r="G194" s="432"/>
      <c r="H194" s="432"/>
      <c r="I194" s="432"/>
      <c r="J194" s="432"/>
      <c r="K194" s="432"/>
      <c r="L194" s="432"/>
      <c r="M194" s="432"/>
      <c r="N194" s="432"/>
      <c r="O194" s="432"/>
      <c r="P194" s="432"/>
      <c r="Q194" s="432"/>
      <c r="R194" s="432"/>
      <c r="S194" s="432"/>
      <c r="T194" s="432"/>
      <c r="U194" s="432"/>
      <c r="V194" s="432"/>
      <c r="W194" s="432"/>
      <c r="X194" s="432"/>
      <c r="Y194" s="432"/>
      <c r="Z194" s="432"/>
      <c r="AA194" s="432"/>
      <c r="AB194" s="432"/>
      <c r="AC194" s="432"/>
      <c r="AD194" s="432"/>
      <c r="AE194" s="432"/>
      <c r="AF194" s="432"/>
      <c r="AG194" s="432"/>
      <c r="AH194" s="432"/>
      <c r="AI194" s="432"/>
      <c r="AJ194" s="432"/>
      <c r="AK194" s="432"/>
      <c r="AL194" s="432"/>
      <c r="AM194" s="432"/>
      <c r="AN194" s="432"/>
      <c r="AO194" s="432"/>
      <c r="AP194" s="432"/>
      <c r="AQ194" s="432"/>
      <c r="AR194" s="432"/>
      <c r="AS194" s="432"/>
      <c r="AT194" s="432"/>
      <c r="AU194" s="432"/>
      <c r="AV194" s="432"/>
      <c r="AW194" s="432"/>
      <c r="AX194" s="432"/>
      <c r="AY194" s="432"/>
    </row>
    <row r="195" spans="1:51" x14ac:dyDescent="0.2">
      <c r="A195" s="431"/>
      <c r="B195" s="432"/>
      <c r="C195" s="432"/>
      <c r="D195" s="432"/>
      <c r="E195" s="432"/>
      <c r="F195" s="432"/>
      <c r="G195" s="432"/>
      <c r="H195" s="432"/>
      <c r="I195" s="432"/>
      <c r="J195" s="432"/>
      <c r="K195" s="432"/>
      <c r="L195" s="432"/>
      <c r="M195" s="432"/>
      <c r="N195" s="432"/>
      <c r="O195" s="432"/>
      <c r="P195" s="432"/>
      <c r="Q195" s="432"/>
      <c r="R195" s="432"/>
      <c r="S195" s="432"/>
      <c r="T195" s="432"/>
      <c r="U195" s="432"/>
      <c r="V195" s="432"/>
      <c r="W195" s="432"/>
      <c r="X195" s="432"/>
      <c r="Y195" s="432"/>
      <c r="Z195" s="432"/>
      <c r="AA195" s="432"/>
      <c r="AB195" s="432"/>
      <c r="AC195" s="432"/>
      <c r="AD195" s="432"/>
      <c r="AE195" s="432"/>
      <c r="AF195" s="432"/>
      <c r="AG195" s="432"/>
      <c r="AH195" s="432"/>
      <c r="AI195" s="432"/>
      <c r="AJ195" s="432"/>
      <c r="AK195" s="432"/>
      <c r="AL195" s="432"/>
      <c r="AM195" s="432"/>
      <c r="AN195" s="432"/>
      <c r="AO195" s="432"/>
      <c r="AP195" s="432"/>
      <c r="AQ195" s="432"/>
      <c r="AR195" s="432"/>
      <c r="AS195" s="432"/>
      <c r="AT195" s="432"/>
      <c r="AU195" s="432"/>
      <c r="AV195" s="432"/>
      <c r="AW195" s="432"/>
      <c r="AX195" s="432"/>
      <c r="AY195" s="432"/>
    </row>
    <row r="196" spans="1:51" x14ac:dyDescent="0.2">
      <c r="A196" s="431"/>
      <c r="B196" s="432"/>
      <c r="C196" s="432"/>
      <c r="D196" s="432"/>
      <c r="E196" s="432"/>
      <c r="F196" s="432"/>
      <c r="G196" s="432"/>
      <c r="H196" s="432"/>
      <c r="I196" s="432"/>
      <c r="J196" s="432"/>
      <c r="K196" s="432"/>
      <c r="L196" s="432"/>
      <c r="M196" s="432"/>
      <c r="N196" s="432"/>
      <c r="O196" s="432"/>
      <c r="P196" s="432"/>
      <c r="Q196" s="432"/>
      <c r="R196" s="432"/>
      <c r="S196" s="432"/>
      <c r="T196" s="432"/>
      <c r="U196" s="432"/>
      <c r="V196" s="432"/>
      <c r="W196" s="432"/>
      <c r="X196" s="432"/>
      <c r="Y196" s="432"/>
      <c r="Z196" s="432"/>
      <c r="AA196" s="432"/>
      <c r="AB196" s="432"/>
      <c r="AC196" s="432"/>
      <c r="AD196" s="432"/>
      <c r="AE196" s="432"/>
      <c r="AF196" s="432"/>
      <c r="AG196" s="432"/>
      <c r="AH196" s="432"/>
      <c r="AI196" s="432"/>
      <c r="AJ196" s="432"/>
      <c r="AK196" s="432"/>
      <c r="AL196" s="432"/>
      <c r="AM196" s="432"/>
      <c r="AN196" s="432"/>
      <c r="AO196" s="432"/>
      <c r="AP196" s="432"/>
      <c r="AQ196" s="432"/>
      <c r="AR196" s="432"/>
      <c r="AS196" s="432"/>
      <c r="AT196" s="432"/>
      <c r="AU196" s="432"/>
      <c r="AV196" s="432"/>
      <c r="AW196" s="432"/>
      <c r="AX196" s="432"/>
      <c r="AY196" s="432"/>
    </row>
    <row r="197" spans="1:51" x14ac:dyDescent="0.2">
      <c r="A197" s="431"/>
      <c r="B197" s="432"/>
      <c r="C197" s="432"/>
      <c r="D197" s="432"/>
      <c r="E197" s="432"/>
      <c r="F197" s="432"/>
      <c r="G197" s="432"/>
      <c r="H197" s="432"/>
      <c r="I197" s="432"/>
      <c r="J197" s="432"/>
      <c r="K197" s="432"/>
      <c r="L197" s="432"/>
      <c r="M197" s="432"/>
      <c r="N197" s="432"/>
      <c r="O197" s="432"/>
      <c r="P197" s="432"/>
      <c r="Q197" s="432"/>
      <c r="R197" s="432"/>
      <c r="S197" s="432"/>
      <c r="T197" s="432"/>
      <c r="U197" s="432"/>
      <c r="V197" s="432"/>
      <c r="W197" s="432"/>
      <c r="X197" s="432"/>
      <c r="Y197" s="432"/>
      <c r="Z197" s="432"/>
      <c r="AA197" s="432"/>
      <c r="AB197" s="432"/>
      <c r="AC197" s="432"/>
      <c r="AD197" s="432"/>
      <c r="AE197" s="432"/>
      <c r="AF197" s="432"/>
      <c r="AG197" s="432"/>
      <c r="AH197" s="432"/>
      <c r="AI197" s="432"/>
      <c r="AJ197" s="432"/>
      <c r="AK197" s="432"/>
      <c r="AL197" s="432"/>
      <c r="AM197" s="432"/>
      <c r="AN197" s="432"/>
      <c r="AO197" s="432"/>
      <c r="AP197" s="432"/>
      <c r="AQ197" s="432"/>
      <c r="AR197" s="432"/>
      <c r="AS197" s="432"/>
      <c r="AT197" s="432"/>
      <c r="AU197" s="432"/>
      <c r="AV197" s="432"/>
      <c r="AW197" s="432"/>
      <c r="AX197" s="432"/>
      <c r="AY197" s="432"/>
    </row>
    <row r="198" spans="1:51" x14ac:dyDescent="0.2">
      <c r="A198" s="431"/>
      <c r="B198" s="432"/>
      <c r="C198" s="432"/>
      <c r="D198" s="432"/>
      <c r="E198" s="432"/>
      <c r="F198" s="432"/>
      <c r="G198" s="432"/>
      <c r="H198" s="432"/>
      <c r="I198" s="432"/>
      <c r="J198" s="432"/>
      <c r="K198" s="432"/>
      <c r="L198" s="432"/>
      <c r="M198" s="432"/>
      <c r="N198" s="432"/>
      <c r="O198" s="432"/>
      <c r="P198" s="432"/>
      <c r="Q198" s="432"/>
      <c r="R198" s="432"/>
      <c r="S198" s="432"/>
      <c r="T198" s="432"/>
      <c r="U198" s="432"/>
      <c r="V198" s="432"/>
      <c r="W198" s="432"/>
      <c r="X198" s="432"/>
      <c r="Y198" s="432"/>
      <c r="Z198" s="432"/>
      <c r="AA198" s="432"/>
      <c r="AB198" s="432"/>
      <c r="AC198" s="432"/>
      <c r="AD198" s="432"/>
      <c r="AE198" s="432"/>
      <c r="AF198" s="432"/>
      <c r="AG198" s="432"/>
      <c r="AH198" s="432"/>
      <c r="AI198" s="432"/>
      <c r="AJ198" s="432"/>
      <c r="AK198" s="432"/>
      <c r="AL198" s="432"/>
      <c r="AM198" s="432"/>
      <c r="AN198" s="432"/>
      <c r="AO198" s="432"/>
      <c r="AP198" s="432"/>
      <c r="AQ198" s="432"/>
      <c r="AR198" s="432"/>
      <c r="AS198" s="432"/>
      <c r="AT198" s="432"/>
      <c r="AU198" s="432"/>
      <c r="AV198" s="432"/>
      <c r="AW198" s="432"/>
      <c r="AX198" s="432"/>
      <c r="AY198" s="432"/>
    </row>
    <row r="199" spans="1:51" x14ac:dyDescent="0.2">
      <c r="A199" s="431"/>
      <c r="B199" s="432"/>
      <c r="C199" s="432"/>
      <c r="D199" s="432"/>
      <c r="E199" s="432"/>
      <c r="F199" s="432"/>
      <c r="G199" s="432"/>
      <c r="H199" s="432"/>
      <c r="I199" s="432"/>
      <c r="J199" s="432"/>
      <c r="K199" s="432"/>
      <c r="L199" s="432"/>
      <c r="M199" s="432"/>
      <c r="N199" s="432"/>
      <c r="O199" s="432"/>
      <c r="P199" s="432"/>
      <c r="Q199" s="432"/>
      <c r="R199" s="432"/>
      <c r="S199" s="432"/>
      <c r="T199" s="432"/>
      <c r="U199" s="432"/>
      <c r="V199" s="432"/>
      <c r="W199" s="432"/>
      <c r="X199" s="432"/>
      <c r="Y199" s="432"/>
      <c r="Z199" s="432"/>
      <c r="AA199" s="432"/>
      <c r="AB199" s="432"/>
      <c r="AC199" s="432"/>
      <c r="AD199" s="432"/>
      <c r="AE199" s="432"/>
      <c r="AF199" s="432"/>
      <c r="AG199" s="432"/>
      <c r="AH199" s="432"/>
      <c r="AI199" s="432"/>
      <c r="AJ199" s="432"/>
      <c r="AK199" s="432"/>
      <c r="AL199" s="432"/>
      <c r="AM199" s="432"/>
      <c r="AN199" s="432"/>
      <c r="AO199" s="432"/>
      <c r="AP199" s="432"/>
      <c r="AQ199" s="432"/>
      <c r="AR199" s="432"/>
      <c r="AS199" s="432"/>
      <c r="AT199" s="432"/>
      <c r="AU199" s="432"/>
      <c r="AV199" s="432"/>
      <c r="AW199" s="432"/>
      <c r="AX199" s="432"/>
      <c r="AY199" s="432"/>
    </row>
    <row r="200" spans="1:51" x14ac:dyDescent="0.2">
      <c r="A200" s="431"/>
      <c r="B200" s="432"/>
      <c r="C200" s="432"/>
      <c r="D200" s="432"/>
      <c r="E200" s="432"/>
      <c r="F200" s="432"/>
      <c r="G200" s="432"/>
      <c r="H200" s="432"/>
      <c r="I200" s="432"/>
      <c r="J200" s="432"/>
      <c r="K200" s="432"/>
      <c r="L200" s="432"/>
      <c r="M200" s="432"/>
      <c r="N200" s="432"/>
      <c r="O200" s="432"/>
      <c r="P200" s="432"/>
      <c r="Q200" s="432"/>
      <c r="R200" s="432"/>
      <c r="S200" s="432"/>
      <c r="T200" s="432"/>
      <c r="U200" s="432"/>
      <c r="V200" s="432"/>
      <c r="W200" s="432"/>
      <c r="X200" s="432"/>
      <c r="Y200" s="432"/>
      <c r="Z200" s="432"/>
      <c r="AA200" s="432"/>
      <c r="AB200" s="432"/>
      <c r="AC200" s="432"/>
      <c r="AD200" s="432"/>
      <c r="AE200" s="432"/>
      <c r="AF200" s="432"/>
      <c r="AG200" s="432"/>
      <c r="AH200" s="432"/>
      <c r="AI200" s="432"/>
      <c r="AJ200" s="432"/>
      <c r="AK200" s="432"/>
      <c r="AL200" s="432"/>
      <c r="AM200" s="432"/>
      <c r="AN200" s="432"/>
      <c r="AO200" s="432"/>
      <c r="AP200" s="432"/>
      <c r="AQ200" s="432"/>
      <c r="AR200" s="432"/>
      <c r="AS200" s="432"/>
      <c r="AT200" s="432"/>
      <c r="AU200" s="432"/>
      <c r="AV200" s="432"/>
      <c r="AW200" s="432"/>
      <c r="AX200" s="432"/>
      <c r="AY200" s="432"/>
    </row>
    <row r="201" spans="1:51" x14ac:dyDescent="0.2">
      <c r="A201" s="431"/>
      <c r="B201" s="432"/>
      <c r="C201" s="432"/>
      <c r="D201" s="432"/>
      <c r="E201" s="432"/>
      <c r="F201" s="432"/>
      <c r="G201" s="432"/>
      <c r="H201" s="432"/>
      <c r="I201" s="432"/>
      <c r="J201" s="432"/>
      <c r="K201" s="432"/>
      <c r="L201" s="432"/>
      <c r="M201" s="432"/>
      <c r="N201" s="432"/>
      <c r="O201" s="432"/>
      <c r="P201" s="432"/>
      <c r="Q201" s="432"/>
      <c r="R201" s="432"/>
      <c r="S201" s="432"/>
      <c r="T201" s="432"/>
      <c r="U201" s="432"/>
      <c r="V201" s="432"/>
      <c r="W201" s="432"/>
      <c r="X201" s="432"/>
      <c r="Y201" s="432"/>
      <c r="Z201" s="432"/>
      <c r="AA201" s="432"/>
      <c r="AB201" s="432"/>
      <c r="AC201" s="432"/>
      <c r="AD201" s="432"/>
      <c r="AE201" s="432"/>
      <c r="AF201" s="432"/>
      <c r="AG201" s="432"/>
      <c r="AH201" s="432"/>
      <c r="AI201" s="432"/>
      <c r="AJ201" s="432"/>
      <c r="AK201" s="432"/>
      <c r="AL201" s="432"/>
      <c r="AM201" s="432"/>
      <c r="AN201" s="432"/>
      <c r="AO201" s="432"/>
      <c r="AP201" s="432"/>
      <c r="AQ201" s="432"/>
      <c r="AR201" s="432"/>
      <c r="AS201" s="432"/>
      <c r="AT201" s="432"/>
      <c r="AU201" s="432"/>
      <c r="AV201" s="432"/>
      <c r="AW201" s="432"/>
      <c r="AX201" s="432"/>
      <c r="AY201" s="432"/>
    </row>
    <row r="202" spans="1:51" x14ac:dyDescent="0.2">
      <c r="A202" s="431"/>
      <c r="B202" s="432"/>
      <c r="C202" s="432"/>
      <c r="D202" s="432"/>
      <c r="E202" s="432"/>
      <c r="F202" s="432"/>
      <c r="G202" s="432"/>
      <c r="H202" s="432"/>
      <c r="I202" s="432"/>
      <c r="J202" s="432"/>
      <c r="K202" s="432"/>
      <c r="L202" s="432"/>
      <c r="M202" s="432"/>
      <c r="N202" s="432"/>
      <c r="O202" s="432"/>
      <c r="P202" s="432"/>
      <c r="Q202" s="432"/>
      <c r="R202" s="432"/>
      <c r="S202" s="432"/>
      <c r="T202" s="432"/>
      <c r="U202" s="432"/>
      <c r="V202" s="432"/>
      <c r="W202" s="432"/>
      <c r="X202" s="432"/>
      <c r="Y202" s="432"/>
      <c r="Z202" s="432"/>
      <c r="AA202" s="432"/>
      <c r="AB202" s="432"/>
      <c r="AC202" s="432"/>
      <c r="AD202" s="432"/>
      <c r="AE202" s="432"/>
      <c r="AF202" s="432"/>
      <c r="AG202" s="432"/>
      <c r="AH202" s="432"/>
      <c r="AI202" s="432"/>
      <c r="AJ202" s="432"/>
      <c r="AK202" s="432"/>
      <c r="AL202" s="432"/>
      <c r="AM202" s="432"/>
      <c r="AN202" s="432"/>
      <c r="AO202" s="432"/>
      <c r="AP202" s="432"/>
      <c r="AQ202" s="432"/>
      <c r="AR202" s="432"/>
      <c r="AS202" s="432"/>
      <c r="AT202" s="432"/>
      <c r="AU202" s="432"/>
      <c r="AV202" s="432"/>
      <c r="AW202" s="432"/>
      <c r="AX202" s="432"/>
      <c r="AY202" s="432"/>
    </row>
    <row r="203" spans="1:51" x14ac:dyDescent="0.2">
      <c r="A203" s="431"/>
      <c r="B203" s="432"/>
      <c r="C203" s="432"/>
      <c r="D203" s="432"/>
      <c r="E203" s="432"/>
      <c r="F203" s="432"/>
      <c r="G203" s="432"/>
      <c r="H203" s="432"/>
      <c r="I203" s="432"/>
      <c r="J203" s="432"/>
      <c r="K203" s="432"/>
      <c r="L203" s="432"/>
      <c r="M203" s="432"/>
      <c r="N203" s="432"/>
      <c r="O203" s="432"/>
      <c r="P203" s="432"/>
      <c r="Q203" s="432"/>
      <c r="R203" s="432"/>
      <c r="S203" s="432"/>
      <c r="T203" s="432"/>
      <c r="U203" s="432"/>
      <c r="V203" s="432"/>
      <c r="W203" s="432"/>
      <c r="X203" s="432"/>
      <c r="Y203" s="432"/>
      <c r="Z203" s="432"/>
      <c r="AA203" s="432"/>
      <c r="AB203" s="432"/>
      <c r="AC203" s="432"/>
      <c r="AD203" s="432"/>
      <c r="AE203" s="432"/>
      <c r="AF203" s="432"/>
      <c r="AG203" s="432"/>
      <c r="AH203" s="432"/>
      <c r="AI203" s="432"/>
      <c r="AJ203" s="432"/>
      <c r="AK203" s="432"/>
      <c r="AL203" s="432"/>
      <c r="AM203" s="432"/>
      <c r="AN203" s="432"/>
      <c r="AO203" s="432"/>
      <c r="AP203" s="432"/>
      <c r="AQ203" s="432"/>
      <c r="AR203" s="432"/>
      <c r="AS203" s="432"/>
      <c r="AT203" s="432"/>
      <c r="AU203" s="432"/>
      <c r="AV203" s="432"/>
      <c r="AW203" s="432"/>
      <c r="AX203" s="432"/>
      <c r="AY203" s="432"/>
    </row>
    <row r="204" spans="1:51" ht="13.5" thickBot="1" x14ac:dyDescent="0.25">
      <c r="A204" s="433"/>
      <c r="B204" s="432"/>
      <c r="C204" s="432"/>
      <c r="D204" s="432"/>
      <c r="E204" s="432"/>
      <c r="F204" s="432"/>
      <c r="G204" s="432"/>
      <c r="H204" s="432"/>
      <c r="I204" s="432"/>
      <c r="J204" s="432"/>
      <c r="K204" s="432"/>
      <c r="L204" s="432"/>
      <c r="M204" s="432"/>
      <c r="N204" s="432"/>
      <c r="O204" s="432"/>
      <c r="P204" s="432"/>
      <c r="Q204" s="432"/>
      <c r="R204" s="432"/>
      <c r="S204" s="432"/>
      <c r="T204" s="432"/>
      <c r="U204" s="432"/>
      <c r="V204" s="432"/>
      <c r="W204" s="432"/>
      <c r="X204" s="432"/>
      <c r="Y204" s="432"/>
      <c r="Z204" s="432"/>
      <c r="AA204" s="432"/>
      <c r="AB204" s="432"/>
      <c r="AC204" s="432"/>
      <c r="AD204" s="432"/>
      <c r="AE204" s="432"/>
      <c r="AF204" s="432"/>
      <c r="AG204" s="432"/>
      <c r="AH204" s="432"/>
      <c r="AI204" s="432"/>
      <c r="AJ204" s="432"/>
      <c r="AK204" s="432"/>
      <c r="AL204" s="432"/>
      <c r="AM204" s="432"/>
      <c r="AN204" s="432"/>
      <c r="AO204" s="432"/>
      <c r="AP204" s="432"/>
      <c r="AQ204" s="432"/>
      <c r="AR204" s="432"/>
      <c r="AS204" s="432"/>
      <c r="AT204" s="432"/>
      <c r="AU204" s="432"/>
      <c r="AV204" s="432"/>
      <c r="AW204" s="432"/>
      <c r="AX204" s="432"/>
      <c r="AY204" s="432"/>
    </row>
    <row r="205" spans="1:51" x14ac:dyDescent="0.2">
      <c r="A205" s="1"/>
    </row>
    <row r="206" spans="1:51" x14ac:dyDescent="0.2">
      <c r="A206" s="1"/>
    </row>
    <row r="207" spans="1:51" x14ac:dyDescent="0.2">
      <c r="A207" s="1"/>
    </row>
    <row r="208" spans="1:5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3"/>
    </row>
    <row r="256" spans="1:1" x14ac:dyDescent="0.2">
      <c r="A256" s="3"/>
    </row>
    <row r="257" spans="1:1" x14ac:dyDescent="0.2">
      <c r="A257" s="3"/>
    </row>
    <row r="258" spans="1:1" x14ac:dyDescent="0.2">
      <c r="A258" s="3"/>
    </row>
    <row r="259" spans="1:1" x14ac:dyDescent="0.2">
      <c r="A259" s="3"/>
    </row>
    <row r="260" spans="1:1" x14ac:dyDescent="0.2">
      <c r="A260" s="3"/>
    </row>
    <row r="261" spans="1:1" x14ac:dyDescent="0.2">
      <c r="A261" s="3"/>
    </row>
    <row r="262" spans="1:1" x14ac:dyDescent="0.2">
      <c r="A262" s="3"/>
    </row>
    <row r="263" spans="1:1" x14ac:dyDescent="0.2">
      <c r="A263" s="3"/>
    </row>
    <row r="264" spans="1:1" x14ac:dyDescent="0.2">
      <c r="A264" s="3"/>
    </row>
    <row r="265" spans="1:1" x14ac:dyDescent="0.2">
      <c r="A265" s="3"/>
    </row>
    <row r="266" spans="1:1" x14ac:dyDescent="0.2">
      <c r="A266" s="3"/>
    </row>
    <row r="267" spans="1:1" x14ac:dyDescent="0.2">
      <c r="A267" s="3"/>
    </row>
    <row r="268" spans="1:1" x14ac:dyDescent="0.2">
      <c r="A268" s="3"/>
    </row>
    <row r="269" spans="1:1" x14ac:dyDescent="0.2">
      <c r="A269" s="3"/>
    </row>
    <row r="270" spans="1:1" x14ac:dyDescent="0.2">
      <c r="A270" s="3"/>
    </row>
    <row r="271" spans="1:1" x14ac:dyDescent="0.2">
      <c r="A271" s="3"/>
    </row>
    <row r="272" spans="1:1" x14ac:dyDescent="0.2">
      <c r="A272" s="3"/>
    </row>
    <row r="273" spans="1:1" x14ac:dyDescent="0.2">
      <c r="A273" s="3"/>
    </row>
    <row r="274" spans="1:1" x14ac:dyDescent="0.2">
      <c r="A274" s="3"/>
    </row>
    <row r="275" spans="1:1" x14ac:dyDescent="0.2">
      <c r="A275" s="3"/>
    </row>
    <row r="276" spans="1:1" x14ac:dyDescent="0.2">
      <c r="A276" s="3"/>
    </row>
    <row r="277" spans="1:1" x14ac:dyDescent="0.2">
      <c r="A277" s="3"/>
    </row>
    <row r="278" spans="1:1" x14ac:dyDescent="0.2">
      <c r="A278" s="3"/>
    </row>
    <row r="279" spans="1:1" x14ac:dyDescent="0.2">
      <c r="A279" s="3"/>
    </row>
    <row r="280" spans="1:1" x14ac:dyDescent="0.2">
      <c r="A280" s="3"/>
    </row>
    <row r="281" spans="1:1" x14ac:dyDescent="0.2">
      <c r="A281" s="3"/>
    </row>
    <row r="282" spans="1:1" x14ac:dyDescent="0.2">
      <c r="A282" s="3"/>
    </row>
    <row r="283" spans="1:1" x14ac:dyDescent="0.2">
      <c r="A283" s="3"/>
    </row>
    <row r="284" spans="1:1" x14ac:dyDescent="0.2">
      <c r="A284" s="3"/>
    </row>
    <row r="285" spans="1:1" x14ac:dyDescent="0.2">
      <c r="A285" s="3"/>
    </row>
    <row r="286" spans="1:1" x14ac:dyDescent="0.2">
      <c r="A286" s="3"/>
    </row>
    <row r="287" spans="1:1" x14ac:dyDescent="0.2">
      <c r="A287" s="3"/>
    </row>
    <row r="288" spans="1:1" x14ac:dyDescent="0.2">
      <c r="A288" s="3"/>
    </row>
    <row r="289" spans="1:1" x14ac:dyDescent="0.2">
      <c r="A289" s="3"/>
    </row>
    <row r="290" spans="1:1" x14ac:dyDescent="0.2">
      <c r="A290" s="3"/>
    </row>
    <row r="291" spans="1:1" x14ac:dyDescent="0.2">
      <c r="A291" s="3"/>
    </row>
    <row r="292" spans="1:1" x14ac:dyDescent="0.2">
      <c r="A292" s="3"/>
    </row>
    <row r="293" spans="1:1" x14ac:dyDescent="0.2">
      <c r="A293" s="3"/>
    </row>
    <row r="294" spans="1:1" x14ac:dyDescent="0.2">
      <c r="A294" s="3"/>
    </row>
    <row r="295" spans="1:1" x14ac:dyDescent="0.2">
      <c r="A295" s="3"/>
    </row>
    <row r="296" spans="1:1" x14ac:dyDescent="0.2">
      <c r="A296" s="3"/>
    </row>
    <row r="297" spans="1:1" x14ac:dyDescent="0.2">
      <c r="A297" s="3"/>
    </row>
    <row r="298" spans="1:1" x14ac:dyDescent="0.2">
      <c r="A298" s="3"/>
    </row>
    <row r="299" spans="1:1" x14ac:dyDescent="0.2">
      <c r="A299" s="3"/>
    </row>
    <row r="300" spans="1:1" x14ac:dyDescent="0.2">
      <c r="A300" s="3"/>
    </row>
    <row r="301" spans="1:1" x14ac:dyDescent="0.2">
      <c r="A301" s="3"/>
    </row>
    <row r="302" spans="1:1" x14ac:dyDescent="0.2">
      <c r="A302" s="3"/>
    </row>
    <row r="303" spans="1:1" x14ac:dyDescent="0.2">
      <c r="A303" s="3"/>
    </row>
    <row r="304" spans="1:1" x14ac:dyDescent="0.2">
      <c r="A304" s="3"/>
    </row>
    <row r="305" spans="1:1" x14ac:dyDescent="0.2">
      <c r="A305" s="3"/>
    </row>
    <row r="306" spans="1:1" x14ac:dyDescent="0.2">
      <c r="A306" s="3"/>
    </row>
    <row r="307" spans="1:1" x14ac:dyDescent="0.2">
      <c r="A307" s="3"/>
    </row>
    <row r="308" spans="1:1" x14ac:dyDescent="0.2">
      <c r="A308" s="3"/>
    </row>
    <row r="309" spans="1:1" x14ac:dyDescent="0.2">
      <c r="A309" s="3"/>
    </row>
    <row r="310" spans="1:1" x14ac:dyDescent="0.2">
      <c r="A310" s="3"/>
    </row>
    <row r="311" spans="1:1" x14ac:dyDescent="0.2">
      <c r="A311" s="3"/>
    </row>
    <row r="312" spans="1:1" x14ac:dyDescent="0.2">
      <c r="A312" s="3"/>
    </row>
    <row r="313" spans="1:1" x14ac:dyDescent="0.2">
      <c r="A313" s="3"/>
    </row>
    <row r="314" spans="1:1" x14ac:dyDescent="0.2">
      <c r="A314" s="3"/>
    </row>
    <row r="315" spans="1:1" x14ac:dyDescent="0.2">
      <c r="A315" s="3"/>
    </row>
    <row r="316" spans="1:1" x14ac:dyDescent="0.2">
      <c r="A316" s="3"/>
    </row>
    <row r="317" spans="1:1" x14ac:dyDescent="0.2">
      <c r="A317" s="3"/>
    </row>
    <row r="318" spans="1:1" x14ac:dyDescent="0.2">
      <c r="A318" s="3"/>
    </row>
    <row r="319" spans="1:1" x14ac:dyDescent="0.2">
      <c r="A319" s="3"/>
    </row>
    <row r="320" spans="1:1" x14ac:dyDescent="0.2">
      <c r="A320" s="3"/>
    </row>
    <row r="321" spans="1:1" x14ac:dyDescent="0.2">
      <c r="A321" s="3"/>
    </row>
    <row r="322" spans="1:1" x14ac:dyDescent="0.2">
      <c r="A322" s="3"/>
    </row>
    <row r="323" spans="1:1" x14ac:dyDescent="0.2">
      <c r="A323" s="3"/>
    </row>
    <row r="324" spans="1:1" x14ac:dyDescent="0.2">
      <c r="A324" s="3"/>
    </row>
    <row r="325" spans="1:1" x14ac:dyDescent="0.2">
      <c r="A325" s="3"/>
    </row>
    <row r="326" spans="1:1" x14ac:dyDescent="0.2">
      <c r="A326" s="3"/>
    </row>
    <row r="327" spans="1:1" x14ac:dyDescent="0.2">
      <c r="A327" s="3"/>
    </row>
    <row r="328" spans="1:1" x14ac:dyDescent="0.2">
      <c r="A328" s="3"/>
    </row>
    <row r="329" spans="1:1" x14ac:dyDescent="0.2">
      <c r="A329" s="3"/>
    </row>
    <row r="330" spans="1:1" x14ac:dyDescent="0.2">
      <c r="A330" s="3"/>
    </row>
    <row r="331" spans="1:1" x14ac:dyDescent="0.2">
      <c r="A331" s="3"/>
    </row>
    <row r="332" spans="1:1" x14ac:dyDescent="0.2">
      <c r="A332" s="3"/>
    </row>
    <row r="333" spans="1:1" x14ac:dyDescent="0.2">
      <c r="A333" s="3"/>
    </row>
    <row r="334" spans="1:1" x14ac:dyDescent="0.2">
      <c r="A334" s="3"/>
    </row>
    <row r="335" spans="1:1" x14ac:dyDescent="0.2">
      <c r="A335" s="3"/>
    </row>
    <row r="336" spans="1:1" x14ac:dyDescent="0.2">
      <c r="A336" s="3"/>
    </row>
    <row r="337" spans="1:1" x14ac:dyDescent="0.2">
      <c r="A337" s="3"/>
    </row>
    <row r="338" spans="1:1" x14ac:dyDescent="0.2">
      <c r="A338" s="3"/>
    </row>
    <row r="339" spans="1:1" x14ac:dyDescent="0.2">
      <c r="A339" s="3"/>
    </row>
    <row r="340" spans="1:1" x14ac:dyDescent="0.2">
      <c r="A340" s="3"/>
    </row>
    <row r="341" spans="1:1" x14ac:dyDescent="0.2">
      <c r="A341" s="3"/>
    </row>
    <row r="342" spans="1:1" x14ac:dyDescent="0.2">
      <c r="A342" s="3"/>
    </row>
    <row r="343" spans="1:1" x14ac:dyDescent="0.2">
      <c r="A343" s="3"/>
    </row>
    <row r="344" spans="1:1" x14ac:dyDescent="0.2">
      <c r="A344" s="3"/>
    </row>
    <row r="345" spans="1:1" x14ac:dyDescent="0.2">
      <c r="A345" s="3"/>
    </row>
    <row r="346" spans="1:1" x14ac:dyDescent="0.2">
      <c r="A346" s="3"/>
    </row>
    <row r="347" spans="1:1" x14ac:dyDescent="0.2">
      <c r="A347" s="3"/>
    </row>
    <row r="348" spans="1:1" x14ac:dyDescent="0.2">
      <c r="A348" s="3"/>
    </row>
    <row r="349" spans="1:1" x14ac:dyDescent="0.2">
      <c r="A349" s="3"/>
    </row>
    <row r="350" spans="1:1" x14ac:dyDescent="0.2">
      <c r="A350" s="3"/>
    </row>
    <row r="351" spans="1:1" x14ac:dyDescent="0.2">
      <c r="A351" s="3"/>
    </row>
    <row r="352" spans="1:1" x14ac:dyDescent="0.2">
      <c r="A352" s="3"/>
    </row>
    <row r="353" spans="1:1" x14ac:dyDescent="0.2">
      <c r="A353" s="3"/>
    </row>
    <row r="354" spans="1:1" x14ac:dyDescent="0.2">
      <c r="A354" s="3"/>
    </row>
    <row r="355" spans="1:1" x14ac:dyDescent="0.2">
      <c r="A355" s="3"/>
    </row>
    <row r="356" spans="1:1" x14ac:dyDescent="0.2">
      <c r="A356" s="3"/>
    </row>
    <row r="357" spans="1:1" x14ac:dyDescent="0.2">
      <c r="A357" s="3"/>
    </row>
    <row r="358" spans="1:1" x14ac:dyDescent="0.2">
      <c r="A358" s="3"/>
    </row>
    <row r="359" spans="1:1" x14ac:dyDescent="0.2">
      <c r="A359" s="3"/>
    </row>
    <row r="360" spans="1:1" x14ac:dyDescent="0.2">
      <c r="A360" s="3"/>
    </row>
    <row r="361" spans="1:1" x14ac:dyDescent="0.2">
      <c r="A361" s="3"/>
    </row>
    <row r="362" spans="1:1" x14ac:dyDescent="0.2">
      <c r="A362" s="3"/>
    </row>
    <row r="363" spans="1:1" x14ac:dyDescent="0.2">
      <c r="A363" s="3"/>
    </row>
    <row r="364" spans="1:1" x14ac:dyDescent="0.2">
      <c r="A364" s="3"/>
    </row>
    <row r="365" spans="1:1" x14ac:dyDescent="0.2">
      <c r="A365" s="3"/>
    </row>
    <row r="366" spans="1:1" x14ac:dyDescent="0.2">
      <c r="A366" s="3"/>
    </row>
    <row r="367" spans="1:1" x14ac:dyDescent="0.2">
      <c r="A367" s="3"/>
    </row>
    <row r="368" spans="1:1" x14ac:dyDescent="0.2">
      <c r="A368" s="3"/>
    </row>
    <row r="369" spans="1:1" x14ac:dyDescent="0.2">
      <c r="A369" s="3"/>
    </row>
    <row r="370" spans="1:1" x14ac:dyDescent="0.2">
      <c r="A370" s="3"/>
    </row>
    <row r="371" spans="1:1" x14ac:dyDescent="0.2">
      <c r="A371" s="3"/>
    </row>
    <row r="372" spans="1:1" x14ac:dyDescent="0.2">
      <c r="A372" s="3"/>
    </row>
    <row r="373" spans="1:1" x14ac:dyDescent="0.2">
      <c r="A373" s="3"/>
    </row>
    <row r="374" spans="1:1" x14ac:dyDescent="0.2">
      <c r="A374" s="3"/>
    </row>
    <row r="375" spans="1:1" x14ac:dyDescent="0.2">
      <c r="A375" s="3"/>
    </row>
    <row r="376" spans="1:1" x14ac:dyDescent="0.2">
      <c r="A376" s="3"/>
    </row>
    <row r="377" spans="1:1" x14ac:dyDescent="0.2">
      <c r="A377" s="3"/>
    </row>
    <row r="378" spans="1:1" x14ac:dyDescent="0.2">
      <c r="A378" s="3"/>
    </row>
    <row r="379" spans="1:1" x14ac:dyDescent="0.2">
      <c r="A379" s="3"/>
    </row>
    <row r="380" spans="1:1" x14ac:dyDescent="0.2">
      <c r="A380" s="3"/>
    </row>
    <row r="381" spans="1:1" x14ac:dyDescent="0.2">
      <c r="A381" s="3"/>
    </row>
    <row r="382" spans="1:1" x14ac:dyDescent="0.2">
      <c r="A382" s="3"/>
    </row>
    <row r="383" spans="1:1" x14ac:dyDescent="0.2">
      <c r="A383" s="3"/>
    </row>
    <row r="384" spans="1:1" x14ac:dyDescent="0.2">
      <c r="A384" s="3"/>
    </row>
    <row r="385" spans="1:1" x14ac:dyDescent="0.2">
      <c r="A385" s="3"/>
    </row>
    <row r="386" spans="1:1" x14ac:dyDescent="0.2">
      <c r="A386" s="3"/>
    </row>
    <row r="387" spans="1:1" x14ac:dyDescent="0.2">
      <c r="A387" s="3"/>
    </row>
    <row r="388" spans="1:1" x14ac:dyDescent="0.2">
      <c r="A388" s="3"/>
    </row>
    <row r="389" spans="1:1" x14ac:dyDescent="0.2">
      <c r="A389" s="3"/>
    </row>
    <row r="390" spans="1:1" x14ac:dyDescent="0.2">
      <c r="A390" s="3"/>
    </row>
    <row r="391" spans="1:1" x14ac:dyDescent="0.2">
      <c r="A391" s="3"/>
    </row>
    <row r="392" spans="1:1" x14ac:dyDescent="0.2">
      <c r="A392" s="3"/>
    </row>
    <row r="393" spans="1:1" x14ac:dyDescent="0.2">
      <c r="A393" s="3"/>
    </row>
    <row r="394" spans="1:1" x14ac:dyDescent="0.2">
      <c r="A394" s="3"/>
    </row>
    <row r="395" spans="1:1" x14ac:dyDescent="0.2">
      <c r="A395" s="3"/>
    </row>
    <row r="396" spans="1:1" x14ac:dyDescent="0.2">
      <c r="A396" s="3"/>
    </row>
    <row r="397" spans="1:1" x14ac:dyDescent="0.2">
      <c r="A397" s="3"/>
    </row>
    <row r="398" spans="1:1" x14ac:dyDescent="0.2">
      <c r="A398" s="3"/>
    </row>
    <row r="399" spans="1:1" x14ac:dyDescent="0.2">
      <c r="A399" s="3"/>
    </row>
    <row r="400" spans="1:1" x14ac:dyDescent="0.2">
      <c r="A400" s="3"/>
    </row>
    <row r="401" spans="1:1" x14ac:dyDescent="0.2">
      <c r="A401" s="3"/>
    </row>
    <row r="402" spans="1:1" x14ac:dyDescent="0.2">
      <c r="A402" s="3"/>
    </row>
    <row r="403" spans="1:1" x14ac:dyDescent="0.2">
      <c r="A403" s="3"/>
    </row>
    <row r="404" spans="1:1" x14ac:dyDescent="0.2">
      <c r="A404" s="3"/>
    </row>
    <row r="405" spans="1:1" x14ac:dyDescent="0.2">
      <c r="A405" s="3"/>
    </row>
    <row r="406" spans="1:1" x14ac:dyDescent="0.2">
      <c r="A406" s="3"/>
    </row>
    <row r="407" spans="1:1" x14ac:dyDescent="0.2">
      <c r="A407" s="3"/>
    </row>
    <row r="408" spans="1:1" x14ac:dyDescent="0.2">
      <c r="A408" s="3"/>
    </row>
    <row r="409" spans="1:1" x14ac:dyDescent="0.2">
      <c r="A409" s="3"/>
    </row>
    <row r="410" spans="1:1" x14ac:dyDescent="0.2">
      <c r="A410" s="3"/>
    </row>
    <row r="411" spans="1:1" x14ac:dyDescent="0.2">
      <c r="A411" s="3"/>
    </row>
    <row r="412" spans="1:1" x14ac:dyDescent="0.2">
      <c r="A412" s="3"/>
    </row>
    <row r="413" spans="1:1" x14ac:dyDescent="0.2">
      <c r="A413" s="3"/>
    </row>
    <row r="414" spans="1:1" x14ac:dyDescent="0.2">
      <c r="A414" s="3"/>
    </row>
    <row r="415" spans="1:1" x14ac:dyDescent="0.2">
      <c r="A415" s="3"/>
    </row>
    <row r="416" spans="1:1" x14ac:dyDescent="0.2">
      <c r="A416" s="3"/>
    </row>
    <row r="417" spans="1:1" x14ac:dyDescent="0.2">
      <c r="A417" s="3"/>
    </row>
    <row r="418" spans="1:1" x14ac:dyDescent="0.2">
      <c r="A418" s="3"/>
    </row>
    <row r="419" spans="1:1" x14ac:dyDescent="0.2">
      <c r="A419" s="3"/>
    </row>
    <row r="420" spans="1:1" x14ac:dyDescent="0.2">
      <c r="A420" s="3"/>
    </row>
    <row r="421" spans="1:1" x14ac:dyDescent="0.2">
      <c r="A421" s="3"/>
    </row>
    <row r="422" spans="1:1" x14ac:dyDescent="0.2">
      <c r="A422" s="3"/>
    </row>
    <row r="423" spans="1:1" x14ac:dyDescent="0.2">
      <c r="A423" s="3"/>
    </row>
    <row r="424" spans="1:1" x14ac:dyDescent="0.2">
      <c r="A424" s="3"/>
    </row>
    <row r="425" spans="1:1" x14ac:dyDescent="0.2">
      <c r="A425" s="3"/>
    </row>
    <row r="426" spans="1:1" x14ac:dyDescent="0.2">
      <c r="A426" s="3"/>
    </row>
    <row r="427" spans="1:1" x14ac:dyDescent="0.2">
      <c r="A427" s="3"/>
    </row>
    <row r="428" spans="1:1" x14ac:dyDescent="0.2">
      <c r="A428" s="3"/>
    </row>
    <row r="429" spans="1:1" x14ac:dyDescent="0.2">
      <c r="A429" s="3"/>
    </row>
    <row r="430" spans="1:1" x14ac:dyDescent="0.2">
      <c r="A430" s="3"/>
    </row>
    <row r="431" spans="1:1" x14ac:dyDescent="0.2">
      <c r="A431" s="3"/>
    </row>
    <row r="432" spans="1:1" x14ac:dyDescent="0.2">
      <c r="A432" s="3"/>
    </row>
    <row r="433" spans="1:1" x14ac:dyDescent="0.2">
      <c r="A433" s="3"/>
    </row>
    <row r="434" spans="1:1" x14ac:dyDescent="0.2">
      <c r="A434" s="3"/>
    </row>
    <row r="435" spans="1:1" x14ac:dyDescent="0.2">
      <c r="A435" s="3"/>
    </row>
    <row r="436" spans="1:1" x14ac:dyDescent="0.2">
      <c r="A436" s="3"/>
    </row>
    <row r="437" spans="1:1" x14ac:dyDescent="0.2">
      <c r="A437" s="3"/>
    </row>
    <row r="438" spans="1:1" x14ac:dyDescent="0.2">
      <c r="A438" s="3"/>
    </row>
    <row r="439" spans="1:1" x14ac:dyDescent="0.2">
      <c r="A439" s="3"/>
    </row>
    <row r="440" spans="1:1" x14ac:dyDescent="0.2">
      <c r="A440" s="3"/>
    </row>
    <row r="441" spans="1:1" x14ac:dyDescent="0.2">
      <c r="A441" s="3"/>
    </row>
    <row r="442" spans="1:1" x14ac:dyDescent="0.2">
      <c r="A442" s="3"/>
    </row>
    <row r="443" spans="1:1" x14ac:dyDescent="0.2">
      <c r="A443" s="3"/>
    </row>
    <row r="444" spans="1:1" x14ac:dyDescent="0.2">
      <c r="A444" s="3"/>
    </row>
    <row r="445" spans="1:1" x14ac:dyDescent="0.2">
      <c r="A445" s="3"/>
    </row>
    <row r="446" spans="1:1" x14ac:dyDescent="0.2">
      <c r="A446" s="3"/>
    </row>
    <row r="447" spans="1:1" x14ac:dyDescent="0.2">
      <c r="A447" s="3"/>
    </row>
    <row r="448" spans="1:1" x14ac:dyDescent="0.2">
      <c r="A448" s="3"/>
    </row>
    <row r="449" spans="1:1" x14ac:dyDescent="0.2">
      <c r="A449" s="3"/>
    </row>
    <row r="450" spans="1:1" x14ac:dyDescent="0.2">
      <c r="A450" s="3"/>
    </row>
    <row r="451" spans="1:1" x14ac:dyDescent="0.2">
      <c r="A451" s="3"/>
    </row>
    <row r="452" spans="1:1" x14ac:dyDescent="0.2">
      <c r="A452" s="3"/>
    </row>
    <row r="453" spans="1:1" x14ac:dyDescent="0.2">
      <c r="A453" s="3"/>
    </row>
    <row r="454" spans="1:1" x14ac:dyDescent="0.2">
      <c r="A454" s="3"/>
    </row>
    <row r="455" spans="1:1" x14ac:dyDescent="0.2">
      <c r="A455" s="3"/>
    </row>
    <row r="456" spans="1:1" x14ac:dyDescent="0.2">
      <c r="A456" s="4"/>
    </row>
    <row r="457" spans="1:1" x14ac:dyDescent="0.2">
      <c r="A457" s="4"/>
    </row>
    <row r="458" spans="1:1" x14ac:dyDescent="0.2">
      <c r="A458" s="4"/>
    </row>
    <row r="459" spans="1:1" x14ac:dyDescent="0.2">
      <c r="A459" s="4"/>
    </row>
    <row r="460" spans="1:1" x14ac:dyDescent="0.2">
      <c r="A460" s="4"/>
    </row>
    <row r="461" spans="1:1" x14ac:dyDescent="0.2">
      <c r="A461" s="4"/>
    </row>
    <row r="462" spans="1:1" x14ac:dyDescent="0.2">
      <c r="A462" s="4"/>
    </row>
    <row r="463" spans="1:1" x14ac:dyDescent="0.2">
      <c r="A463" s="4"/>
    </row>
    <row r="464" spans="1:1" x14ac:dyDescent="0.2">
      <c r="A464" s="4"/>
    </row>
    <row r="465" spans="1:1" x14ac:dyDescent="0.2">
      <c r="A465" s="4"/>
    </row>
    <row r="466" spans="1:1" x14ac:dyDescent="0.2">
      <c r="A466" s="4"/>
    </row>
    <row r="467" spans="1:1" x14ac:dyDescent="0.2">
      <c r="A467" s="4"/>
    </row>
    <row r="468" spans="1:1" x14ac:dyDescent="0.2">
      <c r="A468" s="4"/>
    </row>
    <row r="469" spans="1:1" x14ac:dyDescent="0.2">
      <c r="A469" s="4"/>
    </row>
    <row r="470" spans="1:1" x14ac:dyDescent="0.2">
      <c r="A470" s="4"/>
    </row>
    <row r="471" spans="1:1" x14ac:dyDescent="0.2">
      <c r="A471" s="4"/>
    </row>
    <row r="472" spans="1:1" x14ac:dyDescent="0.2">
      <c r="A472" s="4"/>
    </row>
    <row r="473" spans="1:1" x14ac:dyDescent="0.2">
      <c r="A473" s="4"/>
    </row>
    <row r="474" spans="1:1" x14ac:dyDescent="0.2">
      <c r="A474" s="4"/>
    </row>
    <row r="475" spans="1:1" x14ac:dyDescent="0.2">
      <c r="A475" s="4"/>
    </row>
    <row r="476" spans="1:1" x14ac:dyDescent="0.2">
      <c r="A476" s="4"/>
    </row>
    <row r="477" spans="1:1" x14ac:dyDescent="0.2">
      <c r="A477" s="4"/>
    </row>
    <row r="478" spans="1:1" x14ac:dyDescent="0.2">
      <c r="A478" s="4"/>
    </row>
    <row r="479" spans="1:1" x14ac:dyDescent="0.2">
      <c r="A479" s="4"/>
    </row>
    <row r="480" spans="1:1" x14ac:dyDescent="0.2">
      <c r="A480" s="4"/>
    </row>
    <row r="481" spans="1:1" x14ac:dyDescent="0.2">
      <c r="A481" s="4"/>
    </row>
    <row r="482" spans="1:1" x14ac:dyDescent="0.2">
      <c r="A482" s="4"/>
    </row>
    <row r="483" spans="1:1" x14ac:dyDescent="0.2">
      <c r="A483" s="4"/>
    </row>
    <row r="484" spans="1:1" x14ac:dyDescent="0.2">
      <c r="A484" s="4"/>
    </row>
    <row r="485" spans="1:1" x14ac:dyDescent="0.2">
      <c r="A485" s="4"/>
    </row>
    <row r="486" spans="1:1" x14ac:dyDescent="0.2">
      <c r="A486" s="4"/>
    </row>
    <row r="487" spans="1:1" x14ac:dyDescent="0.2">
      <c r="A487" s="4"/>
    </row>
    <row r="488" spans="1:1" x14ac:dyDescent="0.2">
      <c r="A488" s="4"/>
    </row>
    <row r="489" spans="1:1" x14ac:dyDescent="0.2">
      <c r="A489" s="4"/>
    </row>
    <row r="490" spans="1:1" x14ac:dyDescent="0.2">
      <c r="A490" s="4"/>
    </row>
    <row r="491" spans="1:1" x14ac:dyDescent="0.2">
      <c r="A491" s="4"/>
    </row>
    <row r="492" spans="1:1" x14ac:dyDescent="0.2">
      <c r="A492" s="4"/>
    </row>
    <row r="493" spans="1:1" x14ac:dyDescent="0.2">
      <c r="A493" s="4"/>
    </row>
    <row r="494" spans="1:1" x14ac:dyDescent="0.2">
      <c r="A494" s="4"/>
    </row>
    <row r="495" spans="1:1" x14ac:dyDescent="0.2">
      <c r="A495" s="4"/>
    </row>
    <row r="496" spans="1:1" x14ac:dyDescent="0.2">
      <c r="A496" s="4"/>
    </row>
    <row r="497" spans="1:1" x14ac:dyDescent="0.2">
      <c r="A497" s="4"/>
    </row>
    <row r="498" spans="1:1" x14ac:dyDescent="0.2">
      <c r="A498" s="4"/>
    </row>
    <row r="499" spans="1:1" x14ac:dyDescent="0.2">
      <c r="A499" s="4"/>
    </row>
    <row r="500" spans="1:1" x14ac:dyDescent="0.2">
      <c r="A500" s="4"/>
    </row>
    <row r="501" spans="1:1" x14ac:dyDescent="0.2">
      <c r="A501" s="4"/>
    </row>
    <row r="502" spans="1:1" x14ac:dyDescent="0.2">
      <c r="A502" s="4"/>
    </row>
    <row r="503" spans="1:1" x14ac:dyDescent="0.2">
      <c r="A503" s="4"/>
    </row>
    <row r="504" spans="1:1" x14ac:dyDescent="0.2">
      <c r="A504" s="4"/>
    </row>
    <row r="505" spans="1:1" x14ac:dyDescent="0.2">
      <c r="A505" s="4"/>
    </row>
    <row r="506" spans="1:1" x14ac:dyDescent="0.2">
      <c r="A506" s="4"/>
    </row>
    <row r="507" spans="1:1" x14ac:dyDescent="0.2">
      <c r="A507" s="4"/>
    </row>
    <row r="508" spans="1:1" x14ac:dyDescent="0.2">
      <c r="A508" s="4"/>
    </row>
    <row r="509" spans="1:1" x14ac:dyDescent="0.2">
      <c r="A509" s="4"/>
    </row>
    <row r="510" spans="1:1" x14ac:dyDescent="0.2">
      <c r="A510" s="4"/>
    </row>
    <row r="511" spans="1:1" x14ac:dyDescent="0.2">
      <c r="A511" s="4"/>
    </row>
    <row r="512" spans="1:1" x14ac:dyDescent="0.2">
      <c r="A512" s="4"/>
    </row>
    <row r="513" spans="1:1" x14ac:dyDescent="0.2">
      <c r="A513" s="4"/>
    </row>
    <row r="514" spans="1:1" x14ac:dyDescent="0.2">
      <c r="A514" s="4"/>
    </row>
    <row r="515" spans="1:1" x14ac:dyDescent="0.2">
      <c r="A515" s="4"/>
    </row>
    <row r="516" spans="1:1" x14ac:dyDescent="0.2">
      <c r="A516" s="4"/>
    </row>
    <row r="517" spans="1:1" x14ac:dyDescent="0.2">
      <c r="A517" s="4"/>
    </row>
    <row r="518" spans="1:1" x14ac:dyDescent="0.2">
      <c r="A518" s="4"/>
    </row>
    <row r="519" spans="1:1" x14ac:dyDescent="0.2">
      <c r="A519" s="4"/>
    </row>
    <row r="520" spans="1:1" x14ac:dyDescent="0.2">
      <c r="A520" s="4"/>
    </row>
    <row r="521" spans="1:1" x14ac:dyDescent="0.2">
      <c r="A521" s="4"/>
    </row>
    <row r="522" spans="1:1" x14ac:dyDescent="0.2">
      <c r="A522" s="4"/>
    </row>
    <row r="523" spans="1:1" x14ac:dyDescent="0.2">
      <c r="A523" s="4"/>
    </row>
    <row r="524" spans="1:1" x14ac:dyDescent="0.2">
      <c r="A524" s="4"/>
    </row>
    <row r="525" spans="1:1" x14ac:dyDescent="0.2">
      <c r="A525" s="4"/>
    </row>
    <row r="526" spans="1:1" x14ac:dyDescent="0.2">
      <c r="A526" s="4"/>
    </row>
    <row r="527" spans="1:1" x14ac:dyDescent="0.2">
      <c r="A527" s="4"/>
    </row>
    <row r="528" spans="1:1" x14ac:dyDescent="0.2">
      <c r="A528" s="4"/>
    </row>
    <row r="529" spans="1:1" x14ac:dyDescent="0.2">
      <c r="A529" s="4"/>
    </row>
    <row r="530" spans="1:1" x14ac:dyDescent="0.2">
      <c r="A530" s="4"/>
    </row>
    <row r="531" spans="1:1" x14ac:dyDescent="0.2">
      <c r="A531" s="4"/>
    </row>
    <row r="532" spans="1:1" x14ac:dyDescent="0.2">
      <c r="A532" s="4"/>
    </row>
    <row r="533" spans="1:1" x14ac:dyDescent="0.2">
      <c r="A533" s="4"/>
    </row>
    <row r="534" spans="1:1" x14ac:dyDescent="0.2">
      <c r="A534" s="4"/>
    </row>
    <row r="535" spans="1:1" x14ac:dyDescent="0.2">
      <c r="A535" s="4"/>
    </row>
    <row r="536" spans="1:1" x14ac:dyDescent="0.2">
      <c r="A536" s="4"/>
    </row>
    <row r="537" spans="1:1" x14ac:dyDescent="0.2">
      <c r="A537" s="4"/>
    </row>
    <row r="538" spans="1:1" x14ac:dyDescent="0.2">
      <c r="A538" s="4"/>
    </row>
    <row r="539" spans="1:1" x14ac:dyDescent="0.2">
      <c r="A539" s="4"/>
    </row>
    <row r="540" spans="1:1" x14ac:dyDescent="0.2">
      <c r="A540" s="5"/>
    </row>
    <row r="541" spans="1:1" x14ac:dyDescent="0.2">
      <c r="A541" s="5"/>
    </row>
    <row r="542" spans="1:1" x14ac:dyDescent="0.2">
      <c r="A542" s="5"/>
    </row>
    <row r="543" spans="1:1" x14ac:dyDescent="0.2">
      <c r="A543" s="5"/>
    </row>
    <row r="544" spans="1:1" x14ac:dyDescent="0.2">
      <c r="A544" s="4"/>
    </row>
    <row r="545" spans="1:1" x14ac:dyDescent="0.2">
      <c r="A545" s="4"/>
    </row>
    <row r="546" spans="1:1" x14ac:dyDescent="0.2">
      <c r="A546" s="4"/>
    </row>
    <row r="547" spans="1:1" x14ac:dyDescent="0.2">
      <c r="A547" s="4"/>
    </row>
    <row r="548" spans="1:1" x14ac:dyDescent="0.2">
      <c r="A548" s="4"/>
    </row>
    <row r="549" spans="1:1" x14ac:dyDescent="0.2">
      <c r="A549" s="4"/>
    </row>
    <row r="550" spans="1:1" x14ac:dyDescent="0.2">
      <c r="A550" s="4"/>
    </row>
    <row r="551" spans="1:1" x14ac:dyDescent="0.2">
      <c r="A551" s="4"/>
    </row>
    <row r="552" spans="1:1" x14ac:dyDescent="0.2">
      <c r="A552" s="4"/>
    </row>
    <row r="553" spans="1:1" x14ac:dyDescent="0.2">
      <c r="A553" s="4"/>
    </row>
    <row r="554" spans="1:1" x14ac:dyDescent="0.2">
      <c r="A554" s="4"/>
    </row>
    <row r="555" spans="1:1" x14ac:dyDescent="0.2">
      <c r="A555" s="4"/>
    </row>
    <row r="556" spans="1:1" x14ac:dyDescent="0.2">
      <c r="A556" s="5"/>
    </row>
    <row r="557" spans="1:1" x14ac:dyDescent="0.2">
      <c r="A557" s="5"/>
    </row>
    <row r="558" spans="1:1" x14ac:dyDescent="0.2">
      <c r="A558" s="5"/>
    </row>
    <row r="559" spans="1:1" x14ac:dyDescent="0.2">
      <c r="A559" s="5"/>
    </row>
    <row r="560" spans="1:1" x14ac:dyDescent="0.2">
      <c r="A560" s="5"/>
    </row>
    <row r="561" spans="1:1" x14ac:dyDescent="0.2">
      <c r="A561" s="5"/>
    </row>
    <row r="562" spans="1:1" x14ac:dyDescent="0.2">
      <c r="A562" s="4"/>
    </row>
    <row r="563" spans="1:1" x14ac:dyDescent="0.2">
      <c r="A563" s="4"/>
    </row>
    <row r="564" spans="1:1" x14ac:dyDescent="0.2">
      <c r="A564" s="4"/>
    </row>
    <row r="565" spans="1:1" x14ac:dyDescent="0.2">
      <c r="A565" s="4"/>
    </row>
    <row r="566" spans="1:1" x14ac:dyDescent="0.2">
      <c r="A566" s="4"/>
    </row>
    <row r="567" spans="1:1" x14ac:dyDescent="0.2">
      <c r="A567" s="4"/>
    </row>
    <row r="568" spans="1:1" x14ac:dyDescent="0.2">
      <c r="A568" s="4"/>
    </row>
    <row r="569" spans="1:1" x14ac:dyDescent="0.2">
      <c r="A569" s="4"/>
    </row>
    <row r="570" spans="1:1" x14ac:dyDescent="0.2">
      <c r="A570" s="4"/>
    </row>
    <row r="571" spans="1:1" x14ac:dyDescent="0.2">
      <c r="A571" s="4"/>
    </row>
    <row r="572" spans="1:1" x14ac:dyDescent="0.2">
      <c r="A572" s="4"/>
    </row>
    <row r="573" spans="1:1" x14ac:dyDescent="0.2">
      <c r="A573" s="4"/>
    </row>
    <row r="574" spans="1:1" x14ac:dyDescent="0.2">
      <c r="A574" s="4"/>
    </row>
    <row r="575" spans="1:1" x14ac:dyDescent="0.2">
      <c r="A575" s="4"/>
    </row>
    <row r="576" spans="1:1" x14ac:dyDescent="0.2">
      <c r="A576" s="4"/>
    </row>
    <row r="577" spans="1:1" x14ac:dyDescent="0.2">
      <c r="A577" s="4"/>
    </row>
    <row r="578" spans="1:1" x14ac:dyDescent="0.2">
      <c r="A578" s="4"/>
    </row>
    <row r="579" spans="1:1" x14ac:dyDescent="0.2">
      <c r="A579" s="4"/>
    </row>
    <row r="580" spans="1:1" x14ac:dyDescent="0.2">
      <c r="A580" s="4"/>
    </row>
    <row r="581" spans="1:1" x14ac:dyDescent="0.2">
      <c r="A581" s="4"/>
    </row>
    <row r="582" spans="1:1" x14ac:dyDescent="0.2">
      <c r="A582" s="4"/>
    </row>
    <row r="583" spans="1:1" x14ac:dyDescent="0.2">
      <c r="A583" s="4"/>
    </row>
    <row r="584" spans="1:1" x14ac:dyDescent="0.2">
      <c r="A584" s="4"/>
    </row>
    <row r="585" spans="1:1" x14ac:dyDescent="0.2">
      <c r="A585" s="4"/>
    </row>
    <row r="586" spans="1:1" x14ac:dyDescent="0.2">
      <c r="A586" s="4"/>
    </row>
    <row r="587" spans="1:1" x14ac:dyDescent="0.2">
      <c r="A587" s="4"/>
    </row>
    <row r="588" spans="1:1" x14ac:dyDescent="0.2">
      <c r="A588" s="4"/>
    </row>
    <row r="589" spans="1:1" x14ac:dyDescent="0.2">
      <c r="A589" s="4"/>
    </row>
    <row r="590" spans="1:1" x14ac:dyDescent="0.2">
      <c r="A590" s="4"/>
    </row>
    <row r="591" spans="1:1" x14ac:dyDescent="0.2">
      <c r="A591" s="4"/>
    </row>
    <row r="592" spans="1:1" x14ac:dyDescent="0.2">
      <c r="A592" s="4"/>
    </row>
    <row r="593" spans="1:1" x14ac:dyDescent="0.2">
      <c r="A593" s="4"/>
    </row>
    <row r="594" spans="1:1" x14ac:dyDescent="0.2">
      <c r="A594" s="4"/>
    </row>
    <row r="595" spans="1:1" x14ac:dyDescent="0.2">
      <c r="A595" s="4"/>
    </row>
    <row r="596" spans="1:1" x14ac:dyDescent="0.2">
      <c r="A596" s="4"/>
    </row>
    <row r="597" spans="1:1" x14ac:dyDescent="0.2">
      <c r="A597" s="4"/>
    </row>
    <row r="598" spans="1:1" x14ac:dyDescent="0.2">
      <c r="A598" s="4"/>
    </row>
    <row r="599" spans="1:1" x14ac:dyDescent="0.2">
      <c r="A599" s="4"/>
    </row>
    <row r="600" spans="1:1" x14ac:dyDescent="0.2">
      <c r="A600" s="4"/>
    </row>
    <row r="601" spans="1:1" x14ac:dyDescent="0.2">
      <c r="A601" s="4"/>
    </row>
    <row r="602" spans="1:1" x14ac:dyDescent="0.2">
      <c r="A602" s="4"/>
    </row>
    <row r="603" spans="1:1" x14ac:dyDescent="0.2">
      <c r="A603" s="4"/>
    </row>
    <row r="604" spans="1:1" x14ac:dyDescent="0.2">
      <c r="A604" s="4"/>
    </row>
    <row r="605" spans="1:1" x14ac:dyDescent="0.2">
      <c r="A605" s="4"/>
    </row>
    <row r="606" spans="1:1" x14ac:dyDescent="0.2">
      <c r="A606" s="4"/>
    </row>
    <row r="607" spans="1:1" x14ac:dyDescent="0.2">
      <c r="A607" s="4"/>
    </row>
    <row r="608" spans="1:1" x14ac:dyDescent="0.2">
      <c r="A608" s="4"/>
    </row>
    <row r="609" spans="1:1" x14ac:dyDescent="0.2">
      <c r="A609" s="4"/>
    </row>
    <row r="610" spans="1:1" x14ac:dyDescent="0.2">
      <c r="A610" s="4"/>
    </row>
    <row r="611" spans="1:1" x14ac:dyDescent="0.2">
      <c r="A611" s="4"/>
    </row>
    <row r="612" spans="1:1" x14ac:dyDescent="0.2">
      <c r="A612" s="4"/>
    </row>
    <row r="613" spans="1:1" x14ac:dyDescent="0.2">
      <c r="A613" s="4"/>
    </row>
    <row r="614" spans="1:1" x14ac:dyDescent="0.2">
      <c r="A614" s="4"/>
    </row>
    <row r="615" spans="1:1" x14ac:dyDescent="0.2">
      <c r="A615" s="4"/>
    </row>
    <row r="616" spans="1:1" x14ac:dyDescent="0.2">
      <c r="A616" s="4"/>
    </row>
    <row r="617" spans="1:1" x14ac:dyDescent="0.2">
      <c r="A617" s="4"/>
    </row>
    <row r="618" spans="1:1" x14ac:dyDescent="0.2">
      <c r="A618" s="4"/>
    </row>
    <row r="619" spans="1:1" x14ac:dyDescent="0.2">
      <c r="A619" s="4"/>
    </row>
    <row r="620" spans="1:1" x14ac:dyDescent="0.2">
      <c r="A620" s="4"/>
    </row>
    <row r="621" spans="1:1" x14ac:dyDescent="0.2">
      <c r="A621" s="4"/>
    </row>
    <row r="622" spans="1:1" x14ac:dyDescent="0.2">
      <c r="A622" s="4"/>
    </row>
    <row r="623" spans="1:1" x14ac:dyDescent="0.2">
      <c r="A623" s="4"/>
    </row>
    <row r="624" spans="1:1" x14ac:dyDescent="0.2">
      <c r="A624" s="4"/>
    </row>
    <row r="625" spans="1:1" x14ac:dyDescent="0.2">
      <c r="A625" s="4"/>
    </row>
    <row r="626" spans="1:1" x14ac:dyDescent="0.2">
      <c r="A626" s="4"/>
    </row>
    <row r="627" spans="1:1" x14ac:dyDescent="0.2">
      <c r="A627" s="4"/>
    </row>
    <row r="628" spans="1:1" x14ac:dyDescent="0.2">
      <c r="A628" s="4"/>
    </row>
    <row r="629" spans="1:1" x14ac:dyDescent="0.2">
      <c r="A629" s="4"/>
    </row>
    <row r="630" spans="1:1" x14ac:dyDescent="0.2">
      <c r="A630" s="4"/>
    </row>
    <row r="631" spans="1:1" x14ac:dyDescent="0.2">
      <c r="A631" s="4"/>
    </row>
    <row r="632" spans="1:1" x14ac:dyDescent="0.2">
      <c r="A632" s="4"/>
    </row>
    <row r="633" spans="1:1" x14ac:dyDescent="0.2">
      <c r="A633" s="4"/>
    </row>
    <row r="634" spans="1:1" x14ac:dyDescent="0.2">
      <c r="A634" s="4"/>
    </row>
    <row r="635" spans="1:1" x14ac:dyDescent="0.2">
      <c r="A635" s="5"/>
    </row>
    <row r="636" spans="1:1" x14ac:dyDescent="0.2">
      <c r="A636" s="4"/>
    </row>
    <row r="637" spans="1:1" x14ac:dyDescent="0.2">
      <c r="A637" s="4"/>
    </row>
    <row r="638" spans="1:1" x14ac:dyDescent="0.2">
      <c r="A638" s="4"/>
    </row>
    <row r="639" spans="1:1" x14ac:dyDescent="0.2">
      <c r="A639" s="4"/>
    </row>
    <row r="640" spans="1:1" x14ac:dyDescent="0.2">
      <c r="A640" s="4"/>
    </row>
    <row r="641" spans="1:1" x14ac:dyDescent="0.2">
      <c r="A641" s="4"/>
    </row>
    <row r="642" spans="1:1" x14ac:dyDescent="0.2">
      <c r="A642" s="4"/>
    </row>
    <row r="643" spans="1:1" x14ac:dyDescent="0.2">
      <c r="A643" s="4"/>
    </row>
    <row r="644" spans="1:1" x14ac:dyDescent="0.2">
      <c r="A644" s="4"/>
    </row>
    <row r="645" spans="1:1" x14ac:dyDescent="0.2">
      <c r="A645" s="4"/>
    </row>
    <row r="646" spans="1:1" x14ac:dyDescent="0.2">
      <c r="A646" s="4"/>
    </row>
    <row r="647" spans="1:1" x14ac:dyDescent="0.2">
      <c r="A647" s="5"/>
    </row>
    <row r="648" spans="1:1" x14ac:dyDescent="0.2">
      <c r="A648" s="5"/>
    </row>
    <row r="649" spans="1:1" x14ac:dyDescent="0.2">
      <c r="A649" s="5"/>
    </row>
    <row r="650" spans="1:1" x14ac:dyDescent="0.2">
      <c r="A650" s="5"/>
    </row>
    <row r="651" spans="1:1" x14ac:dyDescent="0.2">
      <c r="A651" s="5"/>
    </row>
    <row r="652" spans="1:1" x14ac:dyDescent="0.2">
      <c r="A652" s="5"/>
    </row>
    <row r="653" spans="1:1" x14ac:dyDescent="0.2">
      <c r="A653" s="5"/>
    </row>
    <row r="654" spans="1:1" x14ac:dyDescent="0.2">
      <c r="A654" s="4"/>
    </row>
    <row r="655" spans="1:1" x14ac:dyDescent="0.2">
      <c r="A655" s="4"/>
    </row>
    <row r="656" spans="1:1" x14ac:dyDescent="0.2">
      <c r="A656" s="4"/>
    </row>
    <row r="657" spans="1:1" x14ac:dyDescent="0.2">
      <c r="A657" s="4"/>
    </row>
    <row r="658" spans="1:1" x14ac:dyDescent="0.2">
      <c r="A658" s="4"/>
    </row>
    <row r="659" spans="1:1" x14ac:dyDescent="0.2">
      <c r="A659" s="4"/>
    </row>
    <row r="660" spans="1:1" x14ac:dyDescent="0.2">
      <c r="A660" s="4"/>
    </row>
    <row r="661" spans="1:1" x14ac:dyDescent="0.2">
      <c r="A661" s="4"/>
    </row>
    <row r="662" spans="1:1" x14ac:dyDescent="0.2">
      <c r="A662" s="4"/>
    </row>
    <row r="663" spans="1:1" x14ac:dyDescent="0.2">
      <c r="A663" s="4"/>
    </row>
    <row r="664" spans="1:1" x14ac:dyDescent="0.2">
      <c r="A664" s="4"/>
    </row>
    <row r="665" spans="1:1" x14ac:dyDescent="0.2">
      <c r="A665" s="4"/>
    </row>
    <row r="666" spans="1:1" x14ac:dyDescent="0.2">
      <c r="A666" s="4"/>
    </row>
    <row r="667" spans="1:1" x14ac:dyDescent="0.2">
      <c r="A667" s="4"/>
    </row>
    <row r="668" spans="1:1" x14ac:dyDescent="0.2">
      <c r="A668" s="4"/>
    </row>
    <row r="669" spans="1:1" x14ac:dyDescent="0.2">
      <c r="A669" s="4"/>
    </row>
    <row r="670" spans="1:1" x14ac:dyDescent="0.2">
      <c r="A670" s="4"/>
    </row>
    <row r="671" spans="1:1" x14ac:dyDescent="0.2">
      <c r="A671" s="5"/>
    </row>
    <row r="672" spans="1:1" x14ac:dyDescent="0.2">
      <c r="A672" s="5"/>
    </row>
    <row r="673" spans="1:1" x14ac:dyDescent="0.2">
      <c r="A673" s="5"/>
    </row>
    <row r="674" spans="1:1" x14ac:dyDescent="0.2">
      <c r="A674" s="4"/>
    </row>
    <row r="675" spans="1:1" x14ac:dyDescent="0.2">
      <c r="A675" s="4"/>
    </row>
    <row r="676" spans="1:1" x14ac:dyDescent="0.2">
      <c r="A676" s="4"/>
    </row>
    <row r="677" spans="1:1" x14ac:dyDescent="0.2">
      <c r="A677" s="4"/>
    </row>
    <row r="678" spans="1:1" x14ac:dyDescent="0.2">
      <c r="A678" s="4"/>
    </row>
    <row r="679" spans="1:1" x14ac:dyDescent="0.2">
      <c r="A679" s="4"/>
    </row>
    <row r="680" spans="1:1" x14ac:dyDescent="0.2">
      <c r="A680" s="4"/>
    </row>
    <row r="681" spans="1:1" x14ac:dyDescent="0.2">
      <c r="A681" s="4"/>
    </row>
    <row r="682" spans="1:1" x14ac:dyDescent="0.2">
      <c r="A682" s="4"/>
    </row>
    <row r="683" spans="1:1" x14ac:dyDescent="0.2">
      <c r="A683" s="4"/>
    </row>
    <row r="684" spans="1:1" x14ac:dyDescent="0.2">
      <c r="A684" s="4"/>
    </row>
    <row r="685" spans="1:1" x14ac:dyDescent="0.2">
      <c r="A685" s="4"/>
    </row>
    <row r="686" spans="1:1" x14ac:dyDescent="0.2">
      <c r="A686" s="4"/>
    </row>
    <row r="687" spans="1:1" x14ac:dyDescent="0.2">
      <c r="A687" s="4"/>
    </row>
    <row r="688" spans="1:1" x14ac:dyDescent="0.2">
      <c r="A688" s="4"/>
    </row>
    <row r="689" spans="1:1" x14ac:dyDescent="0.2">
      <c r="A689" s="4"/>
    </row>
    <row r="690" spans="1:1" x14ac:dyDescent="0.2">
      <c r="A690" s="4"/>
    </row>
    <row r="691" spans="1:1" x14ac:dyDescent="0.2">
      <c r="A691" s="4"/>
    </row>
    <row r="692" spans="1:1" x14ac:dyDescent="0.2">
      <c r="A692" s="4"/>
    </row>
    <row r="693" spans="1:1" x14ac:dyDescent="0.2">
      <c r="A693" s="4"/>
    </row>
    <row r="694" spans="1:1" x14ac:dyDescent="0.2">
      <c r="A694" s="4"/>
    </row>
    <row r="695" spans="1:1" x14ac:dyDescent="0.2">
      <c r="A695" s="4"/>
    </row>
    <row r="696" spans="1:1" x14ac:dyDescent="0.2">
      <c r="A696" s="4"/>
    </row>
    <row r="697" spans="1:1" x14ac:dyDescent="0.2">
      <c r="A697" s="4"/>
    </row>
    <row r="698" spans="1:1" x14ac:dyDescent="0.2">
      <c r="A698" s="4"/>
    </row>
    <row r="699" spans="1:1" x14ac:dyDescent="0.2">
      <c r="A699" s="4"/>
    </row>
    <row r="700" spans="1:1" x14ac:dyDescent="0.2">
      <c r="A700" s="4"/>
    </row>
    <row r="701" spans="1:1" x14ac:dyDescent="0.2">
      <c r="A701" s="4"/>
    </row>
    <row r="702" spans="1:1" x14ac:dyDescent="0.2">
      <c r="A702" s="4"/>
    </row>
    <row r="703" spans="1:1" x14ac:dyDescent="0.2">
      <c r="A703" s="4"/>
    </row>
    <row r="704" spans="1:1" x14ac:dyDescent="0.2">
      <c r="A704" s="4"/>
    </row>
    <row r="705" spans="1:1" x14ac:dyDescent="0.2">
      <c r="A705" s="4"/>
    </row>
    <row r="706" spans="1:1" x14ac:dyDescent="0.2">
      <c r="A706" s="4"/>
    </row>
    <row r="707" spans="1:1" x14ac:dyDescent="0.2">
      <c r="A707" s="4"/>
    </row>
    <row r="708" spans="1:1" x14ac:dyDescent="0.2">
      <c r="A708" s="4"/>
    </row>
    <row r="709" spans="1:1" x14ac:dyDescent="0.2">
      <c r="A709" s="4"/>
    </row>
    <row r="710" spans="1:1" x14ac:dyDescent="0.2">
      <c r="A710" s="4"/>
    </row>
    <row r="711" spans="1:1" x14ac:dyDescent="0.2">
      <c r="A711" s="4"/>
    </row>
    <row r="712" spans="1:1" x14ac:dyDescent="0.2">
      <c r="A712" s="4"/>
    </row>
    <row r="713" spans="1:1" x14ac:dyDescent="0.2">
      <c r="A713" s="4"/>
    </row>
    <row r="714" spans="1:1" x14ac:dyDescent="0.2">
      <c r="A714" s="4"/>
    </row>
    <row r="715" spans="1:1" x14ac:dyDescent="0.2">
      <c r="A715" s="4"/>
    </row>
    <row r="716" spans="1:1" x14ac:dyDescent="0.2">
      <c r="A716" s="4"/>
    </row>
    <row r="717" spans="1:1" x14ac:dyDescent="0.2">
      <c r="A717" s="4"/>
    </row>
    <row r="718" spans="1:1" x14ac:dyDescent="0.2">
      <c r="A718" s="4"/>
    </row>
    <row r="719" spans="1:1" x14ac:dyDescent="0.2">
      <c r="A719" s="4"/>
    </row>
    <row r="720" spans="1:1" x14ac:dyDescent="0.2">
      <c r="A720" s="4"/>
    </row>
    <row r="721" spans="1:1" x14ac:dyDescent="0.2">
      <c r="A721" s="4"/>
    </row>
    <row r="722" spans="1:1" x14ac:dyDescent="0.2">
      <c r="A722" s="4"/>
    </row>
    <row r="723" spans="1:1" x14ac:dyDescent="0.2">
      <c r="A723" s="4"/>
    </row>
    <row r="724" spans="1:1" x14ac:dyDescent="0.2">
      <c r="A724" s="4"/>
    </row>
    <row r="725" spans="1:1" x14ac:dyDescent="0.2">
      <c r="A725" s="4"/>
    </row>
    <row r="726" spans="1:1" x14ac:dyDescent="0.2">
      <c r="A726" s="4"/>
    </row>
    <row r="727" spans="1:1" x14ac:dyDescent="0.2">
      <c r="A727" s="4"/>
    </row>
    <row r="728" spans="1:1" x14ac:dyDescent="0.2">
      <c r="A728" s="4"/>
    </row>
    <row r="729" spans="1:1" x14ac:dyDescent="0.2">
      <c r="A729" s="4"/>
    </row>
    <row r="730" spans="1:1" x14ac:dyDescent="0.2">
      <c r="A730" s="4"/>
    </row>
    <row r="731" spans="1:1" x14ac:dyDescent="0.2">
      <c r="A731" s="4"/>
    </row>
    <row r="732" spans="1:1" x14ac:dyDescent="0.2">
      <c r="A732" s="4"/>
    </row>
    <row r="733" spans="1:1" x14ac:dyDescent="0.2">
      <c r="A733" s="4"/>
    </row>
    <row r="734" spans="1:1" x14ac:dyDescent="0.2">
      <c r="A734" s="4"/>
    </row>
    <row r="735" spans="1:1" x14ac:dyDescent="0.2">
      <c r="A735" s="4"/>
    </row>
    <row r="736" spans="1:1" x14ac:dyDescent="0.2">
      <c r="A736" s="4"/>
    </row>
    <row r="737" spans="1:1" x14ac:dyDescent="0.2">
      <c r="A737" s="4"/>
    </row>
    <row r="738" spans="1:1" x14ac:dyDescent="0.2">
      <c r="A738" s="4"/>
    </row>
    <row r="739" spans="1:1" x14ac:dyDescent="0.2">
      <c r="A739" s="4"/>
    </row>
    <row r="740" spans="1:1" x14ac:dyDescent="0.2">
      <c r="A740" s="4"/>
    </row>
    <row r="741" spans="1:1" x14ac:dyDescent="0.2">
      <c r="A741" s="4"/>
    </row>
    <row r="742" spans="1:1" x14ac:dyDescent="0.2">
      <c r="A742" s="4"/>
    </row>
    <row r="743" spans="1:1" x14ac:dyDescent="0.2">
      <c r="A743" s="4"/>
    </row>
    <row r="744" spans="1:1" x14ac:dyDescent="0.2">
      <c r="A744" s="4"/>
    </row>
    <row r="745" spans="1:1" x14ac:dyDescent="0.2">
      <c r="A745" s="4"/>
    </row>
    <row r="746" spans="1:1" x14ac:dyDescent="0.2">
      <c r="A746" s="4"/>
    </row>
    <row r="747" spans="1:1" x14ac:dyDescent="0.2">
      <c r="A747" s="4"/>
    </row>
    <row r="748" spans="1:1" x14ac:dyDescent="0.2">
      <c r="A748" s="4"/>
    </row>
    <row r="749" spans="1:1" x14ac:dyDescent="0.2">
      <c r="A749" s="4"/>
    </row>
    <row r="750" spans="1:1" x14ac:dyDescent="0.2">
      <c r="A750" s="4"/>
    </row>
    <row r="751" spans="1:1" x14ac:dyDescent="0.2">
      <c r="A751" s="4"/>
    </row>
    <row r="752" spans="1:1" x14ac:dyDescent="0.2">
      <c r="A752" s="4"/>
    </row>
    <row r="753" spans="1:1" x14ac:dyDescent="0.2">
      <c r="A753" s="4"/>
    </row>
    <row r="754" spans="1:1" x14ac:dyDescent="0.2">
      <c r="A754" s="4"/>
    </row>
    <row r="755" spans="1:1" x14ac:dyDescent="0.2">
      <c r="A755" s="4"/>
    </row>
    <row r="756" spans="1:1" x14ac:dyDescent="0.2">
      <c r="A756" s="4"/>
    </row>
    <row r="757" spans="1:1" x14ac:dyDescent="0.2">
      <c r="A757" s="4"/>
    </row>
    <row r="758" spans="1:1" x14ac:dyDescent="0.2">
      <c r="A758" s="4"/>
    </row>
    <row r="759" spans="1:1" x14ac:dyDescent="0.2">
      <c r="A759" s="4"/>
    </row>
    <row r="760" spans="1:1" x14ac:dyDescent="0.2">
      <c r="A760" s="4"/>
    </row>
    <row r="761" spans="1:1" x14ac:dyDescent="0.2">
      <c r="A761" s="4"/>
    </row>
    <row r="762" spans="1:1" x14ac:dyDescent="0.2">
      <c r="A762" s="4"/>
    </row>
    <row r="763" spans="1:1" x14ac:dyDescent="0.2">
      <c r="A763" s="4"/>
    </row>
    <row r="764" spans="1:1" x14ac:dyDescent="0.2">
      <c r="A764" s="4"/>
    </row>
    <row r="765" spans="1:1" x14ac:dyDescent="0.2">
      <c r="A765" s="4"/>
    </row>
    <row r="766" spans="1:1" x14ac:dyDescent="0.2">
      <c r="A766" s="4"/>
    </row>
    <row r="767" spans="1:1" x14ac:dyDescent="0.2">
      <c r="A767" s="4"/>
    </row>
    <row r="768" spans="1:1" x14ac:dyDescent="0.2">
      <c r="A768" s="4"/>
    </row>
    <row r="769" spans="1:1" x14ac:dyDescent="0.2">
      <c r="A769" s="4"/>
    </row>
    <row r="770" spans="1:1" x14ac:dyDescent="0.2">
      <c r="A770" s="4"/>
    </row>
    <row r="771" spans="1:1" x14ac:dyDescent="0.2">
      <c r="A771" s="4"/>
    </row>
    <row r="772" spans="1:1" x14ac:dyDescent="0.2">
      <c r="A772" s="4"/>
    </row>
    <row r="773" spans="1:1" x14ac:dyDescent="0.2">
      <c r="A773" s="4"/>
    </row>
    <row r="774" spans="1:1" x14ac:dyDescent="0.2">
      <c r="A774" s="4"/>
    </row>
    <row r="775" spans="1:1" x14ac:dyDescent="0.2">
      <c r="A775" s="4"/>
    </row>
    <row r="776" spans="1:1" x14ac:dyDescent="0.2">
      <c r="A776" s="3"/>
    </row>
    <row r="777" spans="1:1" x14ac:dyDescent="0.2">
      <c r="A777" s="3"/>
    </row>
    <row r="778" spans="1:1" x14ac:dyDescent="0.2">
      <c r="A778" s="3"/>
    </row>
    <row r="779" spans="1:1" x14ac:dyDescent="0.2">
      <c r="A779" s="3"/>
    </row>
    <row r="780" spans="1:1" x14ac:dyDescent="0.2">
      <c r="A780" s="4"/>
    </row>
    <row r="781" spans="1:1" x14ac:dyDescent="0.2">
      <c r="A781" s="4"/>
    </row>
    <row r="782" spans="1:1" x14ac:dyDescent="0.2">
      <c r="A782" s="4"/>
    </row>
    <row r="783" spans="1:1" x14ac:dyDescent="0.2">
      <c r="A783" s="4"/>
    </row>
    <row r="784" spans="1:1" x14ac:dyDescent="0.2">
      <c r="A784" s="4"/>
    </row>
    <row r="785" spans="1:1" x14ac:dyDescent="0.2">
      <c r="A785" s="4"/>
    </row>
    <row r="786" spans="1:1" x14ac:dyDescent="0.2">
      <c r="A786" s="4"/>
    </row>
    <row r="787" spans="1:1" x14ac:dyDescent="0.2">
      <c r="A787" s="4"/>
    </row>
    <row r="788" spans="1:1" x14ac:dyDescent="0.2">
      <c r="A788" s="4"/>
    </row>
    <row r="789" spans="1:1" x14ac:dyDescent="0.2">
      <c r="A789" s="4"/>
    </row>
    <row r="790" spans="1:1" x14ac:dyDescent="0.2">
      <c r="A790" s="4"/>
    </row>
    <row r="791" spans="1:1" x14ac:dyDescent="0.2">
      <c r="A791" s="4"/>
    </row>
    <row r="792" spans="1:1" x14ac:dyDescent="0.2">
      <c r="A792" s="4"/>
    </row>
    <row r="793" spans="1:1" x14ac:dyDescent="0.2">
      <c r="A793" s="4"/>
    </row>
    <row r="794" spans="1:1" x14ac:dyDescent="0.2">
      <c r="A794" s="4"/>
    </row>
    <row r="795" spans="1:1" x14ac:dyDescent="0.2">
      <c r="A795" s="4"/>
    </row>
    <row r="796" spans="1:1" x14ac:dyDescent="0.2">
      <c r="A796" s="4"/>
    </row>
    <row r="797" spans="1:1" x14ac:dyDescent="0.2">
      <c r="A797" s="4"/>
    </row>
    <row r="798" spans="1:1" x14ac:dyDescent="0.2">
      <c r="A798" s="4"/>
    </row>
    <row r="799" spans="1:1" x14ac:dyDescent="0.2">
      <c r="A799" s="4"/>
    </row>
    <row r="800" spans="1:1" x14ac:dyDescent="0.2">
      <c r="A800" s="4"/>
    </row>
    <row r="801" spans="1:1" x14ac:dyDescent="0.2">
      <c r="A801" s="4"/>
    </row>
    <row r="802" spans="1:1" x14ac:dyDescent="0.2">
      <c r="A802" s="4"/>
    </row>
    <row r="803" spans="1:1" x14ac:dyDescent="0.2">
      <c r="A803" s="4"/>
    </row>
    <row r="804" spans="1:1" x14ac:dyDescent="0.2">
      <c r="A804" s="4"/>
    </row>
    <row r="805" spans="1:1" x14ac:dyDescent="0.2">
      <c r="A805" s="5"/>
    </row>
    <row r="806" spans="1:1" x14ac:dyDescent="0.2">
      <c r="A806" s="5"/>
    </row>
    <row r="807" spans="1:1" x14ac:dyDescent="0.2">
      <c r="A807" s="5"/>
    </row>
    <row r="808" spans="1:1" x14ac:dyDescent="0.2">
      <c r="A808" s="5"/>
    </row>
    <row r="809" spans="1:1" x14ac:dyDescent="0.2">
      <c r="A809" s="5"/>
    </row>
    <row r="810" spans="1:1" x14ac:dyDescent="0.2">
      <c r="A810" s="5"/>
    </row>
    <row r="811" spans="1:1" x14ac:dyDescent="0.2">
      <c r="A811" s="4"/>
    </row>
    <row r="812" spans="1:1" x14ac:dyDescent="0.2">
      <c r="A812" s="4"/>
    </row>
    <row r="813" spans="1:1" x14ac:dyDescent="0.2">
      <c r="A813" s="4"/>
    </row>
    <row r="814" spans="1:1" x14ac:dyDescent="0.2">
      <c r="A814" s="4"/>
    </row>
    <row r="815" spans="1:1" x14ac:dyDescent="0.2">
      <c r="A815" s="4"/>
    </row>
    <row r="816" spans="1:1" x14ac:dyDescent="0.2">
      <c r="A816" s="4"/>
    </row>
    <row r="817" spans="1:1" x14ac:dyDescent="0.2">
      <c r="A817" s="4"/>
    </row>
    <row r="818" spans="1:1" x14ac:dyDescent="0.2">
      <c r="A818" s="4"/>
    </row>
    <row r="819" spans="1:1" x14ac:dyDescent="0.2">
      <c r="A819" s="4"/>
    </row>
    <row r="820" spans="1:1" x14ac:dyDescent="0.2">
      <c r="A820" s="4"/>
    </row>
    <row r="821" spans="1:1" x14ac:dyDescent="0.2">
      <c r="A821" s="4"/>
    </row>
    <row r="822" spans="1:1" x14ac:dyDescent="0.2">
      <c r="A822" s="4"/>
    </row>
    <row r="823" spans="1:1" x14ac:dyDescent="0.2">
      <c r="A823" s="4"/>
    </row>
    <row r="824" spans="1:1" x14ac:dyDescent="0.2">
      <c r="A824" s="4"/>
    </row>
    <row r="825" spans="1:1" x14ac:dyDescent="0.2">
      <c r="A825" s="4"/>
    </row>
    <row r="826" spans="1:1" x14ac:dyDescent="0.2">
      <c r="A826" s="4"/>
    </row>
    <row r="827" spans="1:1" x14ac:dyDescent="0.2">
      <c r="A827" s="4"/>
    </row>
    <row r="828" spans="1:1" x14ac:dyDescent="0.2">
      <c r="A828" s="4"/>
    </row>
    <row r="829" spans="1:1" x14ac:dyDescent="0.2">
      <c r="A829" s="4"/>
    </row>
    <row r="830" spans="1:1" x14ac:dyDescent="0.2">
      <c r="A830" s="4"/>
    </row>
    <row r="831" spans="1:1" x14ac:dyDescent="0.2">
      <c r="A831" s="4"/>
    </row>
    <row r="832" spans="1:1" x14ac:dyDescent="0.2">
      <c r="A832" s="4"/>
    </row>
    <row r="833" spans="1:1" x14ac:dyDescent="0.2">
      <c r="A833" s="4"/>
    </row>
    <row r="834" spans="1:1" x14ac:dyDescent="0.2">
      <c r="A834" s="4"/>
    </row>
    <row r="835" spans="1:1" x14ac:dyDescent="0.2">
      <c r="A835" s="4"/>
    </row>
    <row r="836" spans="1:1" x14ac:dyDescent="0.2">
      <c r="A836" s="4"/>
    </row>
    <row r="837" spans="1:1" x14ac:dyDescent="0.2">
      <c r="A837" s="4"/>
    </row>
    <row r="838" spans="1:1" x14ac:dyDescent="0.2">
      <c r="A838" s="4"/>
    </row>
    <row r="839" spans="1:1" x14ac:dyDescent="0.2">
      <c r="A839" s="4"/>
    </row>
    <row r="840" spans="1:1" x14ac:dyDescent="0.2">
      <c r="A840" s="4"/>
    </row>
    <row r="841" spans="1:1" x14ac:dyDescent="0.2">
      <c r="A841" s="4"/>
    </row>
    <row r="842" spans="1:1" x14ac:dyDescent="0.2">
      <c r="A842" s="4"/>
    </row>
    <row r="843" spans="1:1" x14ac:dyDescent="0.2">
      <c r="A843" s="4"/>
    </row>
    <row r="844" spans="1:1" x14ac:dyDescent="0.2">
      <c r="A844" s="4"/>
    </row>
    <row r="845" spans="1:1" x14ac:dyDescent="0.2">
      <c r="A845" s="4"/>
    </row>
    <row r="846" spans="1:1" x14ac:dyDescent="0.2">
      <c r="A846" s="4"/>
    </row>
    <row r="847" spans="1:1" x14ac:dyDescent="0.2">
      <c r="A847" s="4"/>
    </row>
    <row r="848" spans="1:1" x14ac:dyDescent="0.2">
      <c r="A848" s="4"/>
    </row>
    <row r="849" spans="1:1" x14ac:dyDescent="0.2">
      <c r="A849" s="4"/>
    </row>
    <row r="850" spans="1:1" x14ac:dyDescent="0.2">
      <c r="A850" s="4"/>
    </row>
    <row r="851" spans="1:1" x14ac:dyDescent="0.2">
      <c r="A851" s="4"/>
    </row>
    <row r="852" spans="1:1" x14ac:dyDescent="0.2">
      <c r="A852" s="4"/>
    </row>
    <row r="853" spans="1:1" x14ac:dyDescent="0.2">
      <c r="A853" s="4"/>
    </row>
    <row r="854" spans="1:1" x14ac:dyDescent="0.2">
      <c r="A854" s="4"/>
    </row>
    <row r="855" spans="1:1" x14ac:dyDescent="0.2">
      <c r="A855" s="4"/>
    </row>
    <row r="856" spans="1:1" x14ac:dyDescent="0.2">
      <c r="A856" s="4"/>
    </row>
    <row r="857" spans="1:1" x14ac:dyDescent="0.2">
      <c r="A857" s="4"/>
    </row>
    <row r="858" spans="1:1" x14ac:dyDescent="0.2">
      <c r="A858" s="4"/>
    </row>
    <row r="859" spans="1:1" x14ac:dyDescent="0.2">
      <c r="A859" s="4"/>
    </row>
    <row r="860" spans="1:1" x14ac:dyDescent="0.2">
      <c r="A860" s="4"/>
    </row>
    <row r="861" spans="1:1" x14ac:dyDescent="0.2">
      <c r="A861" s="4"/>
    </row>
    <row r="862" spans="1:1" x14ac:dyDescent="0.2">
      <c r="A862" s="4"/>
    </row>
    <row r="863" spans="1:1" x14ac:dyDescent="0.2">
      <c r="A863" s="4"/>
    </row>
    <row r="864" spans="1:1" x14ac:dyDescent="0.2">
      <c r="A864" s="4"/>
    </row>
    <row r="865" spans="1:1" x14ac:dyDescent="0.2">
      <c r="A865" s="4"/>
    </row>
    <row r="866" spans="1:1" x14ac:dyDescent="0.2">
      <c r="A866" s="4"/>
    </row>
    <row r="867" spans="1:1" x14ac:dyDescent="0.2">
      <c r="A867" s="4"/>
    </row>
    <row r="868" spans="1:1" x14ac:dyDescent="0.2">
      <c r="A868" s="4"/>
    </row>
    <row r="869" spans="1:1" x14ac:dyDescent="0.2">
      <c r="A869" s="4"/>
    </row>
    <row r="870" spans="1:1" x14ac:dyDescent="0.2">
      <c r="A870" s="4"/>
    </row>
    <row r="871" spans="1:1" x14ac:dyDescent="0.2">
      <c r="A871" s="4"/>
    </row>
    <row r="872" spans="1:1" x14ac:dyDescent="0.2">
      <c r="A872" s="4"/>
    </row>
    <row r="873" spans="1:1" x14ac:dyDescent="0.2">
      <c r="A873" s="4"/>
    </row>
    <row r="874" spans="1:1" x14ac:dyDescent="0.2">
      <c r="A874" s="4"/>
    </row>
    <row r="875" spans="1:1" x14ac:dyDescent="0.2">
      <c r="A875" s="4"/>
    </row>
    <row r="876" spans="1:1" x14ac:dyDescent="0.2">
      <c r="A876" s="4"/>
    </row>
    <row r="877" spans="1:1" x14ac:dyDescent="0.2">
      <c r="A877" s="4"/>
    </row>
    <row r="878" spans="1:1" x14ac:dyDescent="0.2">
      <c r="A878" s="4"/>
    </row>
    <row r="879" spans="1:1" x14ac:dyDescent="0.2">
      <c r="A879" s="4"/>
    </row>
    <row r="880" spans="1:1" x14ac:dyDescent="0.2">
      <c r="A880" s="4"/>
    </row>
    <row r="881" spans="1:1" x14ac:dyDescent="0.2">
      <c r="A881" s="4"/>
    </row>
    <row r="882" spans="1:1" x14ac:dyDescent="0.2">
      <c r="A882" s="4"/>
    </row>
    <row r="883" spans="1:1" x14ac:dyDescent="0.2">
      <c r="A883" s="4"/>
    </row>
    <row r="884" spans="1:1" x14ac:dyDescent="0.2">
      <c r="A884" s="4"/>
    </row>
    <row r="885" spans="1:1" x14ac:dyDescent="0.2">
      <c r="A885" s="4"/>
    </row>
    <row r="886" spans="1:1" x14ac:dyDescent="0.2">
      <c r="A886" s="4"/>
    </row>
    <row r="887" spans="1:1" x14ac:dyDescent="0.2">
      <c r="A887" s="4"/>
    </row>
    <row r="888" spans="1:1" x14ac:dyDescent="0.2">
      <c r="A888" s="4"/>
    </row>
    <row r="889" spans="1:1" x14ac:dyDescent="0.2">
      <c r="A889" s="4"/>
    </row>
    <row r="890" spans="1:1" x14ac:dyDescent="0.2">
      <c r="A890" s="4"/>
    </row>
    <row r="891" spans="1:1" x14ac:dyDescent="0.2">
      <c r="A891" s="4"/>
    </row>
    <row r="892" spans="1:1" x14ac:dyDescent="0.2">
      <c r="A892" s="4"/>
    </row>
    <row r="893" spans="1:1" x14ac:dyDescent="0.2">
      <c r="A893" s="4"/>
    </row>
    <row r="894" spans="1:1" x14ac:dyDescent="0.2">
      <c r="A894" s="4"/>
    </row>
    <row r="895" spans="1:1" x14ac:dyDescent="0.2">
      <c r="A895" s="4"/>
    </row>
    <row r="896" spans="1:1" x14ac:dyDescent="0.2">
      <c r="A896" s="4"/>
    </row>
    <row r="897" spans="1:1" x14ac:dyDescent="0.2">
      <c r="A897" s="4"/>
    </row>
    <row r="898" spans="1:1" x14ac:dyDescent="0.2">
      <c r="A898" s="4"/>
    </row>
    <row r="899" spans="1:1" x14ac:dyDescent="0.2">
      <c r="A899" s="4"/>
    </row>
    <row r="900" spans="1:1" x14ac:dyDescent="0.2">
      <c r="A900" s="4"/>
    </row>
    <row r="901" spans="1:1" x14ac:dyDescent="0.2">
      <c r="A901" s="4"/>
    </row>
    <row r="902" spans="1:1" x14ac:dyDescent="0.2">
      <c r="A902" s="4"/>
    </row>
    <row r="903" spans="1:1" x14ac:dyDescent="0.2">
      <c r="A903" s="4"/>
    </row>
    <row r="904" spans="1:1" x14ac:dyDescent="0.2">
      <c r="A904" s="4"/>
    </row>
    <row r="905" spans="1:1" x14ac:dyDescent="0.2">
      <c r="A905" s="4"/>
    </row>
    <row r="906" spans="1:1" x14ac:dyDescent="0.2">
      <c r="A906" s="4"/>
    </row>
    <row r="907" spans="1:1" x14ac:dyDescent="0.2">
      <c r="A907" s="4"/>
    </row>
    <row r="908" spans="1:1" x14ac:dyDescent="0.2">
      <c r="A908" s="4"/>
    </row>
    <row r="909" spans="1:1" x14ac:dyDescent="0.2">
      <c r="A909" s="4"/>
    </row>
    <row r="910" spans="1:1" x14ac:dyDescent="0.2">
      <c r="A910" s="4"/>
    </row>
    <row r="911" spans="1:1" x14ac:dyDescent="0.2">
      <c r="A911" s="4"/>
    </row>
    <row r="912" spans="1:1" x14ac:dyDescent="0.2">
      <c r="A912" s="4"/>
    </row>
    <row r="913" spans="1:1" x14ac:dyDescent="0.2">
      <c r="A913" s="4"/>
    </row>
    <row r="914" spans="1:1" x14ac:dyDescent="0.2">
      <c r="A914" s="4"/>
    </row>
    <row r="915" spans="1:1" x14ac:dyDescent="0.2">
      <c r="A915" s="4"/>
    </row>
    <row r="916" spans="1:1" x14ac:dyDescent="0.2">
      <c r="A916" s="4"/>
    </row>
    <row r="917" spans="1:1" x14ac:dyDescent="0.2">
      <c r="A917" s="4"/>
    </row>
    <row r="918" spans="1:1" x14ac:dyDescent="0.2">
      <c r="A918" s="4"/>
    </row>
    <row r="919" spans="1:1" x14ac:dyDescent="0.2">
      <c r="A919" s="4"/>
    </row>
    <row r="920" spans="1:1" x14ac:dyDescent="0.2">
      <c r="A920" s="4"/>
    </row>
    <row r="921" spans="1:1" x14ac:dyDescent="0.2">
      <c r="A921" s="4"/>
    </row>
    <row r="922" spans="1:1" x14ac:dyDescent="0.2">
      <c r="A922" s="4"/>
    </row>
    <row r="923" spans="1:1" x14ac:dyDescent="0.2">
      <c r="A923" s="4"/>
    </row>
    <row r="924" spans="1:1" x14ac:dyDescent="0.2">
      <c r="A924" s="4"/>
    </row>
    <row r="925" spans="1:1" x14ac:dyDescent="0.2">
      <c r="A925" s="4"/>
    </row>
    <row r="926" spans="1:1" x14ac:dyDescent="0.2">
      <c r="A926" s="4"/>
    </row>
    <row r="927" spans="1:1" x14ac:dyDescent="0.2">
      <c r="A927" s="4"/>
    </row>
    <row r="928" spans="1:1" x14ac:dyDescent="0.2">
      <c r="A928" s="4"/>
    </row>
    <row r="929" spans="1:1" x14ac:dyDescent="0.2">
      <c r="A929" s="4"/>
    </row>
    <row r="930" spans="1:1" x14ac:dyDescent="0.2">
      <c r="A930" s="4"/>
    </row>
    <row r="931" spans="1:1" x14ac:dyDescent="0.2">
      <c r="A931" s="4"/>
    </row>
    <row r="932" spans="1:1" x14ac:dyDescent="0.2">
      <c r="A932" s="4"/>
    </row>
    <row r="933" spans="1:1" x14ac:dyDescent="0.2">
      <c r="A933" s="4"/>
    </row>
    <row r="934" spans="1:1" x14ac:dyDescent="0.2">
      <c r="A934" s="4"/>
    </row>
    <row r="935" spans="1:1" x14ac:dyDescent="0.2">
      <c r="A935" s="4"/>
    </row>
    <row r="936" spans="1:1" x14ac:dyDescent="0.2">
      <c r="A936" s="4"/>
    </row>
    <row r="937" spans="1:1" x14ac:dyDescent="0.2">
      <c r="A937" s="4"/>
    </row>
    <row r="938" spans="1:1" x14ac:dyDescent="0.2">
      <c r="A938" s="4"/>
    </row>
    <row r="939" spans="1:1" x14ac:dyDescent="0.2">
      <c r="A939" s="4"/>
    </row>
    <row r="940" spans="1:1" x14ac:dyDescent="0.2">
      <c r="A940" s="4"/>
    </row>
    <row r="941" spans="1:1" x14ac:dyDescent="0.2">
      <c r="A941" s="4"/>
    </row>
    <row r="942" spans="1:1" x14ac:dyDescent="0.2">
      <c r="A942" s="4"/>
    </row>
    <row r="943" spans="1:1" x14ac:dyDescent="0.2">
      <c r="A943" s="4"/>
    </row>
    <row r="944" spans="1:1" x14ac:dyDescent="0.2">
      <c r="A944" s="4"/>
    </row>
    <row r="945" spans="1:1" x14ac:dyDescent="0.2">
      <c r="A945" s="4"/>
    </row>
    <row r="946" spans="1:1" x14ac:dyDescent="0.2">
      <c r="A946" s="4"/>
    </row>
    <row r="947" spans="1:1" x14ac:dyDescent="0.2">
      <c r="A947" s="4"/>
    </row>
    <row r="948" spans="1:1" x14ac:dyDescent="0.2">
      <c r="A948" s="4"/>
    </row>
    <row r="949" spans="1:1" x14ac:dyDescent="0.2">
      <c r="A949" s="4"/>
    </row>
    <row r="950" spans="1:1" x14ac:dyDescent="0.2">
      <c r="A950" s="4"/>
    </row>
    <row r="951" spans="1:1" x14ac:dyDescent="0.2">
      <c r="A951" s="4"/>
    </row>
    <row r="952" spans="1:1" x14ac:dyDescent="0.2">
      <c r="A952" s="4"/>
    </row>
    <row r="953" spans="1:1" x14ac:dyDescent="0.2">
      <c r="A953" s="4"/>
    </row>
    <row r="954" spans="1:1" x14ac:dyDescent="0.2">
      <c r="A954" s="4"/>
    </row>
    <row r="955" spans="1:1" x14ac:dyDescent="0.2">
      <c r="A955" s="4"/>
    </row>
    <row r="956" spans="1:1" x14ac:dyDescent="0.2">
      <c r="A956" s="4"/>
    </row>
    <row r="957" spans="1:1" x14ac:dyDescent="0.2">
      <c r="A957" s="4"/>
    </row>
    <row r="958" spans="1:1" x14ac:dyDescent="0.2">
      <c r="A958" s="4"/>
    </row>
    <row r="959" spans="1:1" x14ac:dyDescent="0.2">
      <c r="A959" s="4"/>
    </row>
    <row r="960" spans="1:1" x14ac:dyDescent="0.2">
      <c r="A960" s="4"/>
    </row>
    <row r="961" spans="1:1" x14ac:dyDescent="0.2">
      <c r="A961" s="4"/>
    </row>
    <row r="962" spans="1:1" x14ac:dyDescent="0.2">
      <c r="A962" s="4"/>
    </row>
    <row r="963" spans="1:1" x14ac:dyDescent="0.2">
      <c r="A963" s="4"/>
    </row>
    <row r="964" spans="1:1" x14ac:dyDescent="0.2">
      <c r="A964" s="4"/>
    </row>
    <row r="965" spans="1:1" x14ac:dyDescent="0.2">
      <c r="A965" s="4"/>
    </row>
    <row r="966" spans="1:1" x14ac:dyDescent="0.2">
      <c r="A966" s="4"/>
    </row>
    <row r="967" spans="1:1" x14ac:dyDescent="0.2">
      <c r="A967" s="4"/>
    </row>
    <row r="968" spans="1:1" x14ac:dyDescent="0.2">
      <c r="A968" s="3"/>
    </row>
    <row r="969" spans="1:1" x14ac:dyDescent="0.2">
      <c r="A969" s="3"/>
    </row>
    <row r="970" spans="1:1" x14ac:dyDescent="0.2">
      <c r="A970" s="3"/>
    </row>
    <row r="971" spans="1:1" x14ac:dyDescent="0.2">
      <c r="A971" s="3"/>
    </row>
    <row r="972" spans="1:1" x14ac:dyDescent="0.2">
      <c r="A972" s="3"/>
    </row>
    <row r="973" spans="1:1" x14ac:dyDescent="0.2">
      <c r="A973" s="3"/>
    </row>
    <row r="974" spans="1:1" x14ac:dyDescent="0.2">
      <c r="A974" s="3"/>
    </row>
    <row r="975" spans="1:1" x14ac:dyDescent="0.2">
      <c r="A975" s="3"/>
    </row>
    <row r="976" spans="1:1" x14ac:dyDescent="0.2">
      <c r="A976" s="3"/>
    </row>
    <row r="977" spans="1:1" x14ac:dyDescent="0.2">
      <c r="A977" s="3"/>
    </row>
    <row r="978" spans="1:1" x14ac:dyDescent="0.2">
      <c r="A978" s="3"/>
    </row>
    <row r="979" spans="1:1" x14ac:dyDescent="0.2">
      <c r="A979" s="3"/>
    </row>
    <row r="980" spans="1:1" x14ac:dyDescent="0.2">
      <c r="A980" s="3"/>
    </row>
    <row r="981" spans="1:1" x14ac:dyDescent="0.2">
      <c r="A981" s="3"/>
    </row>
    <row r="982" spans="1:1" x14ac:dyDescent="0.2">
      <c r="A982" s="3"/>
    </row>
    <row r="983" spans="1:1" x14ac:dyDescent="0.2">
      <c r="A983" s="3"/>
    </row>
    <row r="984" spans="1:1" x14ac:dyDescent="0.2">
      <c r="A984" s="3"/>
    </row>
    <row r="985" spans="1:1" x14ac:dyDescent="0.2">
      <c r="A985" s="3"/>
    </row>
    <row r="986" spans="1:1" x14ac:dyDescent="0.2">
      <c r="A986" s="3"/>
    </row>
    <row r="987" spans="1:1" x14ac:dyDescent="0.2">
      <c r="A987" s="3"/>
    </row>
    <row r="988" spans="1:1" x14ac:dyDescent="0.2">
      <c r="A988" s="3"/>
    </row>
    <row r="989" spans="1:1" x14ac:dyDescent="0.2">
      <c r="A989" s="3"/>
    </row>
    <row r="990" spans="1:1" x14ac:dyDescent="0.2">
      <c r="A990" s="3"/>
    </row>
    <row r="991" spans="1:1" x14ac:dyDescent="0.2">
      <c r="A991" s="3"/>
    </row>
    <row r="992" spans="1:1" x14ac:dyDescent="0.2">
      <c r="A992" s="3"/>
    </row>
    <row r="993" spans="1:1" x14ac:dyDescent="0.2">
      <c r="A993" s="3"/>
    </row>
    <row r="994" spans="1:1" x14ac:dyDescent="0.2">
      <c r="A994" s="3"/>
    </row>
    <row r="995" spans="1:1" x14ac:dyDescent="0.2">
      <c r="A995" s="3"/>
    </row>
    <row r="996" spans="1:1" x14ac:dyDescent="0.2">
      <c r="A996" s="3"/>
    </row>
    <row r="997" spans="1:1" x14ac:dyDescent="0.2">
      <c r="A997" s="3"/>
    </row>
    <row r="998" spans="1:1" x14ac:dyDescent="0.2">
      <c r="A998" s="3"/>
    </row>
    <row r="999" spans="1:1" x14ac:dyDescent="0.2">
      <c r="A999" s="3"/>
    </row>
    <row r="1000" spans="1:1" x14ac:dyDescent="0.2">
      <c r="A1000" s="3"/>
    </row>
    <row r="1001" spans="1:1" x14ac:dyDescent="0.2">
      <c r="A1001" s="3"/>
    </row>
    <row r="1002" spans="1:1" x14ac:dyDescent="0.2">
      <c r="A1002" s="3"/>
    </row>
    <row r="1003" spans="1:1" x14ac:dyDescent="0.2">
      <c r="A1003" s="3"/>
    </row>
    <row r="1004" spans="1:1" x14ac:dyDescent="0.2">
      <c r="A1004" s="3"/>
    </row>
    <row r="1005" spans="1:1" x14ac:dyDescent="0.2">
      <c r="A1005" s="3"/>
    </row>
    <row r="1006" spans="1:1" x14ac:dyDescent="0.2">
      <c r="A1006" s="3"/>
    </row>
    <row r="1007" spans="1:1" x14ac:dyDescent="0.2">
      <c r="A1007" s="3"/>
    </row>
    <row r="1008" spans="1:1" x14ac:dyDescent="0.2">
      <c r="A1008" s="3"/>
    </row>
    <row r="1009" spans="1:1" x14ac:dyDescent="0.2">
      <c r="A1009" s="3"/>
    </row>
    <row r="1010" spans="1:1" x14ac:dyDescent="0.2">
      <c r="A1010" s="3"/>
    </row>
    <row r="1011" spans="1:1" x14ac:dyDescent="0.2">
      <c r="A1011" s="3"/>
    </row>
    <row r="1012" spans="1:1" x14ac:dyDescent="0.2">
      <c r="A1012" s="3"/>
    </row>
    <row r="1013" spans="1:1" x14ac:dyDescent="0.2">
      <c r="A1013" s="3"/>
    </row>
    <row r="1014" spans="1:1" x14ac:dyDescent="0.2">
      <c r="A1014" s="3"/>
    </row>
    <row r="1015" spans="1:1" x14ac:dyDescent="0.2">
      <c r="A1015" s="3"/>
    </row>
    <row r="1016" spans="1:1" x14ac:dyDescent="0.2">
      <c r="A1016" s="3"/>
    </row>
    <row r="1017" spans="1:1" x14ac:dyDescent="0.2">
      <c r="A1017" s="3"/>
    </row>
    <row r="1018" spans="1:1" x14ac:dyDescent="0.2">
      <c r="A1018" s="3"/>
    </row>
    <row r="1019" spans="1:1" x14ac:dyDescent="0.2">
      <c r="A1019" s="3"/>
    </row>
    <row r="1020" spans="1:1" x14ac:dyDescent="0.2">
      <c r="A1020" s="3"/>
    </row>
    <row r="1021" spans="1:1" x14ac:dyDescent="0.2">
      <c r="A1021" s="3"/>
    </row>
    <row r="1022" spans="1:1" x14ac:dyDescent="0.2">
      <c r="A1022" s="3"/>
    </row>
    <row r="1023" spans="1:1" x14ac:dyDescent="0.2">
      <c r="A1023" s="3"/>
    </row>
    <row r="1024" spans="1:1" x14ac:dyDescent="0.2">
      <c r="A1024" s="3"/>
    </row>
    <row r="1025" spans="1:1" x14ac:dyDescent="0.2">
      <c r="A1025" s="3"/>
    </row>
    <row r="1026" spans="1:1" x14ac:dyDescent="0.2">
      <c r="A1026" s="3"/>
    </row>
    <row r="1027" spans="1:1" x14ac:dyDescent="0.2">
      <c r="A1027" s="3"/>
    </row>
    <row r="1028" spans="1:1" x14ac:dyDescent="0.2">
      <c r="A1028" s="3"/>
    </row>
    <row r="1029" spans="1:1" x14ac:dyDescent="0.2">
      <c r="A1029" s="3"/>
    </row>
    <row r="1030" spans="1:1" x14ac:dyDescent="0.2">
      <c r="A1030" s="3"/>
    </row>
    <row r="1031" spans="1:1" x14ac:dyDescent="0.2">
      <c r="A1031" s="3"/>
    </row>
    <row r="1032" spans="1:1" x14ac:dyDescent="0.2">
      <c r="A1032" s="3"/>
    </row>
    <row r="1033" spans="1:1" x14ac:dyDescent="0.2">
      <c r="A1033" s="3"/>
    </row>
    <row r="1034" spans="1:1" x14ac:dyDescent="0.2">
      <c r="A1034" s="3"/>
    </row>
    <row r="1035" spans="1:1" x14ac:dyDescent="0.2">
      <c r="A1035" s="3"/>
    </row>
    <row r="1036" spans="1:1" x14ac:dyDescent="0.2">
      <c r="A1036" s="3"/>
    </row>
    <row r="1037" spans="1:1" x14ac:dyDescent="0.2">
      <c r="A1037" s="3"/>
    </row>
    <row r="1038" spans="1:1" x14ac:dyDescent="0.2">
      <c r="A1038" s="3"/>
    </row>
    <row r="1039" spans="1:1" x14ac:dyDescent="0.2">
      <c r="A1039" s="3"/>
    </row>
    <row r="1040" spans="1:1" x14ac:dyDescent="0.2">
      <c r="A1040" s="3"/>
    </row>
    <row r="1041" spans="1:1" x14ac:dyDescent="0.2">
      <c r="A1041" s="3"/>
    </row>
    <row r="1042" spans="1:1" x14ac:dyDescent="0.2">
      <c r="A1042" s="3"/>
    </row>
    <row r="1043" spans="1:1" x14ac:dyDescent="0.2">
      <c r="A1043" s="3"/>
    </row>
    <row r="1044" spans="1:1" x14ac:dyDescent="0.2">
      <c r="A1044" s="3"/>
    </row>
    <row r="1045" spans="1:1" x14ac:dyDescent="0.2">
      <c r="A1045" s="3"/>
    </row>
    <row r="1046" spans="1:1" x14ac:dyDescent="0.2">
      <c r="A1046" s="3"/>
    </row>
    <row r="1047" spans="1:1" x14ac:dyDescent="0.2">
      <c r="A1047" s="3"/>
    </row>
    <row r="1048" spans="1:1" x14ac:dyDescent="0.2">
      <c r="A1048" s="3"/>
    </row>
    <row r="1049" spans="1:1" x14ac:dyDescent="0.2">
      <c r="A1049" s="3"/>
    </row>
    <row r="1050" spans="1:1" x14ac:dyDescent="0.2">
      <c r="A1050" s="3"/>
    </row>
    <row r="1051" spans="1:1" x14ac:dyDescent="0.2">
      <c r="A1051" s="3"/>
    </row>
    <row r="1052" spans="1:1" x14ac:dyDescent="0.2">
      <c r="A1052" s="3"/>
    </row>
    <row r="1053" spans="1:1" x14ac:dyDescent="0.2">
      <c r="A1053" s="3"/>
    </row>
    <row r="1054" spans="1:1" x14ac:dyDescent="0.2">
      <c r="A1054" s="3"/>
    </row>
    <row r="1055" spans="1:1" x14ac:dyDescent="0.2">
      <c r="A1055" s="3"/>
    </row>
    <row r="1056" spans="1:1" x14ac:dyDescent="0.2">
      <c r="A1056" s="3"/>
    </row>
    <row r="1057" spans="1:1" x14ac:dyDescent="0.2">
      <c r="A1057" s="3"/>
    </row>
    <row r="1058" spans="1:1" x14ac:dyDescent="0.2">
      <c r="A1058" s="3"/>
    </row>
    <row r="1059" spans="1:1" x14ac:dyDescent="0.2">
      <c r="A1059" s="3"/>
    </row>
    <row r="1060" spans="1:1" x14ac:dyDescent="0.2">
      <c r="A1060" s="3"/>
    </row>
    <row r="1061" spans="1:1" x14ac:dyDescent="0.2">
      <c r="A1061" s="3"/>
    </row>
    <row r="1062" spans="1:1" x14ac:dyDescent="0.2">
      <c r="A1062" s="3"/>
    </row>
    <row r="1063" spans="1:1" x14ac:dyDescent="0.2">
      <c r="A1063" s="3"/>
    </row>
    <row r="1064" spans="1:1" x14ac:dyDescent="0.2">
      <c r="A1064" s="3"/>
    </row>
    <row r="1065" spans="1:1" x14ac:dyDescent="0.2">
      <c r="A1065" s="3"/>
    </row>
    <row r="1066" spans="1:1" x14ac:dyDescent="0.2">
      <c r="A1066" s="3"/>
    </row>
    <row r="1067" spans="1:1" x14ac:dyDescent="0.2">
      <c r="A1067" s="3"/>
    </row>
    <row r="1068" spans="1:1" x14ac:dyDescent="0.2">
      <c r="A1068" s="3"/>
    </row>
    <row r="1069" spans="1:1" x14ac:dyDescent="0.2">
      <c r="A1069" s="3"/>
    </row>
    <row r="1070" spans="1:1" x14ac:dyDescent="0.2">
      <c r="A1070" s="3"/>
    </row>
    <row r="1071" spans="1:1" x14ac:dyDescent="0.2">
      <c r="A1071" s="3"/>
    </row>
    <row r="1072" spans="1:1" x14ac:dyDescent="0.2">
      <c r="A1072" s="3"/>
    </row>
    <row r="1073" spans="1:1" x14ac:dyDescent="0.2">
      <c r="A1073" s="3"/>
    </row>
    <row r="1074" spans="1:1" x14ac:dyDescent="0.2">
      <c r="A1074" s="3"/>
    </row>
    <row r="1075" spans="1:1" x14ac:dyDescent="0.2">
      <c r="A1075" s="3"/>
    </row>
    <row r="1076" spans="1:1" x14ac:dyDescent="0.2">
      <c r="A1076" s="3"/>
    </row>
    <row r="1077" spans="1:1" x14ac:dyDescent="0.2">
      <c r="A1077" s="3"/>
    </row>
    <row r="1078" spans="1:1" x14ac:dyDescent="0.2">
      <c r="A1078" s="3"/>
    </row>
    <row r="1079" spans="1:1" x14ac:dyDescent="0.2">
      <c r="A1079" s="3"/>
    </row>
    <row r="1080" spans="1:1" x14ac:dyDescent="0.2">
      <c r="A1080" s="3"/>
    </row>
    <row r="1081" spans="1:1" x14ac:dyDescent="0.2">
      <c r="A1081" s="3"/>
    </row>
    <row r="1082" spans="1:1" x14ac:dyDescent="0.2">
      <c r="A1082" s="3"/>
    </row>
    <row r="1083" spans="1:1" x14ac:dyDescent="0.2">
      <c r="A1083" s="3"/>
    </row>
    <row r="1084" spans="1:1" x14ac:dyDescent="0.2">
      <c r="A1084" s="3"/>
    </row>
    <row r="1085" spans="1:1" x14ac:dyDescent="0.2">
      <c r="A1085" s="3"/>
    </row>
    <row r="1086" spans="1:1" x14ac:dyDescent="0.2">
      <c r="A1086" s="3"/>
    </row>
    <row r="1087" spans="1:1" x14ac:dyDescent="0.2">
      <c r="A1087" s="3"/>
    </row>
    <row r="1088" spans="1:1" x14ac:dyDescent="0.2">
      <c r="A1088" s="3"/>
    </row>
    <row r="1089" spans="1:1" x14ac:dyDescent="0.2">
      <c r="A1089" s="3"/>
    </row>
    <row r="1090" spans="1:1" x14ac:dyDescent="0.2">
      <c r="A1090" s="3"/>
    </row>
    <row r="1091" spans="1:1" x14ac:dyDescent="0.2">
      <c r="A1091" s="3"/>
    </row>
    <row r="1092" spans="1:1" x14ac:dyDescent="0.2">
      <c r="A1092" s="3"/>
    </row>
    <row r="1093" spans="1:1" x14ac:dyDescent="0.2">
      <c r="A1093" s="3"/>
    </row>
    <row r="1094" spans="1:1" x14ac:dyDescent="0.2">
      <c r="A1094" s="3"/>
    </row>
    <row r="1095" spans="1:1" x14ac:dyDescent="0.2">
      <c r="A1095" s="3"/>
    </row>
    <row r="1096" spans="1:1" x14ac:dyDescent="0.2">
      <c r="A1096" s="3"/>
    </row>
    <row r="1097" spans="1:1" x14ac:dyDescent="0.2">
      <c r="A1097" s="3"/>
    </row>
    <row r="1098" spans="1:1" x14ac:dyDescent="0.2">
      <c r="A1098" s="3"/>
    </row>
    <row r="1099" spans="1:1" x14ac:dyDescent="0.2">
      <c r="A1099" s="3"/>
    </row>
    <row r="1100" spans="1:1" x14ac:dyDescent="0.2">
      <c r="A1100" s="3"/>
    </row>
    <row r="1101" spans="1:1" x14ac:dyDescent="0.2">
      <c r="A1101" s="3"/>
    </row>
    <row r="1102" spans="1:1" x14ac:dyDescent="0.2">
      <c r="A1102" s="3"/>
    </row>
    <row r="1103" spans="1:1" x14ac:dyDescent="0.2">
      <c r="A1103" s="3"/>
    </row>
    <row r="1104" spans="1:1" x14ac:dyDescent="0.2">
      <c r="A1104" s="3"/>
    </row>
    <row r="1105" spans="1:1" x14ac:dyDescent="0.2">
      <c r="A1105" s="3"/>
    </row>
    <row r="1106" spans="1:1" x14ac:dyDescent="0.2">
      <c r="A1106" s="3"/>
    </row>
    <row r="1107" spans="1:1" x14ac:dyDescent="0.2">
      <c r="A1107" s="3"/>
    </row>
    <row r="1108" spans="1:1" x14ac:dyDescent="0.2">
      <c r="A1108" s="3"/>
    </row>
    <row r="1109" spans="1:1" x14ac:dyDescent="0.2">
      <c r="A1109" s="3"/>
    </row>
    <row r="1110" spans="1:1" x14ac:dyDescent="0.2">
      <c r="A1110" s="3"/>
    </row>
    <row r="1111" spans="1:1" x14ac:dyDescent="0.2">
      <c r="A1111" s="3"/>
    </row>
    <row r="1112" spans="1:1" x14ac:dyDescent="0.2">
      <c r="A1112" s="3"/>
    </row>
    <row r="1113" spans="1:1" x14ac:dyDescent="0.2">
      <c r="A1113" s="3"/>
    </row>
    <row r="1114" spans="1:1" x14ac:dyDescent="0.2">
      <c r="A1114" s="3"/>
    </row>
    <row r="1115" spans="1:1" x14ac:dyDescent="0.2">
      <c r="A1115" s="3"/>
    </row>
    <row r="1116" spans="1:1" x14ac:dyDescent="0.2">
      <c r="A1116" s="3"/>
    </row>
    <row r="1117" spans="1:1" x14ac:dyDescent="0.2">
      <c r="A1117" s="3"/>
    </row>
    <row r="1118" spans="1:1" x14ac:dyDescent="0.2">
      <c r="A1118" s="3"/>
    </row>
    <row r="1119" spans="1:1" x14ac:dyDescent="0.2">
      <c r="A1119" s="3"/>
    </row>
    <row r="1120" spans="1:1" x14ac:dyDescent="0.2">
      <c r="A1120" s="3"/>
    </row>
    <row r="1121" spans="1:1" x14ac:dyDescent="0.2">
      <c r="A1121" s="3"/>
    </row>
    <row r="1122" spans="1:1" x14ac:dyDescent="0.2">
      <c r="A1122" s="3"/>
    </row>
    <row r="1123" spans="1:1" x14ac:dyDescent="0.2">
      <c r="A1123" s="3"/>
    </row>
    <row r="1124" spans="1:1" x14ac:dyDescent="0.2">
      <c r="A1124" s="3"/>
    </row>
    <row r="1125" spans="1:1" x14ac:dyDescent="0.2">
      <c r="A1125" s="3"/>
    </row>
    <row r="1126" spans="1:1" x14ac:dyDescent="0.2">
      <c r="A1126" s="3"/>
    </row>
    <row r="1127" spans="1:1" x14ac:dyDescent="0.2">
      <c r="A1127" s="3"/>
    </row>
    <row r="1128" spans="1:1" x14ac:dyDescent="0.2">
      <c r="A1128" s="3"/>
    </row>
    <row r="1129" spans="1:1" x14ac:dyDescent="0.2">
      <c r="A1129" s="3"/>
    </row>
    <row r="1130" spans="1:1" x14ac:dyDescent="0.2">
      <c r="A1130" s="3"/>
    </row>
    <row r="1131" spans="1:1" x14ac:dyDescent="0.2">
      <c r="A1131" s="3"/>
    </row>
    <row r="1132" spans="1:1" x14ac:dyDescent="0.2">
      <c r="A1132" s="3"/>
    </row>
    <row r="1133" spans="1:1" x14ac:dyDescent="0.2">
      <c r="A1133" s="3"/>
    </row>
    <row r="1134" spans="1:1" x14ac:dyDescent="0.2">
      <c r="A1134" s="3"/>
    </row>
    <row r="1135" spans="1:1" x14ac:dyDescent="0.2">
      <c r="A1135" s="3"/>
    </row>
    <row r="1136" spans="1:1" x14ac:dyDescent="0.2">
      <c r="A1136" s="3"/>
    </row>
    <row r="1137" spans="1:1" x14ac:dyDescent="0.2">
      <c r="A1137" s="3"/>
    </row>
    <row r="1138" spans="1:1" x14ac:dyDescent="0.2">
      <c r="A1138" s="3"/>
    </row>
    <row r="1139" spans="1:1" x14ac:dyDescent="0.2">
      <c r="A1139" s="3"/>
    </row>
    <row r="1140" spans="1:1" x14ac:dyDescent="0.2">
      <c r="A1140" s="3"/>
    </row>
    <row r="1141" spans="1:1" x14ac:dyDescent="0.2">
      <c r="A1141" s="3"/>
    </row>
    <row r="1142" spans="1:1" x14ac:dyDescent="0.2">
      <c r="A1142" s="3"/>
    </row>
    <row r="1143" spans="1:1" x14ac:dyDescent="0.2">
      <c r="A1143" s="3"/>
    </row>
    <row r="1144" spans="1:1" x14ac:dyDescent="0.2">
      <c r="A1144" s="3"/>
    </row>
    <row r="1145" spans="1:1" x14ac:dyDescent="0.2">
      <c r="A1145" s="3"/>
    </row>
    <row r="1146" spans="1:1" x14ac:dyDescent="0.2">
      <c r="A1146" s="3"/>
    </row>
    <row r="1147" spans="1:1" x14ac:dyDescent="0.2">
      <c r="A1147" s="3"/>
    </row>
    <row r="1148" spans="1:1" x14ac:dyDescent="0.2">
      <c r="A1148" s="3"/>
    </row>
    <row r="1149" spans="1:1" x14ac:dyDescent="0.2">
      <c r="A1149" s="3"/>
    </row>
    <row r="1150" spans="1:1" x14ac:dyDescent="0.2">
      <c r="A1150" s="3"/>
    </row>
    <row r="1151" spans="1:1" x14ac:dyDescent="0.2">
      <c r="A1151" s="3"/>
    </row>
    <row r="1152" spans="1:1" x14ac:dyDescent="0.2">
      <c r="A1152" s="3"/>
    </row>
    <row r="1153" spans="1:1" x14ac:dyDescent="0.2">
      <c r="A1153" s="3"/>
    </row>
    <row r="1154" spans="1:1" x14ac:dyDescent="0.2">
      <c r="A1154" s="3"/>
    </row>
    <row r="1155" spans="1:1" x14ac:dyDescent="0.2">
      <c r="A1155" s="3"/>
    </row>
    <row r="1156" spans="1:1" x14ac:dyDescent="0.2">
      <c r="A1156" s="3"/>
    </row>
    <row r="1157" spans="1:1" x14ac:dyDescent="0.2">
      <c r="A1157" s="3"/>
    </row>
    <row r="1158" spans="1:1" x14ac:dyDescent="0.2">
      <c r="A1158" s="3"/>
    </row>
    <row r="1159" spans="1:1" x14ac:dyDescent="0.2">
      <c r="A1159" s="3"/>
    </row>
    <row r="1160" spans="1:1" x14ac:dyDescent="0.2">
      <c r="A1160" s="3"/>
    </row>
    <row r="1161" spans="1:1" x14ac:dyDescent="0.2">
      <c r="A1161" s="3"/>
    </row>
    <row r="1162" spans="1:1" x14ac:dyDescent="0.2">
      <c r="A1162" s="3"/>
    </row>
    <row r="1163" spans="1:1" x14ac:dyDescent="0.2">
      <c r="A1163" s="3"/>
    </row>
    <row r="1164" spans="1:1" x14ac:dyDescent="0.2">
      <c r="A1164" s="3"/>
    </row>
    <row r="1165" spans="1:1" x14ac:dyDescent="0.2">
      <c r="A1165" s="3"/>
    </row>
    <row r="1166" spans="1:1" x14ac:dyDescent="0.2">
      <c r="A1166" s="3"/>
    </row>
    <row r="1167" spans="1:1" x14ac:dyDescent="0.2">
      <c r="A1167" s="3"/>
    </row>
    <row r="1168" spans="1:1" x14ac:dyDescent="0.2">
      <c r="A1168" s="3"/>
    </row>
    <row r="1169" spans="1:1" x14ac:dyDescent="0.2">
      <c r="A1169" s="3"/>
    </row>
    <row r="1170" spans="1:1" x14ac:dyDescent="0.2">
      <c r="A1170" s="3"/>
    </row>
    <row r="1171" spans="1:1" x14ac:dyDescent="0.2">
      <c r="A1171" s="3"/>
    </row>
    <row r="1172" spans="1:1" x14ac:dyDescent="0.2">
      <c r="A1172" s="3"/>
    </row>
    <row r="1173" spans="1:1" x14ac:dyDescent="0.2">
      <c r="A1173" s="3"/>
    </row>
    <row r="1174" spans="1:1" x14ac:dyDescent="0.2">
      <c r="A1174" s="3"/>
    </row>
    <row r="1175" spans="1:1" x14ac:dyDescent="0.2">
      <c r="A1175" s="3"/>
    </row>
    <row r="1176" spans="1:1" x14ac:dyDescent="0.2">
      <c r="A1176" s="3"/>
    </row>
    <row r="1177" spans="1:1" x14ac:dyDescent="0.2">
      <c r="A1177" s="3"/>
    </row>
    <row r="1178" spans="1:1" x14ac:dyDescent="0.2">
      <c r="A1178" s="3"/>
    </row>
    <row r="1179" spans="1:1" x14ac:dyDescent="0.2">
      <c r="A1179" s="3"/>
    </row>
    <row r="1180" spans="1:1" x14ac:dyDescent="0.2">
      <c r="A1180" s="3"/>
    </row>
    <row r="1181" spans="1:1" x14ac:dyDescent="0.2">
      <c r="A1181" s="3"/>
    </row>
    <row r="1182" spans="1:1" x14ac:dyDescent="0.2">
      <c r="A1182" s="3"/>
    </row>
    <row r="1183" spans="1:1" x14ac:dyDescent="0.2">
      <c r="A1183" s="3"/>
    </row>
    <row r="1184" spans="1:1" x14ac:dyDescent="0.2">
      <c r="A1184" s="3"/>
    </row>
    <row r="1185" spans="1:1" x14ac:dyDescent="0.2">
      <c r="A1185" s="3"/>
    </row>
    <row r="1186" spans="1:1" x14ac:dyDescent="0.2">
      <c r="A1186" s="3"/>
    </row>
    <row r="1187" spans="1:1" x14ac:dyDescent="0.2">
      <c r="A1187" s="3"/>
    </row>
    <row r="1188" spans="1:1" x14ac:dyDescent="0.2">
      <c r="A1188" s="3"/>
    </row>
    <row r="1189" spans="1:1" x14ac:dyDescent="0.2">
      <c r="A1189" s="3"/>
    </row>
    <row r="1190" spans="1:1" x14ac:dyDescent="0.2">
      <c r="A1190" s="3"/>
    </row>
    <row r="1191" spans="1:1" x14ac:dyDescent="0.2">
      <c r="A1191" s="3"/>
    </row>
    <row r="1192" spans="1:1" x14ac:dyDescent="0.2">
      <c r="A1192" s="3"/>
    </row>
    <row r="1193" spans="1:1" x14ac:dyDescent="0.2">
      <c r="A1193" s="3"/>
    </row>
    <row r="1194" spans="1:1" x14ac:dyDescent="0.2">
      <c r="A1194" s="3"/>
    </row>
    <row r="1195" spans="1:1" x14ac:dyDescent="0.2">
      <c r="A1195" s="3"/>
    </row>
    <row r="1196" spans="1:1" x14ac:dyDescent="0.2">
      <c r="A1196" s="3"/>
    </row>
    <row r="1197" spans="1:1" x14ac:dyDescent="0.2">
      <c r="A1197" s="3"/>
    </row>
    <row r="1198" spans="1:1" x14ac:dyDescent="0.2">
      <c r="A1198" s="3"/>
    </row>
    <row r="1199" spans="1:1" x14ac:dyDescent="0.2">
      <c r="A1199" s="3"/>
    </row>
    <row r="1200" spans="1:1" x14ac:dyDescent="0.2">
      <c r="A1200" s="3"/>
    </row>
    <row r="1201" spans="1:1" x14ac:dyDescent="0.2">
      <c r="A1201" s="3"/>
    </row>
    <row r="1202" spans="1:1" x14ac:dyDescent="0.2">
      <c r="A1202" s="3"/>
    </row>
    <row r="1203" spans="1:1" x14ac:dyDescent="0.2">
      <c r="A1203" s="3"/>
    </row>
    <row r="1204" spans="1:1" x14ac:dyDescent="0.2">
      <c r="A1204" s="3"/>
    </row>
    <row r="1205" spans="1:1" x14ac:dyDescent="0.2">
      <c r="A1205" s="3"/>
    </row>
    <row r="1206" spans="1:1" x14ac:dyDescent="0.2">
      <c r="A1206" s="3"/>
    </row>
    <row r="1207" spans="1:1" x14ac:dyDescent="0.2">
      <c r="A1207" s="3"/>
    </row>
    <row r="1208" spans="1:1" x14ac:dyDescent="0.2">
      <c r="A1208" s="3"/>
    </row>
    <row r="1209" spans="1:1" x14ac:dyDescent="0.2">
      <c r="A1209" s="3"/>
    </row>
    <row r="1210" spans="1:1" x14ac:dyDescent="0.2">
      <c r="A1210" s="3"/>
    </row>
    <row r="1211" spans="1:1" x14ac:dyDescent="0.2">
      <c r="A1211" s="3"/>
    </row>
    <row r="1212" spans="1:1" x14ac:dyDescent="0.2">
      <c r="A1212" s="3"/>
    </row>
    <row r="1213" spans="1:1" x14ac:dyDescent="0.2">
      <c r="A1213" s="3"/>
    </row>
    <row r="1214" spans="1:1" x14ac:dyDescent="0.2">
      <c r="A1214" s="3"/>
    </row>
    <row r="1215" spans="1:1" x14ac:dyDescent="0.2">
      <c r="A1215" s="3"/>
    </row>
    <row r="1216" spans="1:1" x14ac:dyDescent="0.2">
      <c r="A1216" s="3"/>
    </row>
    <row r="1217" spans="1:1" x14ac:dyDescent="0.2">
      <c r="A1217" s="3"/>
    </row>
    <row r="1218" spans="1:1" x14ac:dyDescent="0.2">
      <c r="A1218" s="3"/>
    </row>
    <row r="1219" spans="1:1" x14ac:dyDescent="0.2">
      <c r="A1219" s="3"/>
    </row>
    <row r="1220" spans="1:1" x14ac:dyDescent="0.2">
      <c r="A1220" s="3"/>
    </row>
    <row r="1221" spans="1:1" x14ac:dyDescent="0.2">
      <c r="A1221" s="3"/>
    </row>
    <row r="1222" spans="1:1" x14ac:dyDescent="0.2">
      <c r="A1222" s="3"/>
    </row>
    <row r="1223" spans="1:1" x14ac:dyDescent="0.2">
      <c r="A1223" s="3"/>
    </row>
    <row r="1224" spans="1:1" x14ac:dyDescent="0.2">
      <c r="A1224" s="3"/>
    </row>
    <row r="1225" spans="1:1" x14ac:dyDescent="0.2">
      <c r="A1225" s="3"/>
    </row>
    <row r="1226" spans="1:1" x14ac:dyDescent="0.2">
      <c r="A1226" s="3"/>
    </row>
    <row r="1227" spans="1:1" x14ac:dyDescent="0.2">
      <c r="A1227" s="3"/>
    </row>
    <row r="1228" spans="1:1" x14ac:dyDescent="0.2">
      <c r="A1228" s="3"/>
    </row>
    <row r="1229" spans="1:1" x14ac:dyDescent="0.2">
      <c r="A1229" s="3"/>
    </row>
    <row r="1230" spans="1:1" x14ac:dyDescent="0.2">
      <c r="A1230" s="3"/>
    </row>
    <row r="1231" spans="1:1" x14ac:dyDescent="0.2">
      <c r="A1231" s="3"/>
    </row>
    <row r="1232" spans="1:1" x14ac:dyDescent="0.2">
      <c r="A1232" s="3"/>
    </row>
    <row r="1233" spans="1:1" x14ac:dyDescent="0.2">
      <c r="A1233" s="3"/>
    </row>
    <row r="1234" spans="1:1" x14ac:dyDescent="0.2">
      <c r="A1234" s="3"/>
    </row>
    <row r="1235" spans="1:1" x14ac:dyDescent="0.2">
      <c r="A1235" s="3"/>
    </row>
    <row r="1236" spans="1:1" x14ac:dyDescent="0.2">
      <c r="A1236" s="3"/>
    </row>
    <row r="1237" spans="1:1" x14ac:dyDescent="0.2">
      <c r="A1237" s="3"/>
    </row>
    <row r="1238" spans="1:1" x14ac:dyDescent="0.2">
      <c r="A1238" s="3"/>
    </row>
    <row r="1239" spans="1:1" x14ac:dyDescent="0.2">
      <c r="A1239" s="3"/>
    </row>
    <row r="1240" spans="1:1" x14ac:dyDescent="0.2">
      <c r="A1240" s="3"/>
    </row>
    <row r="1241" spans="1:1" x14ac:dyDescent="0.2">
      <c r="A1241" s="3"/>
    </row>
    <row r="1242" spans="1:1" x14ac:dyDescent="0.2">
      <c r="A1242" s="3"/>
    </row>
    <row r="1243" spans="1:1" x14ac:dyDescent="0.2">
      <c r="A1243" s="3"/>
    </row>
    <row r="1244" spans="1:1" x14ac:dyDescent="0.2">
      <c r="A1244" s="3"/>
    </row>
    <row r="1245" spans="1:1" x14ac:dyDescent="0.2">
      <c r="A1245" s="3"/>
    </row>
    <row r="1246" spans="1:1" x14ac:dyDescent="0.2">
      <c r="A1246" s="3"/>
    </row>
    <row r="1247" spans="1:1" x14ac:dyDescent="0.2">
      <c r="A1247" s="3"/>
    </row>
    <row r="1248" spans="1:1" x14ac:dyDescent="0.2">
      <c r="A1248" s="3"/>
    </row>
    <row r="1249" spans="1:1" x14ac:dyDescent="0.2">
      <c r="A1249" s="3"/>
    </row>
    <row r="1250" spans="1:1" x14ac:dyDescent="0.2">
      <c r="A1250" s="3"/>
    </row>
    <row r="1251" spans="1:1" x14ac:dyDescent="0.2">
      <c r="A1251" s="3"/>
    </row>
    <row r="1252" spans="1:1" x14ac:dyDescent="0.2">
      <c r="A1252" s="3"/>
    </row>
    <row r="1253" spans="1:1" x14ac:dyDescent="0.2">
      <c r="A1253" s="3"/>
    </row>
    <row r="1254" spans="1:1" x14ac:dyDescent="0.2">
      <c r="A1254" s="3"/>
    </row>
    <row r="1255" spans="1:1" x14ac:dyDescent="0.2">
      <c r="A1255" s="3"/>
    </row>
    <row r="1256" spans="1:1" x14ac:dyDescent="0.2">
      <c r="A1256" s="3"/>
    </row>
    <row r="1257" spans="1:1" x14ac:dyDescent="0.2">
      <c r="A1257" s="3"/>
    </row>
    <row r="1258" spans="1:1" x14ac:dyDescent="0.2">
      <c r="A1258" s="3"/>
    </row>
    <row r="1259" spans="1:1" x14ac:dyDescent="0.2">
      <c r="A1259" s="3"/>
    </row>
    <row r="1260" spans="1:1" x14ac:dyDescent="0.2">
      <c r="A1260" s="3"/>
    </row>
    <row r="1261" spans="1:1" x14ac:dyDescent="0.2">
      <c r="A1261" s="3"/>
    </row>
    <row r="1262" spans="1:1" x14ac:dyDescent="0.2">
      <c r="A1262" s="3"/>
    </row>
    <row r="1263" spans="1:1" x14ac:dyDescent="0.2">
      <c r="A1263" s="3"/>
    </row>
    <row r="1264" spans="1:1" x14ac:dyDescent="0.2">
      <c r="A1264" s="3"/>
    </row>
    <row r="1265" spans="1:1" x14ac:dyDescent="0.2">
      <c r="A1265" s="3"/>
    </row>
    <row r="1266" spans="1:1" x14ac:dyDescent="0.2">
      <c r="A1266" s="3"/>
    </row>
    <row r="1267" spans="1:1" x14ac:dyDescent="0.2">
      <c r="A1267" s="3"/>
    </row>
    <row r="1268" spans="1:1" x14ac:dyDescent="0.2">
      <c r="A1268" s="3"/>
    </row>
    <row r="1269" spans="1:1" x14ac:dyDescent="0.2">
      <c r="A1269" s="3"/>
    </row>
    <row r="1270" spans="1:1" x14ac:dyDescent="0.2">
      <c r="A1270" s="3"/>
    </row>
    <row r="1271" spans="1:1" x14ac:dyDescent="0.2">
      <c r="A1271" s="3"/>
    </row>
    <row r="1272" spans="1:1" x14ac:dyDescent="0.2">
      <c r="A1272" s="6"/>
    </row>
    <row r="1273" spans="1:1" x14ac:dyDescent="0.2">
      <c r="A1273" s="3"/>
    </row>
    <row r="1274" spans="1:1" x14ac:dyDescent="0.2">
      <c r="A1274" s="3"/>
    </row>
    <row r="1275" spans="1:1" x14ac:dyDescent="0.2">
      <c r="A1275" s="3"/>
    </row>
    <row r="1276" spans="1:1" x14ac:dyDescent="0.2">
      <c r="A1276" s="3"/>
    </row>
    <row r="1277" spans="1:1" x14ac:dyDescent="0.2">
      <c r="A1277" s="3"/>
    </row>
    <row r="1278" spans="1:1" x14ac:dyDescent="0.2">
      <c r="A1278" s="3"/>
    </row>
    <row r="1279" spans="1:1" x14ac:dyDescent="0.2">
      <c r="A1279" s="3"/>
    </row>
    <row r="1280" spans="1:1" x14ac:dyDescent="0.2">
      <c r="A1280" s="3"/>
    </row>
    <row r="1281" spans="1:1" x14ac:dyDescent="0.2">
      <c r="A1281" s="3"/>
    </row>
    <row r="1282" spans="1:1" x14ac:dyDescent="0.2">
      <c r="A1282" s="3"/>
    </row>
    <row r="1283" spans="1:1" x14ac:dyDescent="0.2">
      <c r="A1283" s="3"/>
    </row>
    <row r="1284" spans="1:1" x14ac:dyDescent="0.2">
      <c r="A1284" s="3"/>
    </row>
    <row r="1285" spans="1:1" x14ac:dyDescent="0.2">
      <c r="A1285" s="3"/>
    </row>
    <row r="1286" spans="1:1" x14ac:dyDescent="0.2">
      <c r="A1286" s="3"/>
    </row>
    <row r="1287" spans="1:1" x14ac:dyDescent="0.2">
      <c r="A1287" s="3"/>
    </row>
    <row r="1288" spans="1:1" x14ac:dyDescent="0.2">
      <c r="A1288" s="3"/>
    </row>
    <row r="1289" spans="1:1" x14ac:dyDescent="0.2">
      <c r="A1289" s="3"/>
    </row>
    <row r="1290" spans="1:1" x14ac:dyDescent="0.2">
      <c r="A1290" s="3"/>
    </row>
    <row r="1291" spans="1:1" x14ac:dyDescent="0.2">
      <c r="A1291" s="3"/>
    </row>
    <row r="1292" spans="1:1" x14ac:dyDescent="0.2">
      <c r="A1292" s="3"/>
    </row>
    <row r="1293" spans="1:1" x14ac:dyDescent="0.2">
      <c r="A1293" s="3"/>
    </row>
    <row r="1294" spans="1:1" x14ac:dyDescent="0.2">
      <c r="A1294" s="3"/>
    </row>
    <row r="1295" spans="1:1" x14ac:dyDescent="0.2">
      <c r="A1295" s="3"/>
    </row>
    <row r="1296" spans="1:1" x14ac:dyDescent="0.2">
      <c r="A1296" s="3"/>
    </row>
    <row r="1297" spans="1:1" x14ac:dyDescent="0.2">
      <c r="A1297" s="3"/>
    </row>
    <row r="1298" spans="1:1" x14ac:dyDescent="0.2">
      <c r="A1298" s="3"/>
    </row>
    <row r="1299" spans="1:1" x14ac:dyDescent="0.2">
      <c r="A1299" s="3"/>
    </row>
    <row r="1300" spans="1:1" x14ac:dyDescent="0.2">
      <c r="A1300" s="3"/>
    </row>
    <row r="1301" spans="1:1" x14ac:dyDescent="0.2">
      <c r="A1301" s="3"/>
    </row>
    <row r="1302" spans="1:1" x14ac:dyDescent="0.2">
      <c r="A1302" s="3"/>
    </row>
    <row r="1303" spans="1:1" x14ac:dyDescent="0.2">
      <c r="A1303" s="3"/>
    </row>
    <row r="1304" spans="1:1" x14ac:dyDescent="0.2">
      <c r="A1304" s="3"/>
    </row>
    <row r="1305" spans="1:1" x14ac:dyDescent="0.2">
      <c r="A1305" s="3"/>
    </row>
    <row r="1306" spans="1:1" x14ac:dyDescent="0.2">
      <c r="A1306" s="3"/>
    </row>
    <row r="1307" spans="1:1" x14ac:dyDescent="0.2">
      <c r="A1307" s="3"/>
    </row>
    <row r="1308" spans="1:1" x14ac:dyDescent="0.2">
      <c r="A1308" s="3"/>
    </row>
    <row r="1309" spans="1:1" x14ac:dyDescent="0.2">
      <c r="A1309" s="3"/>
    </row>
    <row r="1310" spans="1:1" x14ac:dyDescent="0.2">
      <c r="A1310" s="3"/>
    </row>
    <row r="1311" spans="1:1" x14ac:dyDescent="0.2">
      <c r="A1311" s="3"/>
    </row>
    <row r="1312" spans="1:1" x14ac:dyDescent="0.2">
      <c r="A1312" s="3"/>
    </row>
    <row r="1313" spans="1:1" x14ac:dyDescent="0.2">
      <c r="A1313" s="3"/>
    </row>
    <row r="1314" spans="1:1" x14ac:dyDescent="0.2">
      <c r="A1314" s="3"/>
    </row>
    <row r="1315" spans="1:1" x14ac:dyDescent="0.2">
      <c r="A1315" s="3"/>
    </row>
    <row r="1316" spans="1:1" x14ac:dyDescent="0.2">
      <c r="A1316" s="3"/>
    </row>
    <row r="1317" spans="1:1" x14ac:dyDescent="0.2">
      <c r="A1317" s="3"/>
    </row>
    <row r="1318" spans="1:1" x14ac:dyDescent="0.2">
      <c r="A1318" s="3"/>
    </row>
    <row r="1319" spans="1:1" x14ac:dyDescent="0.2">
      <c r="A1319" s="3"/>
    </row>
    <row r="1320" spans="1:1" x14ac:dyDescent="0.2">
      <c r="A1320" s="3"/>
    </row>
    <row r="1321" spans="1:1" x14ac:dyDescent="0.2">
      <c r="A1321" s="3"/>
    </row>
    <row r="1322" spans="1:1" x14ac:dyDescent="0.2">
      <c r="A1322" s="3"/>
    </row>
    <row r="1323" spans="1:1" x14ac:dyDescent="0.2">
      <c r="A1323" s="3"/>
    </row>
    <row r="1324" spans="1:1" x14ac:dyDescent="0.2">
      <c r="A1324" s="3"/>
    </row>
    <row r="1325" spans="1:1" x14ac:dyDescent="0.2">
      <c r="A1325" s="3"/>
    </row>
    <row r="1326" spans="1:1" x14ac:dyDescent="0.2">
      <c r="A1326" s="3"/>
    </row>
    <row r="1327" spans="1:1" x14ac:dyDescent="0.2">
      <c r="A1327" s="3"/>
    </row>
    <row r="1328" spans="1:1" x14ac:dyDescent="0.2">
      <c r="A1328" s="3"/>
    </row>
    <row r="1329" spans="1:1" x14ac:dyDescent="0.2">
      <c r="A1329" s="3"/>
    </row>
    <row r="1330" spans="1:1" x14ac:dyDescent="0.2">
      <c r="A1330" s="3"/>
    </row>
    <row r="1331" spans="1:1" x14ac:dyDescent="0.2">
      <c r="A1331" s="3"/>
    </row>
    <row r="1332" spans="1:1" x14ac:dyDescent="0.2">
      <c r="A1332" s="3"/>
    </row>
    <row r="1333" spans="1:1" x14ac:dyDescent="0.2">
      <c r="A1333" s="7"/>
    </row>
    <row r="1334" spans="1:1" x14ac:dyDescent="0.2">
      <c r="A1334" s="3"/>
    </row>
    <row r="1335" spans="1:1" x14ac:dyDescent="0.2">
      <c r="A1335" s="3"/>
    </row>
    <row r="1336" spans="1:1" x14ac:dyDescent="0.2">
      <c r="A1336" s="3"/>
    </row>
    <row r="1337" spans="1:1" x14ac:dyDescent="0.2">
      <c r="A1337" s="3"/>
    </row>
    <row r="1338" spans="1:1" x14ac:dyDescent="0.2">
      <c r="A1338" s="3"/>
    </row>
    <row r="1339" spans="1:1" x14ac:dyDescent="0.2">
      <c r="A1339" s="3"/>
    </row>
    <row r="1340" spans="1:1" x14ac:dyDescent="0.2">
      <c r="A1340" s="3"/>
    </row>
    <row r="1341" spans="1:1" x14ac:dyDescent="0.2">
      <c r="A1341" s="3"/>
    </row>
    <row r="1342" spans="1:1" x14ac:dyDescent="0.2">
      <c r="A1342" s="3"/>
    </row>
    <row r="1343" spans="1:1" x14ac:dyDescent="0.2">
      <c r="A1343" s="3"/>
    </row>
    <row r="1344" spans="1:1" x14ac:dyDescent="0.2">
      <c r="A1344" s="3"/>
    </row>
    <row r="1345" spans="1:1" x14ac:dyDescent="0.2">
      <c r="A1345" s="3"/>
    </row>
    <row r="1346" spans="1:1" x14ac:dyDescent="0.2">
      <c r="A1346" s="3"/>
    </row>
    <row r="1347" spans="1:1" x14ac:dyDescent="0.2">
      <c r="A1347" s="3"/>
    </row>
    <row r="1348" spans="1:1" x14ac:dyDescent="0.2">
      <c r="A1348" s="3"/>
    </row>
    <row r="1349" spans="1:1" x14ac:dyDescent="0.2">
      <c r="A1349" s="3"/>
    </row>
    <row r="1350" spans="1:1" x14ac:dyDescent="0.2">
      <c r="A1350" s="3"/>
    </row>
    <row r="1351" spans="1:1" x14ac:dyDescent="0.2">
      <c r="A1351" s="3"/>
    </row>
    <row r="1352" spans="1:1" x14ac:dyDescent="0.2">
      <c r="A1352" s="3"/>
    </row>
    <row r="1353" spans="1:1" x14ac:dyDescent="0.2">
      <c r="A1353" s="3"/>
    </row>
    <row r="1354" spans="1:1" x14ac:dyDescent="0.2">
      <c r="A1354" s="3"/>
    </row>
    <row r="1355" spans="1:1" x14ac:dyDescent="0.2">
      <c r="A1355" s="3"/>
    </row>
    <row r="1356" spans="1:1" x14ac:dyDescent="0.2">
      <c r="A1356" s="3"/>
    </row>
    <row r="1357" spans="1:1" x14ac:dyDescent="0.2">
      <c r="A1357" s="3"/>
    </row>
    <row r="1358" spans="1:1" x14ac:dyDescent="0.2">
      <c r="A1358" s="3"/>
    </row>
    <row r="1359" spans="1:1" x14ac:dyDescent="0.2">
      <c r="A1359" s="3"/>
    </row>
    <row r="1360" spans="1:1" x14ac:dyDescent="0.2">
      <c r="A1360" s="3"/>
    </row>
    <row r="1361" spans="1:1" x14ac:dyDescent="0.2">
      <c r="A1361" s="3"/>
    </row>
    <row r="1362" spans="1:1" x14ac:dyDescent="0.2">
      <c r="A1362" s="3"/>
    </row>
    <row r="1363" spans="1:1" x14ac:dyDescent="0.2">
      <c r="A1363" s="3"/>
    </row>
    <row r="1364" spans="1:1" x14ac:dyDescent="0.2">
      <c r="A1364" s="3"/>
    </row>
    <row r="1365" spans="1:1" x14ac:dyDescent="0.2">
      <c r="A1365" s="3"/>
    </row>
    <row r="1366" spans="1:1" x14ac:dyDescent="0.2">
      <c r="A1366" s="3"/>
    </row>
  </sheetData>
  <sheetProtection selectLockedCells="1" selectUnlockedCells="1"/>
  <mergeCells count="1">
    <mergeCell ref="C1:C2"/>
  </mergeCells>
  <phoneticPr fontId="0" type="noConversion"/>
  <conditionalFormatting sqref="B3:AY3">
    <cfRule type="cellIs" dxfId="347" priority="1" stopIfTrue="1" operator="equal">
      <formula>"OFF"</formula>
    </cfRule>
  </conditionalFormatting>
  <dataValidations count="1">
    <dataValidation type="list" showInputMessage="1" showErrorMessage="1" sqref="B3:AY3" xr:uid="{00000000-0002-0000-0200-000000000000}">
      <formula1>"ON,OFF"</formula1>
    </dataValidation>
  </dataValidations>
  <printOptions horizontalCentered="1"/>
  <pageMargins left="0.75" right="0.75" top="1" bottom="1" header="0.5" footer="0.5"/>
  <pageSetup paperSize="9" orientation="portrait" horizontalDpi="360" verticalDpi="300" r:id="rId1"/>
  <headerFooter alignWithMargins="0">
    <oddHeader>&amp;A</oddHead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pageSetUpPr fitToPage="1"/>
  </sheetPr>
  <dimension ref="A1:BP61"/>
  <sheetViews>
    <sheetView showGridLines="0" workbookViewId="0">
      <pane xSplit="1" ySplit="11" topLeftCell="E12" activePane="bottomRight" state="frozen"/>
      <selection activeCell="A5" sqref="A5:H5"/>
      <selection pane="topRight" activeCell="A5" sqref="A5:H5"/>
      <selection pane="bottomLeft" activeCell="A5" sqref="A5:H5"/>
      <selection pane="bottomRight" activeCell="I19" sqref="I19"/>
    </sheetView>
  </sheetViews>
  <sheetFormatPr defaultColWidth="9.33203125" defaultRowHeight="12.75" x14ac:dyDescent="0.2"/>
  <cols>
    <col min="1" max="1" width="33.83203125" style="39" customWidth="1"/>
    <col min="2" max="2" width="16.33203125" style="39" customWidth="1"/>
    <col min="3" max="3" width="15.6640625" style="39" customWidth="1"/>
    <col min="4" max="11" width="14.83203125" style="39" customWidth="1"/>
    <col min="12" max="26" width="7.83203125" style="39" customWidth="1"/>
    <col min="27" max="27" width="18.6640625" style="2" customWidth="1"/>
    <col min="28" max="28" width="3" style="60" customWidth="1"/>
    <col min="29" max="16384" width="9.33203125" style="60"/>
  </cols>
  <sheetData>
    <row r="1" spans="1:68" s="39" customFormat="1" ht="3.75" customHeight="1" x14ac:dyDescent="0.2">
      <c r="BP1" s="40"/>
    </row>
    <row r="2" spans="1:68" s="42" customFormat="1" ht="3.75" customHeight="1" thickBo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BP2" s="43" t="str">
        <f>IF(A12&lt;&gt;"",TEXT(B12,"0.00")&amp; "*" &amp; A12 &amp; " + ","") &amp; IF(A13&lt;&gt;"",TEXT(B13,"0.00")&amp; "*" &amp; A13 &amp; " + ","") &amp; IF(A14&lt;&gt;"",TEXT(B14,"0.00")&amp; "*" &amp; A14 &amp; " + ","") &amp; IF(A15&lt;&gt;"",TEXT(B15,"0.00")&amp; "*" &amp; A15 &amp; " + ","") &amp; IF(A16&lt;&gt;"",TEXT(B16,"0.00")&amp; "*" &amp; A16 &amp; " + ","") &amp; IF(A17&lt;&gt;"",TEXT(B17,"0.00")&amp; "*" &amp; A17 &amp; " + ","")  &amp; IF(A18&lt;&gt;"",TEXT(B18,"0.00")&amp; "*" &amp; A18 &amp; " + ","") &amp; IF(A19&lt;&gt;"",TEXT(B19,"0.00")&amp; "*" &amp; A19 &amp; " + ","") &amp; IF(A20&lt;&gt;"",TEXT(B20,"0.00")&amp; "*" &amp; A20 &amp; " + ","") &amp; IF(A21&lt;&gt;"",TEXT(B21,"0.00")&amp; "*" &amp; A21 &amp; " + ","")</f>
        <v xml:space="preserve">3343.49*HDD + 20476.91*CDD + 210828.67*Number of Days in Month + 2735.91*Employment Stats + -64307.11*Daylight hours + </v>
      </c>
    </row>
    <row r="3" spans="1:68" s="39" customFormat="1" ht="22.5" customHeight="1" thickTop="1" thickBot="1" x14ac:dyDescent="0.25">
      <c r="A3" s="780" t="s">
        <v>7</v>
      </c>
      <c r="B3" s="781"/>
      <c r="C3" s="787" t="str">
        <f>TEXT(B5,"00.00%") &amp; " of the change in " &amp; TEXT(Input!$A$4,"###") &amp; " can be explained by the change in the " &amp; COUNT(B12:B977) &amp; " independent variables"</f>
        <v>80.92% of the change in WS can be explained by the change in the 5 independent variables</v>
      </c>
      <c r="D3" s="788"/>
      <c r="E3" s="788"/>
      <c r="F3" s="788"/>
      <c r="G3" s="791" t="s">
        <v>37</v>
      </c>
      <c r="H3" s="792"/>
      <c r="I3" s="792"/>
      <c r="J3" s="793"/>
      <c r="K3" s="44"/>
      <c r="L3" s="775" t="str">
        <f>"Actual versus Predicted " &amp; TEXT(Input!A4,"###")</f>
        <v>Actual versus Predicted WS</v>
      </c>
      <c r="M3" s="44"/>
      <c r="N3" s="44"/>
      <c r="O3" s="44"/>
      <c r="P3" s="44"/>
      <c r="Q3" s="44"/>
      <c r="R3" s="44"/>
      <c r="S3" s="44"/>
      <c r="T3" s="44"/>
      <c r="U3" s="44"/>
      <c r="V3" s="44"/>
      <c r="W3" s="44"/>
      <c r="X3" s="44"/>
      <c r="Y3" s="44"/>
      <c r="Z3" s="44"/>
      <c r="AA3" s="45"/>
      <c r="AE3" s="38" t="s">
        <v>11</v>
      </c>
      <c r="AF3" s="38"/>
      <c r="AG3" s="38">
        <v>1.6038299798965454</v>
      </c>
      <c r="BP3" s="40" t="e">
        <f>IF(A22&lt;&gt;"",TEXT(B22,"0.00")&amp; "*" &amp; A22 &amp; " + ","") &amp; IF(A23&lt;&gt;"",TEXT(B23,"0.00")&amp; "*" &amp; A23 &amp; " + ","") &amp; IF(A24&lt;&gt;"",TEXT(B24,"0.00")&amp; "*" &amp; A24 &amp; " + ","") &amp; IF(A25&lt;&gt;"",TEXT(B25,"0.00")&amp; "*" &amp; A25 &amp; " + ","") &amp; IF(A26&lt;&gt;"",TEXT(B26,"0.00")&amp; "*" &amp; A26 &amp; " + ","") &amp; IF(A45&lt;&gt;"",TEXT(B45,"0.00")&amp; "*" &amp; A45 &amp; " + ","")  &amp; IF(A46&lt;&gt;"",TEXT(B46,"0.00")&amp; "*" &amp; A46 &amp; " + ","") &amp; IF(A48&lt;&gt;"",TEXT(B48,"0.00")&amp; "*" &amp; A48 &amp; " + ","") &amp; IF(A49&lt;&gt;"",TEXT(B49,"0.00")&amp; "*" &amp; A49 &amp; " + ","") &amp; IF(#REF!&lt;&gt;"",TEXT(#REF!,"0.00")&amp; "*" &amp;#REF! &amp; " + ","")</f>
        <v>#REF!</v>
      </c>
    </row>
    <row r="4" spans="1:68" s="39" customFormat="1" ht="15.75" customHeight="1" x14ac:dyDescent="0.2">
      <c r="A4" s="46" t="s">
        <v>176</v>
      </c>
      <c r="B4" s="47">
        <v>0.8181229829788208</v>
      </c>
      <c r="C4" s="789"/>
      <c r="D4" s="790"/>
      <c r="E4" s="790"/>
      <c r="F4" s="790"/>
      <c r="G4" s="48">
        <v>1.7448939085006714</v>
      </c>
      <c r="H4" s="49" t="s">
        <v>20</v>
      </c>
      <c r="I4" s="50"/>
      <c r="J4" s="51"/>
      <c r="K4" s="52"/>
      <c r="L4" s="776"/>
      <c r="M4" s="52"/>
      <c r="N4" s="52"/>
      <c r="O4" s="52"/>
      <c r="P4" s="52"/>
      <c r="Q4" s="53"/>
      <c r="R4" s="53"/>
      <c r="S4" s="53"/>
      <c r="T4" s="53"/>
      <c r="U4" s="53"/>
      <c r="V4" s="53"/>
      <c r="W4" s="53"/>
      <c r="X4" s="53"/>
      <c r="Y4" s="53"/>
      <c r="Z4" s="53"/>
      <c r="AA4" s="54"/>
      <c r="AE4" s="38" t="s">
        <v>9</v>
      </c>
      <c r="AF4" s="38"/>
      <c r="AG4" s="38">
        <v>1.761680006980896</v>
      </c>
    </row>
    <row r="5" spans="1:68" s="39" customFormat="1" ht="15.75" customHeight="1" x14ac:dyDescent="0.2">
      <c r="A5" s="46" t="s">
        <v>21</v>
      </c>
      <c r="B5" s="55">
        <v>0.80920737981796265</v>
      </c>
      <c r="C5" s="789"/>
      <c r="D5" s="790"/>
      <c r="E5" s="790"/>
      <c r="F5" s="790"/>
      <c r="G5" s="56" t="str">
        <f>TEXT(AG3,"0.00")&amp;" - " &amp;TEXT(AG4,"0.00")</f>
        <v>1.60 - 1.76</v>
      </c>
      <c r="H5" s="57" t="s">
        <v>203</v>
      </c>
      <c r="I5" s="58"/>
      <c r="J5" s="59"/>
      <c r="L5" s="776"/>
      <c r="M5" s="60"/>
      <c r="N5" s="60"/>
      <c r="O5" s="60"/>
      <c r="P5" s="60"/>
      <c r="Q5" s="60"/>
      <c r="R5" s="60"/>
      <c r="S5" s="60"/>
      <c r="T5" s="60"/>
      <c r="U5" s="60"/>
      <c r="V5" s="60"/>
      <c r="W5" s="60"/>
      <c r="X5" s="61"/>
      <c r="Y5" s="61"/>
      <c r="Z5" s="61"/>
      <c r="AA5" s="62"/>
      <c r="AE5" s="38" t="s">
        <v>8</v>
      </c>
      <c r="AF5" s="38"/>
      <c r="AG5" s="38">
        <v>1.6627099514007568</v>
      </c>
    </row>
    <row r="6" spans="1:68" s="39" customFormat="1" ht="15.75" customHeight="1" x14ac:dyDescent="0.25">
      <c r="A6" s="46" t="s">
        <v>0</v>
      </c>
      <c r="B6" s="55">
        <v>375568.53125</v>
      </c>
      <c r="C6" s="63" t="s">
        <v>35</v>
      </c>
      <c r="D6" s="52"/>
      <c r="E6" s="52"/>
      <c r="F6" s="52"/>
      <c r="G6" s="64">
        <v>2.2990000247955322</v>
      </c>
      <c r="H6" s="65" t="s">
        <v>44</v>
      </c>
      <c r="I6" s="58"/>
      <c r="J6" s="59"/>
      <c r="L6" s="776"/>
      <c r="M6" s="60"/>
      <c r="N6" s="60"/>
      <c r="O6" s="60"/>
      <c r="P6" s="60"/>
      <c r="Q6" s="60"/>
      <c r="R6" s="60"/>
      <c r="S6" s="60"/>
      <c r="T6" s="60"/>
      <c r="U6" s="60"/>
      <c r="V6" s="60"/>
      <c r="W6" s="60"/>
      <c r="X6" s="61"/>
      <c r="Y6" s="61"/>
      <c r="Z6" s="61"/>
      <c r="AA6" s="66" t="s">
        <v>40</v>
      </c>
      <c r="AE6" s="38" t="s">
        <v>13</v>
      </c>
      <c r="AF6" s="38"/>
      <c r="AG6" s="38">
        <v>1.7011100053787231</v>
      </c>
    </row>
    <row r="7" spans="1:68" s="39" customFormat="1" ht="15.75" customHeight="1" thickBot="1" x14ac:dyDescent="0.3">
      <c r="A7" s="67" t="s">
        <v>1</v>
      </c>
      <c r="B7" s="68">
        <v>91.763687133789063</v>
      </c>
      <c r="C7" s="63" t="str">
        <f>IF(B7&gt;M7,"Therefore analysis IS Significant","Therefore analysis IS NOT Significant")</f>
        <v>Therefore analysis IS Significant</v>
      </c>
      <c r="D7" s="52"/>
      <c r="E7" s="52"/>
      <c r="F7" s="52"/>
      <c r="G7" s="69">
        <v>0.89620000123977661</v>
      </c>
      <c r="H7" s="70" t="s">
        <v>45</v>
      </c>
      <c r="I7" s="71"/>
      <c r="J7" s="72"/>
      <c r="L7" s="777"/>
      <c r="M7" s="60"/>
      <c r="N7" s="60"/>
      <c r="O7" s="60"/>
      <c r="P7" s="60"/>
      <c r="Q7" s="60"/>
      <c r="R7" s="60"/>
      <c r="S7" s="60"/>
      <c r="T7" s="60"/>
      <c r="U7" s="60"/>
      <c r="V7" s="60"/>
      <c r="W7" s="60"/>
      <c r="X7" s="61"/>
      <c r="Y7" s="61"/>
      <c r="Z7" s="61"/>
      <c r="AA7" s="133">
        <v>24</v>
      </c>
      <c r="AE7" s="38" t="s">
        <v>12</v>
      </c>
      <c r="AF7" s="38"/>
      <c r="AG7" s="38"/>
    </row>
    <row r="8" spans="1:68" s="39" customFormat="1" ht="9.75" customHeight="1" thickBot="1" x14ac:dyDescent="0.25">
      <c r="A8" s="73"/>
      <c r="B8" s="53"/>
      <c r="C8" s="53"/>
      <c r="D8" s="53"/>
      <c r="E8" s="53"/>
      <c r="F8" s="53"/>
      <c r="G8" s="53"/>
      <c r="H8" s="53"/>
      <c r="I8" s="53"/>
      <c r="J8" s="53"/>
      <c r="K8" s="53"/>
      <c r="L8" s="53"/>
      <c r="M8" s="53"/>
      <c r="N8" s="53"/>
      <c r="O8" s="53"/>
      <c r="P8" s="53"/>
      <c r="Q8" s="53"/>
      <c r="R8" s="53"/>
      <c r="S8" s="53"/>
      <c r="T8" s="53"/>
      <c r="U8" s="53"/>
      <c r="V8" s="53"/>
      <c r="W8" s="53"/>
      <c r="X8" s="53"/>
      <c r="Y8" s="53"/>
      <c r="Z8" s="53"/>
      <c r="AA8" s="54"/>
    </row>
    <row r="9" spans="1:68" s="39" customFormat="1" ht="24.75" customHeight="1" thickBot="1" x14ac:dyDescent="0.25">
      <c r="A9" s="786" t="s">
        <v>2</v>
      </c>
      <c r="B9" s="768"/>
      <c r="C9" s="768"/>
      <c r="D9" s="768"/>
      <c r="E9" s="785"/>
      <c r="F9" s="784" t="s">
        <v>3</v>
      </c>
      <c r="G9" s="768"/>
      <c r="H9" s="785"/>
      <c r="I9" s="142" t="s">
        <v>16</v>
      </c>
      <c r="J9" s="784" t="s">
        <v>24</v>
      </c>
      <c r="K9" s="785"/>
      <c r="L9" s="74"/>
      <c r="M9" s="75"/>
      <c r="N9" s="768" t="s">
        <v>34</v>
      </c>
      <c r="O9" s="768"/>
      <c r="P9" s="768"/>
      <c r="Q9" s="768"/>
      <c r="R9" s="768"/>
      <c r="S9" s="768"/>
      <c r="T9" s="768"/>
      <c r="U9" s="768"/>
      <c r="V9" s="768"/>
      <c r="W9" s="768"/>
      <c r="X9" s="768"/>
      <c r="Y9" s="75"/>
      <c r="Z9" s="143" t="s">
        <v>36</v>
      </c>
      <c r="AA9" s="76"/>
    </row>
    <row r="10" spans="1:68" s="39" customFormat="1" ht="29.25" customHeight="1" x14ac:dyDescent="0.2">
      <c r="A10" s="77"/>
      <c r="B10" s="78" t="s">
        <v>4</v>
      </c>
      <c r="C10" s="79" t="s">
        <v>0</v>
      </c>
      <c r="D10" s="79" t="s">
        <v>22</v>
      </c>
      <c r="E10" s="80" t="s">
        <v>23</v>
      </c>
      <c r="F10" s="81" t="s">
        <v>14</v>
      </c>
      <c r="G10" s="82" t="s">
        <v>38</v>
      </c>
      <c r="H10" s="83" t="s">
        <v>5</v>
      </c>
      <c r="I10" s="84" t="str">
        <f>"Dl=" &amp; TEXT(AG5,"0.00") &amp; " Du=" &amp;TEXT(AG6,"0.00")</f>
        <v>Dl=1.66 Du=1.70</v>
      </c>
      <c r="J10" s="782" t="s">
        <v>18</v>
      </c>
      <c r="K10" s="778" t="s">
        <v>48</v>
      </c>
      <c r="L10" s="771" t="s">
        <v>9</v>
      </c>
      <c r="M10" s="772"/>
      <c r="N10" s="773"/>
      <c r="O10" s="774" t="s">
        <v>8</v>
      </c>
      <c r="P10" s="772"/>
      <c r="Q10" s="773"/>
      <c r="R10" s="774" t="s">
        <v>32</v>
      </c>
      <c r="S10" s="772"/>
      <c r="T10" s="772"/>
      <c r="U10" s="773"/>
      <c r="V10" s="774" t="s">
        <v>33</v>
      </c>
      <c r="W10" s="772"/>
      <c r="X10" s="772"/>
      <c r="Y10" s="772"/>
      <c r="Z10" s="773"/>
      <c r="AA10" s="769" t="s">
        <v>19</v>
      </c>
    </row>
    <row r="11" spans="1:68" s="39" customFormat="1" ht="15" customHeight="1" x14ac:dyDescent="0.25">
      <c r="A11" s="85" t="s">
        <v>6</v>
      </c>
      <c r="B11" s="86">
        <v>2971216.1516123</v>
      </c>
      <c r="C11" s="87">
        <v>1831401.7092554001</v>
      </c>
      <c r="D11" s="87">
        <v>1.6223726999999999</v>
      </c>
      <c r="E11" s="88">
        <v>0.10781060000000001</v>
      </c>
      <c r="F11" s="89"/>
      <c r="G11" s="90"/>
      <c r="H11" s="91"/>
      <c r="I11" s="92" t="s">
        <v>17</v>
      </c>
      <c r="J11" s="783"/>
      <c r="K11" s="779"/>
      <c r="L11" s="93" t="s">
        <v>27</v>
      </c>
      <c r="M11" s="94" t="s">
        <v>10</v>
      </c>
      <c r="N11" s="95" t="s">
        <v>28</v>
      </c>
      <c r="O11" s="96" t="s">
        <v>27</v>
      </c>
      <c r="P11" s="94" t="s">
        <v>10</v>
      </c>
      <c r="Q11" s="97" t="s">
        <v>28</v>
      </c>
      <c r="R11" s="96" t="s">
        <v>29</v>
      </c>
      <c r="S11" s="94" t="s">
        <v>30</v>
      </c>
      <c r="T11" s="94" t="s">
        <v>10</v>
      </c>
      <c r="U11" s="97" t="s">
        <v>28</v>
      </c>
      <c r="V11" s="96" t="s">
        <v>29</v>
      </c>
      <c r="W11" s="94" t="s">
        <v>30</v>
      </c>
      <c r="X11" s="94" t="s">
        <v>31</v>
      </c>
      <c r="Y11" s="94" t="s">
        <v>10</v>
      </c>
      <c r="Z11" s="97" t="s">
        <v>28</v>
      </c>
      <c r="AA11" s="770"/>
    </row>
    <row r="12" spans="1:68" x14ac:dyDescent="0.2">
      <c r="A12" s="98" t="s">
        <v>50</v>
      </c>
      <c r="B12" s="99">
        <v>3343.4894399</v>
      </c>
      <c r="C12" s="100">
        <v>252.42219370000001</v>
      </c>
      <c r="D12" s="100">
        <v>13.2456239</v>
      </c>
      <c r="E12" s="101">
        <v>0</v>
      </c>
      <c r="F12" s="102">
        <v>0.4666286</v>
      </c>
      <c r="G12" s="103">
        <v>2159.4564030000001</v>
      </c>
      <c r="H12" s="104">
        <v>11229064</v>
      </c>
      <c r="I12" s="105">
        <v>0.34203430000000001</v>
      </c>
      <c r="J12" s="106">
        <v>0.70947280000000001</v>
      </c>
      <c r="K12" s="107"/>
      <c r="L12" s="108">
        <v>-0.43472</v>
      </c>
      <c r="M12" s="109">
        <v>363.20974999999999</v>
      </c>
      <c r="N12" s="110">
        <v>2.5100000000000001E-3</v>
      </c>
      <c r="O12" s="111">
        <v>0</v>
      </c>
      <c r="P12" s="109">
        <v>0</v>
      </c>
      <c r="Q12" s="112">
        <v>0</v>
      </c>
      <c r="R12" s="113">
        <v>-0.37558999999999998</v>
      </c>
      <c r="S12" s="114">
        <v>-5.2999999999999998E-4</v>
      </c>
      <c r="T12" s="109">
        <v>362.08647000000002</v>
      </c>
      <c r="U12" s="110">
        <v>2.5100000000000001E-3</v>
      </c>
      <c r="V12" s="111">
        <v>-10.18695</v>
      </c>
      <c r="W12" s="114">
        <v>0.21753</v>
      </c>
      <c r="X12" s="114">
        <v>-1.31E-3</v>
      </c>
      <c r="Y12" s="109">
        <v>458.8322</v>
      </c>
      <c r="Z12" s="112">
        <v>1.576E-2</v>
      </c>
      <c r="AA12" s="8" t="s">
        <v>9</v>
      </c>
    </row>
    <row r="13" spans="1:68" x14ac:dyDescent="0.2">
      <c r="A13" s="115" t="s">
        <v>51</v>
      </c>
      <c r="B13" s="116">
        <v>20476.914982900002</v>
      </c>
      <c r="C13" s="117">
        <v>1704.7353634999999</v>
      </c>
      <c r="D13" s="117">
        <v>12.0117852</v>
      </c>
      <c r="E13" s="118">
        <v>0</v>
      </c>
      <c r="F13" s="119">
        <v>1.9220999999999999E-3</v>
      </c>
      <c r="G13" s="120">
        <v>-1272.8697619</v>
      </c>
      <c r="H13" s="121">
        <v>11983291</v>
      </c>
      <c r="I13" s="122">
        <v>0.87191890000000005</v>
      </c>
      <c r="J13" s="123">
        <v>0.462731</v>
      </c>
      <c r="K13" s="124"/>
      <c r="L13" s="125">
        <v>4.6739999999999997E-2</v>
      </c>
      <c r="M13" s="126">
        <v>14.683529999999999</v>
      </c>
      <c r="N13" s="127">
        <v>2.4399999999999999E-3</v>
      </c>
      <c r="O13" s="128">
        <v>0</v>
      </c>
      <c r="P13" s="126">
        <v>0</v>
      </c>
      <c r="Q13" s="129">
        <v>0</v>
      </c>
      <c r="R13" s="130">
        <v>0.20049</v>
      </c>
      <c r="S13" s="131">
        <v>-1.39E-3</v>
      </c>
      <c r="T13" s="126">
        <v>11.76328</v>
      </c>
      <c r="U13" s="127">
        <v>4.1099999999999999E-3</v>
      </c>
      <c r="V13" s="128">
        <v>1.0809200000000001</v>
      </c>
      <c r="W13" s="131">
        <v>-2.095E-2</v>
      </c>
      <c r="X13" s="131">
        <v>1.2E-4</v>
      </c>
      <c r="Y13" s="126">
        <v>3.08168</v>
      </c>
      <c r="Z13" s="129">
        <v>1.311E-2</v>
      </c>
      <c r="AA13" s="8" t="s">
        <v>9</v>
      </c>
    </row>
    <row r="14" spans="1:68" x14ac:dyDescent="0.2">
      <c r="A14" s="115" t="s">
        <v>199</v>
      </c>
      <c r="B14" s="116">
        <v>210828.6653242</v>
      </c>
      <c r="C14" s="117">
        <v>47295.9082844</v>
      </c>
      <c r="D14" s="117">
        <v>4.4576513000000002</v>
      </c>
      <c r="E14" s="118">
        <v>2.1299999999999999E-5</v>
      </c>
      <c r="F14" s="119">
        <v>1.15254E-2</v>
      </c>
      <c r="G14" s="120">
        <v>115227.06310679999</v>
      </c>
      <c r="H14" s="121">
        <v>8453274</v>
      </c>
      <c r="I14" s="122">
        <v>2.9882876999999999</v>
      </c>
      <c r="J14" s="123">
        <v>4.6036300000000002E-2</v>
      </c>
      <c r="K14" s="124"/>
      <c r="L14" s="125">
        <v>6.8999999999999997E-4</v>
      </c>
      <c r="M14" s="126">
        <v>30.406379999999999</v>
      </c>
      <c r="N14" s="127">
        <v>7.2000000000000005E-4</v>
      </c>
      <c r="O14" s="128">
        <v>1.0000199999999999</v>
      </c>
      <c r="P14" s="126">
        <v>30.393999999999998</v>
      </c>
      <c r="Q14" s="129">
        <v>7.5000000000000002E-4</v>
      </c>
      <c r="R14" s="130">
        <v>-1.57E-3</v>
      </c>
      <c r="S14" s="131">
        <v>2.0000000000000002E-5</v>
      </c>
      <c r="T14" s="126">
        <v>30.449269999999999</v>
      </c>
      <c r="U14" s="127">
        <v>1.2099999999999999E-3</v>
      </c>
      <c r="V14" s="128">
        <v>5.7099999999999998E-3</v>
      </c>
      <c r="W14" s="131">
        <v>-1.3999999999999999E-4</v>
      </c>
      <c r="X14" s="131">
        <v>0</v>
      </c>
      <c r="Y14" s="126">
        <v>30.37743</v>
      </c>
      <c r="Z14" s="129">
        <v>2.0500000000000002E-3</v>
      </c>
      <c r="AA14" s="8" t="s">
        <v>9</v>
      </c>
    </row>
    <row r="15" spans="1:68" x14ac:dyDescent="0.2">
      <c r="A15" s="115" t="s">
        <v>200</v>
      </c>
      <c r="B15" s="116">
        <v>2735.9148300000002</v>
      </c>
      <c r="C15" s="117">
        <v>1360.3720820000001</v>
      </c>
      <c r="D15" s="117">
        <v>2.0111519000000002</v>
      </c>
      <c r="E15" s="118">
        <v>4.6947700000000002E-2</v>
      </c>
      <c r="F15" s="119">
        <v>2.3590999999999998E-3</v>
      </c>
      <c r="G15" s="120">
        <v>1508.5147284</v>
      </c>
      <c r="H15" s="121">
        <v>10939092</v>
      </c>
      <c r="I15" s="122">
        <v>0.2082379</v>
      </c>
      <c r="J15" s="123">
        <v>3.4491800000000003E-2</v>
      </c>
      <c r="K15" s="124"/>
      <c r="L15" s="125">
        <v>0.77256000000000002</v>
      </c>
      <c r="M15" s="126">
        <v>634.74720000000002</v>
      </c>
      <c r="N15" s="127">
        <v>0.76395999999999997</v>
      </c>
      <c r="O15" s="128">
        <v>1.0011399999999999</v>
      </c>
      <c r="P15" s="126">
        <v>635.44515000000001</v>
      </c>
      <c r="Q15" s="129">
        <v>0.76121000000000005</v>
      </c>
      <c r="R15" s="130">
        <v>0.90852999999999995</v>
      </c>
      <c r="S15" s="131">
        <v>-1.2199999999999999E-3</v>
      </c>
      <c r="T15" s="126">
        <v>632.16459999999995</v>
      </c>
      <c r="U15" s="127">
        <v>0.76544999999999996</v>
      </c>
      <c r="V15" s="128">
        <v>-1.4170700000000001</v>
      </c>
      <c r="W15" s="131">
        <v>5.0459999999999998E-2</v>
      </c>
      <c r="X15" s="131">
        <v>-3.1E-4</v>
      </c>
      <c r="Y15" s="126">
        <v>655.09636999999998</v>
      </c>
      <c r="Z15" s="129">
        <v>0.83728999999999998</v>
      </c>
      <c r="AA15" s="8" t="s">
        <v>9</v>
      </c>
    </row>
    <row r="16" spans="1:68" x14ac:dyDescent="0.2">
      <c r="A16" s="115" t="s">
        <v>191</v>
      </c>
      <c r="B16" s="116">
        <v>-64307.113844300002</v>
      </c>
      <c r="C16" s="117">
        <v>28278.553053600001</v>
      </c>
      <c r="D16" s="117">
        <v>-2.2740596000000002</v>
      </c>
      <c r="E16" s="118">
        <v>2.5056800000000001E-2</v>
      </c>
      <c r="F16" s="119">
        <v>0.32296599999999998</v>
      </c>
      <c r="G16" s="120">
        <v>-205233.72844060001</v>
      </c>
      <c r="H16" s="121">
        <v>14418459</v>
      </c>
      <c r="I16" s="122">
        <v>0.2757522</v>
      </c>
      <c r="J16" s="123">
        <v>0.69790010000000002</v>
      </c>
      <c r="K16" s="124"/>
      <c r="L16" s="125">
        <v>-1.23E-3</v>
      </c>
      <c r="M16" s="126">
        <v>12.040620000000001</v>
      </c>
      <c r="N16" s="127">
        <v>2.5999999999999998E-4</v>
      </c>
      <c r="O16" s="128">
        <v>0.99987999999999999</v>
      </c>
      <c r="P16" s="126">
        <v>11.8108</v>
      </c>
      <c r="Q16" s="129">
        <v>3.3E-4</v>
      </c>
      <c r="R16" s="130">
        <v>2.2599999999999999E-3</v>
      </c>
      <c r="S16" s="131">
        <v>-3.0000000000000001E-5</v>
      </c>
      <c r="T16" s="126">
        <v>11.974299999999999</v>
      </c>
      <c r="U16" s="127">
        <v>3.8999999999999999E-4</v>
      </c>
      <c r="V16" s="128">
        <v>-1.5859999999999999E-2</v>
      </c>
      <c r="W16" s="131">
        <v>3.6999999999999999E-4</v>
      </c>
      <c r="X16" s="131">
        <v>0</v>
      </c>
      <c r="Y16" s="126">
        <v>12.153</v>
      </c>
      <c r="Z16" s="129">
        <v>9.7999999999999997E-4</v>
      </c>
      <c r="AA16" s="8" t="s">
        <v>9</v>
      </c>
    </row>
    <row r="17" spans="1:27" x14ac:dyDescent="0.2">
      <c r="A17" s="115"/>
      <c r="B17" s="132"/>
      <c r="C17" s="117"/>
      <c r="D17" s="117"/>
      <c r="E17" s="118"/>
      <c r="F17" s="119"/>
      <c r="G17" s="120"/>
      <c r="H17" s="121"/>
      <c r="I17" s="122"/>
      <c r="J17" s="123"/>
      <c r="K17" s="124"/>
      <c r="L17" s="125"/>
      <c r="M17" s="126"/>
      <c r="N17" s="127"/>
      <c r="O17" s="128"/>
      <c r="P17" s="126"/>
      <c r="Q17" s="129"/>
      <c r="R17" s="130"/>
      <c r="S17" s="131"/>
      <c r="T17" s="126"/>
      <c r="U17" s="127"/>
      <c r="V17" s="128"/>
      <c r="W17" s="131"/>
      <c r="X17" s="131"/>
      <c r="Y17" s="126"/>
      <c r="Z17" s="129"/>
      <c r="AA17" s="8"/>
    </row>
    <row r="18" spans="1:27" x14ac:dyDescent="0.2">
      <c r="A18" s="115"/>
      <c r="B18" s="132"/>
      <c r="C18" s="117"/>
      <c r="D18" s="117"/>
      <c r="E18" s="118"/>
      <c r="F18" s="119"/>
      <c r="G18" s="120"/>
      <c r="H18" s="121"/>
      <c r="I18" s="122"/>
      <c r="J18" s="123"/>
      <c r="K18" s="124"/>
      <c r="L18" s="125"/>
      <c r="M18" s="126"/>
      <c r="N18" s="127"/>
      <c r="O18" s="128"/>
      <c r="P18" s="126"/>
      <c r="Q18" s="129"/>
      <c r="R18" s="130"/>
      <c r="S18" s="131"/>
      <c r="T18" s="126"/>
      <c r="U18" s="127"/>
      <c r="V18" s="128"/>
      <c r="W18" s="131"/>
      <c r="X18" s="131"/>
      <c r="Y18" s="126"/>
      <c r="Z18" s="129"/>
      <c r="AA18" s="8"/>
    </row>
    <row r="19" spans="1:27" x14ac:dyDescent="0.2">
      <c r="A19" s="115"/>
      <c r="B19" s="132"/>
      <c r="C19" s="117"/>
      <c r="D19" s="117"/>
      <c r="E19" s="118"/>
      <c r="F19" s="119"/>
      <c r="G19" s="120"/>
      <c r="H19" s="121"/>
      <c r="I19" s="122"/>
      <c r="J19" s="123"/>
      <c r="K19" s="124"/>
      <c r="L19" s="125"/>
      <c r="M19" s="126"/>
      <c r="N19" s="127"/>
      <c r="O19" s="128"/>
      <c r="P19" s="126"/>
      <c r="Q19" s="129"/>
      <c r="R19" s="130"/>
      <c r="S19" s="131"/>
      <c r="T19" s="126"/>
      <c r="U19" s="127"/>
      <c r="V19" s="128"/>
      <c r="W19" s="131"/>
      <c r="X19" s="131"/>
      <c r="Y19" s="126"/>
      <c r="Z19" s="129"/>
      <c r="AA19" s="9"/>
    </row>
    <row r="20" spans="1:27" x14ac:dyDescent="0.2">
      <c r="A20" s="115"/>
      <c r="B20" s="132"/>
      <c r="C20" s="117"/>
      <c r="D20" s="117"/>
      <c r="E20" s="118"/>
      <c r="F20" s="119"/>
      <c r="G20" s="120"/>
      <c r="H20" s="121"/>
      <c r="I20" s="122"/>
      <c r="J20" s="123"/>
      <c r="K20" s="124"/>
      <c r="L20" s="125"/>
      <c r="M20" s="126"/>
      <c r="N20" s="127"/>
      <c r="O20" s="128"/>
      <c r="P20" s="126"/>
      <c r="Q20" s="129"/>
      <c r="R20" s="130"/>
      <c r="S20" s="131"/>
      <c r="T20" s="126"/>
      <c r="U20" s="127"/>
      <c r="V20" s="128"/>
      <c r="W20" s="131"/>
      <c r="X20" s="131"/>
      <c r="Y20" s="126"/>
      <c r="Z20" s="129"/>
      <c r="AA20" s="9"/>
    </row>
    <row r="21" spans="1:27" x14ac:dyDescent="0.2">
      <c r="A21" s="115"/>
      <c r="B21" s="132"/>
      <c r="C21" s="117"/>
      <c r="D21" s="117"/>
      <c r="E21" s="118"/>
      <c r="F21" s="119"/>
      <c r="G21" s="120"/>
      <c r="H21" s="121"/>
      <c r="I21" s="122"/>
      <c r="J21" s="123"/>
      <c r="K21" s="124"/>
      <c r="L21" s="125"/>
      <c r="M21" s="126"/>
      <c r="N21" s="127"/>
      <c r="O21" s="128"/>
      <c r="P21" s="126"/>
      <c r="Q21" s="129"/>
      <c r="R21" s="130"/>
      <c r="S21" s="131"/>
      <c r="T21" s="126"/>
      <c r="U21" s="127"/>
      <c r="V21" s="128"/>
      <c r="W21" s="131"/>
      <c r="X21" s="131"/>
      <c r="Y21" s="126"/>
      <c r="Z21" s="129"/>
      <c r="AA21" s="9"/>
    </row>
    <row r="22" spans="1:27" x14ac:dyDescent="0.2">
      <c r="A22" s="115"/>
      <c r="B22" s="132"/>
      <c r="C22" s="117"/>
      <c r="D22" s="117"/>
      <c r="E22" s="118"/>
      <c r="F22" s="119"/>
      <c r="G22" s="120"/>
      <c r="H22" s="121"/>
      <c r="I22" s="122"/>
      <c r="J22" s="123"/>
      <c r="K22" s="124"/>
      <c r="L22" s="125"/>
      <c r="M22" s="126"/>
      <c r="N22" s="127"/>
      <c r="O22" s="128"/>
      <c r="P22" s="126"/>
      <c r="Q22" s="129"/>
      <c r="R22" s="130"/>
      <c r="S22" s="131"/>
      <c r="T22" s="126"/>
      <c r="U22" s="127"/>
      <c r="V22" s="128"/>
      <c r="W22" s="131"/>
      <c r="X22" s="131"/>
      <c r="Y22" s="126"/>
      <c r="Z22" s="129"/>
      <c r="AA22" s="9"/>
    </row>
    <row r="23" spans="1:27" x14ac:dyDescent="0.2">
      <c r="A23" s="115"/>
      <c r="B23" s="132"/>
      <c r="C23" s="117"/>
      <c r="D23" s="117"/>
      <c r="E23" s="118"/>
      <c r="F23" s="119"/>
      <c r="G23" s="120"/>
      <c r="H23" s="121"/>
      <c r="I23" s="122"/>
      <c r="J23" s="123"/>
      <c r="K23" s="124"/>
      <c r="L23" s="125"/>
      <c r="M23" s="126"/>
      <c r="N23" s="127"/>
      <c r="O23" s="128"/>
      <c r="P23" s="126"/>
      <c r="Q23" s="129"/>
      <c r="R23" s="130"/>
      <c r="S23" s="131"/>
      <c r="T23" s="126"/>
      <c r="U23" s="127"/>
      <c r="V23" s="128"/>
      <c r="W23" s="131"/>
      <c r="X23" s="131"/>
      <c r="Y23" s="126"/>
      <c r="Z23" s="129"/>
      <c r="AA23" s="9"/>
    </row>
    <row r="24" spans="1:27" x14ac:dyDescent="0.2">
      <c r="A24" s="115"/>
      <c r="B24" s="132"/>
      <c r="C24" s="117"/>
      <c r="D24" s="117"/>
      <c r="E24" s="118"/>
      <c r="F24" s="119"/>
      <c r="G24" s="120"/>
      <c r="H24" s="121"/>
      <c r="I24" s="122"/>
      <c r="J24" s="123"/>
      <c r="K24" s="124"/>
      <c r="L24" s="125"/>
      <c r="M24" s="126"/>
      <c r="N24" s="127"/>
      <c r="O24" s="128"/>
      <c r="P24" s="126"/>
      <c r="Q24" s="129"/>
      <c r="R24" s="130"/>
      <c r="S24" s="131"/>
      <c r="T24" s="126"/>
      <c r="U24" s="127"/>
      <c r="V24" s="128"/>
      <c r="W24" s="131"/>
      <c r="X24" s="131"/>
      <c r="Y24" s="126"/>
      <c r="Z24" s="129"/>
      <c r="AA24" s="9"/>
    </row>
    <row r="25" spans="1:27" x14ac:dyDescent="0.2">
      <c r="A25" s="115"/>
      <c r="B25" s="132"/>
      <c r="C25" s="117"/>
      <c r="D25" s="117"/>
      <c r="E25" s="118"/>
      <c r="F25" s="119"/>
      <c r="G25" s="120"/>
      <c r="H25" s="121"/>
      <c r="I25" s="122"/>
      <c r="J25" s="123"/>
      <c r="K25" s="124"/>
      <c r="L25" s="125"/>
      <c r="M25" s="126"/>
      <c r="N25" s="127"/>
      <c r="O25" s="128"/>
      <c r="P25" s="126"/>
      <c r="Q25" s="129"/>
      <c r="R25" s="130"/>
      <c r="S25" s="131"/>
      <c r="T25" s="126"/>
      <c r="U25" s="127"/>
      <c r="V25" s="128"/>
      <c r="W25" s="131"/>
      <c r="X25" s="131"/>
      <c r="Y25" s="126"/>
      <c r="Z25" s="129"/>
      <c r="AA25" s="9"/>
    </row>
    <row r="26" spans="1:27" x14ac:dyDescent="0.2">
      <c r="A26" s="115"/>
      <c r="B26" s="132"/>
      <c r="C26" s="117"/>
      <c r="D26" s="117"/>
      <c r="E26" s="118"/>
      <c r="F26" s="119"/>
      <c r="G26" s="120"/>
      <c r="H26" s="121"/>
      <c r="I26" s="122"/>
      <c r="J26" s="123"/>
      <c r="K26" s="124"/>
      <c r="L26" s="125"/>
      <c r="M26" s="126"/>
      <c r="N26" s="127"/>
      <c r="O26" s="128"/>
      <c r="P26" s="126"/>
      <c r="Q26" s="129"/>
      <c r="R26" s="130"/>
      <c r="S26" s="131"/>
      <c r="T26" s="126"/>
      <c r="U26" s="127"/>
      <c r="V26" s="128"/>
      <c r="W26" s="131"/>
      <c r="X26" s="131"/>
      <c r="Y26" s="126"/>
      <c r="Z26" s="129"/>
      <c r="AA26" s="9"/>
    </row>
    <row r="27" spans="1:27" x14ac:dyDescent="0.2">
      <c r="A27" s="115"/>
      <c r="B27" s="132"/>
      <c r="C27" s="117"/>
      <c r="D27" s="117"/>
      <c r="E27" s="118"/>
      <c r="F27" s="119"/>
      <c r="G27" s="120"/>
      <c r="H27" s="121"/>
      <c r="I27" s="122"/>
      <c r="J27" s="123"/>
      <c r="K27" s="124"/>
      <c r="L27" s="125"/>
      <c r="M27" s="126"/>
      <c r="N27" s="127"/>
      <c r="O27" s="128"/>
      <c r="P27" s="126"/>
      <c r="Q27" s="129"/>
      <c r="R27" s="130"/>
      <c r="S27" s="131"/>
      <c r="T27" s="126"/>
      <c r="U27" s="127"/>
      <c r="V27" s="128"/>
      <c r="W27" s="131"/>
      <c r="X27" s="131"/>
      <c r="Y27" s="126"/>
      <c r="Z27" s="129"/>
      <c r="AA27" s="9"/>
    </row>
    <row r="28" spans="1:27" x14ac:dyDescent="0.2">
      <c r="A28" s="115"/>
      <c r="B28" s="132"/>
      <c r="C28" s="117"/>
      <c r="D28" s="117"/>
      <c r="E28" s="118"/>
      <c r="F28" s="119"/>
      <c r="G28" s="120"/>
      <c r="H28" s="121"/>
      <c r="I28" s="122"/>
      <c r="J28" s="123"/>
      <c r="K28" s="124"/>
      <c r="L28" s="125"/>
      <c r="M28" s="126"/>
      <c r="N28" s="127"/>
      <c r="O28" s="128"/>
      <c r="P28" s="126"/>
      <c r="Q28" s="129"/>
      <c r="R28" s="130"/>
      <c r="S28" s="131"/>
      <c r="T28" s="126"/>
      <c r="U28" s="127"/>
      <c r="V28" s="128"/>
      <c r="W28" s="131"/>
      <c r="X28" s="131"/>
      <c r="Y28" s="126"/>
      <c r="Z28" s="129"/>
      <c r="AA28" s="9"/>
    </row>
    <row r="29" spans="1:27" x14ac:dyDescent="0.2">
      <c r="A29" s="115"/>
      <c r="B29" s="132"/>
      <c r="C29" s="117"/>
      <c r="D29" s="117"/>
      <c r="E29" s="118"/>
      <c r="F29" s="119"/>
      <c r="G29" s="120"/>
      <c r="H29" s="121"/>
      <c r="I29" s="122"/>
      <c r="J29" s="123"/>
      <c r="K29" s="124"/>
      <c r="L29" s="125"/>
      <c r="M29" s="126"/>
      <c r="N29" s="127"/>
      <c r="O29" s="128"/>
      <c r="P29" s="126"/>
      <c r="Q29" s="129"/>
      <c r="R29" s="130"/>
      <c r="S29" s="131"/>
      <c r="T29" s="126"/>
      <c r="U29" s="127"/>
      <c r="V29" s="128"/>
      <c r="W29" s="131"/>
      <c r="X29" s="131"/>
      <c r="Y29" s="126"/>
      <c r="Z29" s="129"/>
      <c r="AA29" s="9"/>
    </row>
    <row r="30" spans="1:27" x14ac:dyDescent="0.2">
      <c r="A30" s="115"/>
      <c r="B30" s="132"/>
      <c r="C30" s="117"/>
      <c r="D30" s="117"/>
      <c r="E30" s="118"/>
      <c r="F30" s="119"/>
      <c r="G30" s="120"/>
      <c r="H30" s="121"/>
      <c r="I30" s="122"/>
      <c r="J30" s="123"/>
      <c r="K30" s="124"/>
      <c r="L30" s="125"/>
      <c r="M30" s="126"/>
      <c r="N30" s="127"/>
      <c r="O30" s="128"/>
      <c r="P30" s="126"/>
      <c r="Q30" s="129"/>
      <c r="R30" s="130"/>
      <c r="S30" s="131"/>
      <c r="T30" s="126"/>
      <c r="U30" s="127"/>
      <c r="V30" s="128"/>
      <c r="W30" s="131"/>
      <c r="X30" s="131"/>
      <c r="Y30" s="126"/>
      <c r="Z30" s="129"/>
      <c r="AA30" s="9"/>
    </row>
    <row r="31" spans="1:27" x14ac:dyDescent="0.2">
      <c r="A31" s="115"/>
      <c r="B31" s="132"/>
      <c r="C31" s="117"/>
      <c r="D31" s="117"/>
      <c r="E31" s="118"/>
      <c r="F31" s="119"/>
      <c r="G31" s="120"/>
      <c r="H31" s="121"/>
      <c r="I31" s="122"/>
      <c r="J31" s="123"/>
      <c r="K31" s="124"/>
      <c r="L31" s="125"/>
      <c r="M31" s="126"/>
      <c r="N31" s="127"/>
      <c r="O31" s="128"/>
      <c r="P31" s="126"/>
      <c r="Q31" s="129"/>
      <c r="R31" s="130"/>
      <c r="S31" s="131"/>
      <c r="T31" s="126"/>
      <c r="U31" s="127"/>
      <c r="V31" s="128"/>
      <c r="W31" s="131"/>
      <c r="X31" s="131"/>
      <c r="Y31" s="126"/>
      <c r="Z31" s="129"/>
      <c r="AA31" s="9"/>
    </row>
    <row r="32" spans="1:27" x14ac:dyDescent="0.2">
      <c r="A32" s="115"/>
      <c r="B32" s="132"/>
      <c r="C32" s="117"/>
      <c r="D32" s="117"/>
      <c r="E32" s="118"/>
      <c r="F32" s="119"/>
      <c r="G32" s="120"/>
      <c r="H32" s="121"/>
      <c r="I32" s="122"/>
      <c r="J32" s="123"/>
      <c r="K32" s="124"/>
      <c r="L32" s="125"/>
      <c r="M32" s="126"/>
      <c r="N32" s="127"/>
      <c r="O32" s="128"/>
      <c r="P32" s="126"/>
      <c r="Q32" s="129"/>
      <c r="R32" s="130"/>
      <c r="S32" s="131"/>
      <c r="T32" s="126"/>
      <c r="U32" s="127"/>
      <c r="V32" s="128"/>
      <c r="W32" s="131"/>
      <c r="X32" s="131"/>
      <c r="Y32" s="126"/>
      <c r="Z32" s="129"/>
      <c r="AA32" s="9"/>
    </row>
    <row r="33" spans="1:27" x14ac:dyDescent="0.2">
      <c r="A33" s="115"/>
      <c r="B33" s="132"/>
      <c r="C33" s="117"/>
      <c r="D33" s="117"/>
      <c r="E33" s="118"/>
      <c r="F33" s="119"/>
      <c r="G33" s="120"/>
      <c r="H33" s="121"/>
      <c r="I33" s="122"/>
      <c r="J33" s="123"/>
      <c r="K33" s="124"/>
      <c r="L33" s="125"/>
      <c r="M33" s="126"/>
      <c r="N33" s="127"/>
      <c r="O33" s="128"/>
      <c r="P33" s="126"/>
      <c r="Q33" s="129"/>
      <c r="R33" s="130"/>
      <c r="S33" s="131"/>
      <c r="T33" s="126"/>
      <c r="U33" s="127"/>
      <c r="V33" s="128"/>
      <c r="W33" s="131"/>
      <c r="X33" s="131"/>
      <c r="Y33" s="126"/>
      <c r="Z33" s="129"/>
      <c r="AA33" s="9"/>
    </row>
    <row r="34" spans="1:27" x14ac:dyDescent="0.2">
      <c r="A34" s="115"/>
      <c r="B34" s="132"/>
      <c r="C34" s="117"/>
      <c r="D34" s="117"/>
      <c r="E34" s="118"/>
      <c r="F34" s="119"/>
      <c r="G34" s="120"/>
      <c r="H34" s="121"/>
      <c r="I34" s="122"/>
      <c r="J34" s="123"/>
      <c r="K34" s="124"/>
      <c r="L34" s="125"/>
      <c r="M34" s="126"/>
      <c r="N34" s="127"/>
      <c r="O34" s="128"/>
      <c r="P34" s="126"/>
      <c r="Q34" s="129"/>
      <c r="R34" s="130"/>
      <c r="S34" s="131"/>
      <c r="T34" s="126"/>
      <c r="U34" s="127"/>
      <c r="V34" s="128"/>
      <c r="W34" s="131"/>
      <c r="X34" s="131"/>
      <c r="Y34" s="126"/>
      <c r="Z34" s="129"/>
      <c r="AA34" s="9"/>
    </row>
    <row r="35" spans="1:27" x14ac:dyDescent="0.2">
      <c r="A35" s="115"/>
      <c r="B35" s="132"/>
      <c r="C35" s="117"/>
      <c r="D35" s="117"/>
      <c r="E35" s="118"/>
      <c r="F35" s="119"/>
      <c r="G35" s="120"/>
      <c r="H35" s="121"/>
      <c r="I35" s="122"/>
      <c r="J35" s="123"/>
      <c r="K35" s="124"/>
      <c r="L35" s="125"/>
      <c r="M35" s="126"/>
      <c r="N35" s="127"/>
      <c r="O35" s="128"/>
      <c r="P35" s="126"/>
      <c r="Q35" s="129"/>
      <c r="R35" s="130"/>
      <c r="S35" s="131"/>
      <c r="T35" s="126"/>
      <c r="U35" s="127"/>
      <c r="V35" s="128"/>
      <c r="W35" s="131"/>
      <c r="X35" s="131"/>
      <c r="Y35" s="126"/>
      <c r="Z35" s="129"/>
      <c r="AA35" s="9"/>
    </row>
    <row r="36" spans="1:27" x14ac:dyDescent="0.2">
      <c r="A36" s="115"/>
      <c r="B36" s="132"/>
      <c r="C36" s="117"/>
      <c r="D36" s="117"/>
      <c r="E36" s="118"/>
      <c r="F36" s="119"/>
      <c r="G36" s="120"/>
      <c r="H36" s="121"/>
      <c r="I36" s="122"/>
      <c r="J36" s="123"/>
      <c r="K36" s="124"/>
      <c r="L36" s="125"/>
      <c r="M36" s="126"/>
      <c r="N36" s="127"/>
      <c r="O36" s="128"/>
      <c r="P36" s="126"/>
      <c r="Q36" s="129"/>
      <c r="R36" s="130"/>
      <c r="S36" s="131"/>
      <c r="T36" s="126"/>
      <c r="U36" s="127"/>
      <c r="V36" s="128"/>
      <c r="W36" s="131"/>
      <c r="X36" s="131"/>
      <c r="Y36" s="126"/>
      <c r="Z36" s="129"/>
      <c r="AA36" s="9"/>
    </row>
    <row r="37" spans="1:27" x14ac:dyDescent="0.2">
      <c r="A37" s="115"/>
      <c r="B37" s="132"/>
      <c r="C37" s="117"/>
      <c r="D37" s="117"/>
      <c r="E37" s="118"/>
      <c r="F37" s="119"/>
      <c r="G37" s="120"/>
      <c r="H37" s="121"/>
      <c r="I37" s="122"/>
      <c r="J37" s="123"/>
      <c r="K37" s="124"/>
      <c r="L37" s="125"/>
      <c r="M37" s="126"/>
      <c r="N37" s="127"/>
      <c r="O37" s="128"/>
      <c r="P37" s="126"/>
      <c r="Q37" s="129"/>
      <c r="R37" s="130"/>
      <c r="S37" s="131"/>
      <c r="T37" s="126"/>
      <c r="U37" s="127"/>
      <c r="V37" s="128"/>
      <c r="W37" s="131"/>
      <c r="X37" s="131"/>
      <c r="Y37" s="126"/>
      <c r="Z37" s="129"/>
      <c r="AA37" s="9"/>
    </row>
    <row r="38" spans="1:27" x14ac:dyDescent="0.2">
      <c r="A38" s="115"/>
      <c r="B38" s="132"/>
      <c r="C38" s="117"/>
      <c r="D38" s="117"/>
      <c r="E38" s="118"/>
      <c r="F38" s="119"/>
      <c r="G38" s="120"/>
      <c r="H38" s="121"/>
      <c r="I38" s="122"/>
      <c r="J38" s="123"/>
      <c r="K38" s="124"/>
      <c r="L38" s="125"/>
      <c r="M38" s="126"/>
      <c r="N38" s="127"/>
      <c r="O38" s="128"/>
      <c r="P38" s="126"/>
      <c r="Q38" s="129"/>
      <c r="R38" s="130"/>
      <c r="S38" s="131"/>
      <c r="T38" s="126"/>
      <c r="U38" s="127"/>
      <c r="V38" s="128"/>
      <c r="W38" s="131"/>
      <c r="X38" s="131"/>
      <c r="Y38" s="126"/>
      <c r="Z38" s="129"/>
      <c r="AA38" s="9"/>
    </row>
    <row r="39" spans="1:27" x14ac:dyDescent="0.2">
      <c r="A39" s="115"/>
      <c r="B39" s="132"/>
      <c r="C39" s="117"/>
      <c r="D39" s="117"/>
      <c r="E39" s="118"/>
      <c r="F39" s="119"/>
      <c r="G39" s="120"/>
      <c r="H39" s="121"/>
      <c r="I39" s="122"/>
      <c r="J39" s="123"/>
      <c r="K39" s="124"/>
      <c r="L39" s="125"/>
      <c r="M39" s="126"/>
      <c r="N39" s="127"/>
      <c r="O39" s="128"/>
      <c r="P39" s="126"/>
      <c r="Q39" s="129"/>
      <c r="R39" s="130"/>
      <c r="S39" s="131"/>
      <c r="T39" s="126"/>
      <c r="U39" s="127"/>
      <c r="V39" s="128"/>
      <c r="W39" s="131"/>
      <c r="X39" s="131"/>
      <c r="Y39" s="126"/>
      <c r="Z39" s="129"/>
      <c r="AA39" s="9"/>
    </row>
    <row r="40" spans="1:27" x14ac:dyDescent="0.2">
      <c r="A40" s="115"/>
      <c r="B40" s="132"/>
      <c r="C40" s="117"/>
      <c r="D40" s="117"/>
      <c r="E40" s="118"/>
      <c r="F40" s="119"/>
      <c r="G40" s="120"/>
      <c r="H40" s="121"/>
      <c r="I40" s="122"/>
      <c r="J40" s="123"/>
      <c r="K40" s="124"/>
      <c r="L40" s="125"/>
      <c r="M40" s="126"/>
      <c r="N40" s="127"/>
      <c r="O40" s="128"/>
      <c r="P40" s="126"/>
      <c r="Q40" s="129"/>
      <c r="R40" s="130"/>
      <c r="S40" s="131"/>
      <c r="T40" s="126"/>
      <c r="U40" s="127"/>
      <c r="V40" s="128"/>
      <c r="W40" s="131"/>
      <c r="X40" s="131"/>
      <c r="Y40" s="126"/>
      <c r="Z40" s="129"/>
      <c r="AA40" s="9"/>
    </row>
    <row r="41" spans="1:27" x14ac:dyDescent="0.2">
      <c r="A41" s="115"/>
      <c r="B41" s="132"/>
      <c r="C41" s="117"/>
      <c r="D41" s="117"/>
      <c r="E41" s="118"/>
      <c r="F41" s="119"/>
      <c r="G41" s="120"/>
      <c r="H41" s="121"/>
      <c r="I41" s="122"/>
      <c r="J41" s="123"/>
      <c r="K41" s="124"/>
      <c r="L41" s="125"/>
      <c r="M41" s="126"/>
      <c r="N41" s="127"/>
      <c r="O41" s="128"/>
      <c r="P41" s="126"/>
      <c r="Q41" s="129"/>
      <c r="R41" s="130"/>
      <c r="S41" s="131"/>
      <c r="T41" s="126"/>
      <c r="U41" s="127"/>
      <c r="V41" s="128"/>
      <c r="W41" s="131"/>
      <c r="X41" s="131"/>
      <c r="Y41" s="126"/>
      <c r="Z41" s="129"/>
      <c r="AA41" s="9"/>
    </row>
    <row r="42" spans="1:27" x14ac:dyDescent="0.2">
      <c r="A42" s="115"/>
      <c r="B42" s="132"/>
      <c r="C42" s="117"/>
      <c r="D42" s="117"/>
      <c r="E42" s="118"/>
      <c r="F42" s="119"/>
      <c r="G42" s="120"/>
      <c r="H42" s="121"/>
      <c r="I42" s="122"/>
      <c r="J42" s="123"/>
      <c r="K42" s="124"/>
      <c r="L42" s="125"/>
      <c r="M42" s="126"/>
      <c r="N42" s="127"/>
      <c r="O42" s="128"/>
      <c r="P42" s="126"/>
      <c r="Q42" s="129"/>
      <c r="R42" s="130"/>
      <c r="S42" s="131"/>
      <c r="T42" s="126"/>
      <c r="U42" s="127"/>
      <c r="V42" s="128"/>
      <c r="W42" s="131"/>
      <c r="X42" s="131"/>
      <c r="Y42" s="126"/>
      <c r="Z42" s="129"/>
      <c r="AA42" s="9"/>
    </row>
    <row r="43" spans="1:27" x14ac:dyDescent="0.2">
      <c r="A43" s="115"/>
      <c r="B43" s="132"/>
      <c r="C43" s="117"/>
      <c r="D43" s="117"/>
      <c r="E43" s="118"/>
      <c r="F43" s="119"/>
      <c r="G43" s="120"/>
      <c r="H43" s="121"/>
      <c r="I43" s="122"/>
      <c r="J43" s="123"/>
      <c r="K43" s="124"/>
      <c r="L43" s="125"/>
      <c r="M43" s="126"/>
      <c r="N43" s="127"/>
      <c r="O43" s="128"/>
      <c r="P43" s="126"/>
      <c r="Q43" s="129"/>
      <c r="R43" s="130"/>
      <c r="S43" s="131"/>
      <c r="T43" s="126"/>
      <c r="U43" s="127"/>
      <c r="V43" s="128"/>
      <c r="W43" s="131"/>
      <c r="X43" s="131"/>
      <c r="Y43" s="126"/>
      <c r="Z43" s="129"/>
      <c r="AA43" s="9"/>
    </row>
    <row r="44" spans="1:27" x14ac:dyDescent="0.2">
      <c r="A44" s="115"/>
      <c r="B44" s="132"/>
      <c r="C44" s="117"/>
      <c r="D44" s="117"/>
      <c r="E44" s="118"/>
      <c r="F44" s="119"/>
      <c r="G44" s="120"/>
      <c r="H44" s="121"/>
      <c r="I44" s="122"/>
      <c r="J44" s="123"/>
      <c r="K44" s="124"/>
      <c r="L44" s="125"/>
      <c r="M44" s="126"/>
      <c r="N44" s="127"/>
      <c r="O44" s="128"/>
      <c r="P44" s="126"/>
      <c r="Q44" s="129"/>
      <c r="R44" s="130"/>
      <c r="S44" s="131"/>
      <c r="T44" s="126"/>
      <c r="U44" s="127"/>
      <c r="V44" s="128"/>
      <c r="W44" s="131"/>
      <c r="X44" s="131"/>
      <c r="Y44" s="126"/>
      <c r="Z44" s="129"/>
      <c r="AA44" s="9"/>
    </row>
    <row r="45" spans="1:27" x14ac:dyDescent="0.2">
      <c r="A45" s="115"/>
      <c r="B45" s="132"/>
      <c r="C45" s="117"/>
      <c r="D45" s="117"/>
      <c r="E45" s="118"/>
      <c r="F45" s="119"/>
      <c r="G45" s="120"/>
      <c r="H45" s="121"/>
      <c r="I45" s="122"/>
      <c r="J45" s="123"/>
      <c r="K45" s="124"/>
      <c r="L45" s="125"/>
      <c r="M45" s="126"/>
      <c r="N45" s="127"/>
      <c r="O45" s="128"/>
      <c r="P45" s="126"/>
      <c r="Q45" s="129"/>
      <c r="R45" s="130"/>
      <c r="S45" s="131"/>
      <c r="T45" s="126"/>
      <c r="U45" s="127"/>
      <c r="V45" s="128"/>
      <c r="W45" s="131"/>
      <c r="X45" s="131"/>
      <c r="Y45" s="126"/>
      <c r="Z45" s="129"/>
      <c r="AA45" s="9"/>
    </row>
    <row r="46" spans="1:27" x14ac:dyDescent="0.2">
      <c r="A46" s="115"/>
      <c r="B46" s="132"/>
      <c r="C46" s="117"/>
      <c r="D46" s="117"/>
      <c r="E46" s="118"/>
      <c r="F46" s="119"/>
      <c r="G46" s="120"/>
      <c r="H46" s="121"/>
      <c r="I46" s="122"/>
      <c r="J46" s="123"/>
      <c r="K46" s="124"/>
      <c r="L46" s="125"/>
      <c r="M46" s="126"/>
      <c r="N46" s="127"/>
      <c r="O46" s="128"/>
      <c r="P46" s="126"/>
      <c r="Q46" s="129"/>
      <c r="R46" s="130"/>
      <c r="S46" s="131"/>
      <c r="T46" s="126"/>
      <c r="U46" s="127"/>
      <c r="V46" s="128"/>
      <c r="W46" s="131"/>
      <c r="X46" s="131"/>
      <c r="Y46" s="126"/>
      <c r="Z46" s="129"/>
      <c r="AA46" s="9"/>
    </row>
    <row r="47" spans="1:27" x14ac:dyDescent="0.2">
      <c r="A47" s="115"/>
      <c r="B47" s="132"/>
      <c r="C47" s="117"/>
      <c r="D47" s="117"/>
      <c r="E47" s="118"/>
      <c r="F47" s="119"/>
      <c r="G47" s="120"/>
      <c r="H47" s="121"/>
      <c r="I47" s="122"/>
      <c r="J47" s="123"/>
      <c r="K47" s="124"/>
      <c r="L47" s="125"/>
      <c r="M47" s="126"/>
      <c r="N47" s="127"/>
      <c r="O47" s="128"/>
      <c r="P47" s="126"/>
      <c r="Q47" s="129"/>
      <c r="R47" s="130"/>
      <c r="S47" s="131"/>
      <c r="T47" s="126"/>
      <c r="U47" s="127"/>
      <c r="V47" s="128"/>
      <c r="W47" s="131"/>
      <c r="X47" s="131"/>
      <c r="Y47" s="126"/>
      <c r="Z47" s="129"/>
      <c r="AA47" s="9"/>
    </row>
    <row r="48" spans="1:27" x14ac:dyDescent="0.2">
      <c r="A48" s="115"/>
      <c r="B48" s="132"/>
      <c r="C48" s="117"/>
      <c r="D48" s="117"/>
      <c r="E48" s="118"/>
      <c r="F48" s="119"/>
      <c r="G48" s="120"/>
      <c r="H48" s="121"/>
      <c r="I48" s="122"/>
      <c r="J48" s="123"/>
      <c r="K48" s="124"/>
      <c r="L48" s="125"/>
      <c r="M48" s="126"/>
      <c r="N48" s="127"/>
      <c r="O48" s="128"/>
      <c r="P48" s="126"/>
      <c r="Q48" s="129"/>
      <c r="R48" s="130"/>
      <c r="S48" s="131"/>
      <c r="T48" s="126"/>
      <c r="U48" s="127"/>
      <c r="V48" s="128"/>
      <c r="W48" s="131"/>
      <c r="X48" s="131"/>
      <c r="Y48" s="126"/>
      <c r="Z48" s="129"/>
      <c r="AA48" s="9"/>
    </row>
    <row r="49" spans="1:27" x14ac:dyDescent="0.2">
      <c r="A49" s="115"/>
      <c r="B49" s="132"/>
      <c r="C49" s="117"/>
      <c r="D49" s="117"/>
      <c r="E49" s="118"/>
      <c r="F49" s="119"/>
      <c r="G49" s="120"/>
      <c r="H49" s="121"/>
      <c r="I49" s="122"/>
      <c r="J49" s="123"/>
      <c r="K49" s="124"/>
      <c r="L49" s="125"/>
      <c r="M49" s="126"/>
      <c r="N49" s="127"/>
      <c r="O49" s="128"/>
      <c r="P49" s="126"/>
      <c r="Q49" s="129"/>
      <c r="R49" s="130"/>
      <c r="S49" s="131"/>
      <c r="T49" s="126"/>
      <c r="U49" s="127"/>
      <c r="V49" s="128"/>
      <c r="W49" s="131"/>
      <c r="X49" s="131"/>
      <c r="Y49" s="126"/>
      <c r="Z49" s="129"/>
      <c r="AA49" s="9"/>
    </row>
    <row r="50" spans="1:27" x14ac:dyDescent="0.2">
      <c r="A50" s="115"/>
      <c r="B50" s="132"/>
      <c r="C50" s="117"/>
      <c r="D50" s="117"/>
      <c r="E50" s="118"/>
      <c r="F50" s="119"/>
      <c r="G50" s="120"/>
      <c r="H50" s="121"/>
      <c r="I50" s="122"/>
      <c r="J50" s="123"/>
      <c r="K50" s="124"/>
      <c r="L50" s="125"/>
      <c r="M50" s="126"/>
      <c r="N50" s="127"/>
      <c r="O50" s="128"/>
      <c r="P50" s="126"/>
      <c r="Q50" s="129"/>
      <c r="R50" s="130"/>
      <c r="S50" s="131"/>
      <c r="T50" s="126"/>
      <c r="U50" s="127"/>
      <c r="V50" s="128"/>
      <c r="W50" s="131"/>
      <c r="X50" s="131"/>
      <c r="Y50" s="126"/>
      <c r="Z50" s="129"/>
      <c r="AA50" s="9"/>
    </row>
    <row r="51" spans="1:27" x14ac:dyDescent="0.2">
      <c r="A51" s="115"/>
      <c r="B51" s="132"/>
      <c r="C51" s="117"/>
      <c r="D51" s="117"/>
      <c r="E51" s="118"/>
      <c r="F51" s="119"/>
      <c r="G51" s="120"/>
      <c r="H51" s="121"/>
      <c r="I51" s="122"/>
      <c r="J51" s="123"/>
      <c r="K51" s="124"/>
      <c r="L51" s="125"/>
      <c r="M51" s="126"/>
      <c r="N51" s="127"/>
      <c r="O51" s="128"/>
      <c r="P51" s="126"/>
      <c r="Q51" s="129"/>
      <c r="R51" s="130"/>
      <c r="S51" s="131"/>
      <c r="T51" s="126"/>
      <c r="U51" s="127"/>
      <c r="V51" s="128"/>
      <c r="W51" s="131"/>
      <c r="X51" s="131"/>
      <c r="Y51" s="126"/>
      <c r="Z51" s="129"/>
      <c r="AA51" s="9"/>
    </row>
    <row r="52" spans="1:27" x14ac:dyDescent="0.2">
      <c r="A52" s="115"/>
      <c r="B52" s="132"/>
      <c r="C52" s="117"/>
      <c r="D52" s="117"/>
      <c r="E52" s="118"/>
      <c r="F52" s="119"/>
      <c r="G52" s="120"/>
      <c r="H52" s="121"/>
      <c r="I52" s="122"/>
      <c r="J52" s="123"/>
      <c r="K52" s="124"/>
      <c r="L52" s="125"/>
      <c r="M52" s="126"/>
      <c r="N52" s="127"/>
      <c r="O52" s="128"/>
      <c r="P52" s="126"/>
      <c r="Q52" s="129"/>
      <c r="R52" s="130"/>
      <c r="S52" s="131"/>
      <c r="T52" s="126"/>
      <c r="U52" s="127"/>
      <c r="V52" s="128"/>
      <c r="W52" s="131"/>
      <c r="X52" s="131"/>
      <c r="Y52" s="126"/>
      <c r="Z52" s="129"/>
      <c r="AA52" s="9"/>
    </row>
    <row r="53" spans="1:27" x14ac:dyDescent="0.2">
      <c r="A53" s="115"/>
      <c r="B53" s="132"/>
      <c r="C53" s="117"/>
      <c r="D53" s="117"/>
      <c r="E53" s="118"/>
      <c r="F53" s="119"/>
      <c r="G53" s="120"/>
      <c r="H53" s="121"/>
      <c r="I53" s="122"/>
      <c r="J53" s="123"/>
      <c r="K53" s="124"/>
      <c r="L53" s="125"/>
      <c r="M53" s="126"/>
      <c r="N53" s="127"/>
      <c r="O53" s="128"/>
      <c r="P53" s="126"/>
      <c r="Q53" s="129"/>
      <c r="R53" s="130"/>
      <c r="S53" s="131"/>
      <c r="T53" s="126"/>
      <c r="U53" s="127"/>
      <c r="V53" s="128"/>
      <c r="W53" s="131"/>
      <c r="X53" s="131"/>
      <c r="Y53" s="126"/>
      <c r="Z53" s="129"/>
      <c r="AA53" s="9"/>
    </row>
    <row r="54" spans="1:27" x14ac:dyDescent="0.2">
      <c r="A54" s="115"/>
      <c r="B54" s="132"/>
      <c r="C54" s="117"/>
      <c r="D54" s="117"/>
      <c r="E54" s="118"/>
      <c r="F54" s="119"/>
      <c r="G54" s="120"/>
      <c r="H54" s="121"/>
      <c r="I54" s="122"/>
      <c r="J54" s="123"/>
      <c r="K54" s="124"/>
      <c r="L54" s="125"/>
      <c r="M54" s="126"/>
      <c r="N54" s="127"/>
      <c r="O54" s="128"/>
      <c r="P54" s="126"/>
      <c r="Q54" s="129"/>
      <c r="R54" s="130"/>
      <c r="S54" s="131"/>
      <c r="T54" s="126"/>
      <c r="U54" s="127"/>
      <c r="V54" s="128"/>
      <c r="W54" s="131"/>
      <c r="X54" s="131"/>
      <c r="Y54" s="126"/>
      <c r="Z54" s="129"/>
      <c r="AA54" s="9"/>
    </row>
    <row r="55" spans="1:27" x14ac:dyDescent="0.2">
      <c r="A55" s="115"/>
      <c r="B55" s="132"/>
      <c r="C55" s="117"/>
      <c r="D55" s="117"/>
      <c r="E55" s="118"/>
      <c r="F55" s="119"/>
      <c r="G55" s="120"/>
      <c r="H55" s="121"/>
      <c r="I55" s="122"/>
      <c r="J55" s="123"/>
      <c r="K55" s="124"/>
      <c r="L55" s="125"/>
      <c r="M55" s="126"/>
      <c r="N55" s="127"/>
      <c r="O55" s="128"/>
      <c r="P55" s="126"/>
      <c r="Q55" s="129"/>
      <c r="R55" s="130"/>
      <c r="S55" s="131"/>
      <c r="T55" s="126"/>
      <c r="U55" s="127"/>
      <c r="V55" s="128"/>
      <c r="W55" s="131"/>
      <c r="X55" s="131"/>
      <c r="Y55" s="126"/>
      <c r="Z55" s="129"/>
      <c r="AA55" s="9"/>
    </row>
    <row r="56" spans="1:27" x14ac:dyDescent="0.2">
      <c r="A56" s="115"/>
      <c r="B56" s="132"/>
      <c r="C56" s="117"/>
      <c r="D56" s="117"/>
      <c r="E56" s="118"/>
      <c r="F56" s="119"/>
      <c r="G56" s="120"/>
      <c r="H56" s="121"/>
      <c r="I56" s="122"/>
      <c r="J56" s="123"/>
      <c r="K56" s="124"/>
      <c r="L56" s="125"/>
      <c r="M56" s="126"/>
      <c r="N56" s="127"/>
      <c r="O56" s="128"/>
      <c r="P56" s="126"/>
      <c r="Q56" s="129"/>
      <c r="R56" s="130"/>
      <c r="S56" s="131"/>
      <c r="T56" s="126"/>
      <c r="U56" s="127"/>
      <c r="V56" s="128"/>
      <c r="W56" s="131"/>
      <c r="X56" s="131"/>
      <c r="Y56" s="126"/>
      <c r="Z56" s="129"/>
      <c r="AA56" s="9"/>
    </row>
    <row r="57" spans="1:27" x14ac:dyDescent="0.2">
      <c r="A57" s="115"/>
      <c r="B57" s="132"/>
      <c r="C57" s="117"/>
      <c r="D57" s="117"/>
      <c r="E57" s="118"/>
      <c r="F57" s="119"/>
      <c r="G57" s="120"/>
      <c r="H57" s="121"/>
      <c r="I57" s="122"/>
      <c r="J57" s="123"/>
      <c r="K57" s="124"/>
      <c r="L57" s="125"/>
      <c r="M57" s="126"/>
      <c r="N57" s="127"/>
      <c r="O57" s="128"/>
      <c r="P57" s="126"/>
      <c r="Q57" s="129"/>
      <c r="R57" s="130"/>
      <c r="S57" s="131"/>
      <c r="T57" s="126"/>
      <c r="U57" s="127"/>
      <c r="V57" s="128"/>
      <c r="W57" s="131"/>
      <c r="X57" s="131"/>
      <c r="Y57" s="126"/>
      <c r="Z57" s="129"/>
      <c r="AA57" s="9"/>
    </row>
    <row r="58" spans="1:27" x14ac:dyDescent="0.2">
      <c r="A58" s="115"/>
      <c r="B58" s="132"/>
      <c r="C58" s="117"/>
      <c r="D58" s="117"/>
      <c r="E58" s="118"/>
      <c r="F58" s="119"/>
      <c r="G58" s="120"/>
      <c r="H58" s="121"/>
      <c r="I58" s="122"/>
      <c r="J58" s="123"/>
      <c r="K58" s="124"/>
      <c r="L58" s="125"/>
      <c r="M58" s="126"/>
      <c r="N58" s="127"/>
      <c r="O58" s="128"/>
      <c r="P58" s="126"/>
      <c r="Q58" s="129"/>
      <c r="R58" s="130"/>
      <c r="S58" s="131"/>
      <c r="T58" s="126"/>
      <c r="U58" s="127"/>
      <c r="V58" s="128"/>
      <c r="W58" s="131"/>
      <c r="X58" s="131"/>
      <c r="Y58" s="126"/>
      <c r="Z58" s="129"/>
      <c r="AA58" s="9"/>
    </row>
    <row r="59" spans="1:27" x14ac:dyDescent="0.2">
      <c r="A59" s="115"/>
      <c r="B59" s="132"/>
      <c r="C59" s="117"/>
      <c r="D59" s="117"/>
      <c r="E59" s="118"/>
      <c r="F59" s="119"/>
      <c r="G59" s="120"/>
      <c r="H59" s="121"/>
      <c r="I59" s="122"/>
      <c r="J59" s="123"/>
      <c r="K59" s="124"/>
      <c r="L59" s="125"/>
      <c r="M59" s="126"/>
      <c r="N59" s="127"/>
      <c r="O59" s="128"/>
      <c r="P59" s="126"/>
      <c r="Q59" s="129"/>
      <c r="R59" s="130"/>
      <c r="S59" s="131"/>
      <c r="T59" s="126"/>
      <c r="U59" s="127"/>
      <c r="V59" s="128"/>
      <c r="W59" s="131"/>
      <c r="X59" s="131"/>
      <c r="Y59" s="126"/>
      <c r="Z59" s="129"/>
      <c r="AA59" s="9"/>
    </row>
    <row r="60" spans="1:27" x14ac:dyDescent="0.2">
      <c r="A60" s="115"/>
      <c r="B60" s="132"/>
      <c r="C60" s="117"/>
      <c r="D60" s="117"/>
      <c r="E60" s="118"/>
      <c r="F60" s="119"/>
      <c r="G60" s="120"/>
      <c r="H60" s="121"/>
      <c r="I60" s="122"/>
      <c r="J60" s="123"/>
      <c r="K60" s="124"/>
      <c r="L60" s="125"/>
      <c r="M60" s="126"/>
      <c r="N60" s="127"/>
      <c r="O60" s="128"/>
      <c r="P60" s="126"/>
      <c r="Q60" s="129"/>
      <c r="R60" s="130"/>
      <c r="S60" s="131"/>
      <c r="T60" s="126"/>
      <c r="U60" s="127"/>
      <c r="V60" s="128"/>
      <c r="W60" s="131"/>
      <c r="X60" s="131"/>
      <c r="Y60" s="126"/>
      <c r="Z60" s="129"/>
      <c r="AA60" s="9"/>
    </row>
    <row r="61" spans="1:27" x14ac:dyDescent="0.2">
      <c r="A61" s="115"/>
      <c r="B61" s="132"/>
      <c r="C61" s="117"/>
      <c r="D61" s="117"/>
      <c r="E61" s="118"/>
      <c r="F61" s="119"/>
      <c r="G61" s="120"/>
      <c r="H61" s="121"/>
      <c r="I61" s="122"/>
      <c r="J61" s="123"/>
      <c r="K61" s="124"/>
      <c r="L61" s="125"/>
      <c r="M61" s="126"/>
      <c r="N61" s="127"/>
      <c r="O61" s="128"/>
      <c r="P61" s="126"/>
      <c r="Q61" s="129"/>
      <c r="R61" s="130"/>
      <c r="S61" s="131"/>
      <c r="T61" s="126"/>
      <c r="U61" s="127"/>
      <c r="V61" s="128"/>
      <c r="W61" s="131"/>
      <c r="X61" s="131"/>
      <c r="Y61" s="126"/>
      <c r="Z61" s="129"/>
      <c r="AA61" s="9"/>
    </row>
  </sheetData>
  <sheetProtection selectLockedCells="1" selectUnlockedCells="1"/>
  <mergeCells count="15">
    <mergeCell ref="L3:L7"/>
    <mergeCell ref="K10:K11"/>
    <mergeCell ref="A3:B3"/>
    <mergeCell ref="J10:J11"/>
    <mergeCell ref="F9:H9"/>
    <mergeCell ref="A9:E9"/>
    <mergeCell ref="J9:K9"/>
    <mergeCell ref="C3:F5"/>
    <mergeCell ref="G3:J3"/>
    <mergeCell ref="N9:X9"/>
    <mergeCell ref="AA10:AA11"/>
    <mergeCell ref="L10:N10"/>
    <mergeCell ref="O10:Q10"/>
    <mergeCell ref="R10:U10"/>
    <mergeCell ref="V10:Z10"/>
  </mergeCells>
  <phoneticPr fontId="0" type="noConversion"/>
  <conditionalFormatting sqref="K13:K61">
    <cfRule type="cellIs" dxfId="346" priority="2" stopIfTrue="1" operator="greaterThanOrEqual">
      <formula>0.9</formula>
    </cfRule>
  </conditionalFormatting>
  <conditionalFormatting sqref="J12:J61">
    <cfRule type="cellIs" dxfId="345" priority="3" stopIfTrue="1" operator="greaterThan">
      <formula>0.9</formula>
    </cfRule>
  </conditionalFormatting>
  <conditionalFormatting sqref="I12:I61">
    <cfRule type="cellIs" dxfId="344" priority="6" stopIfTrue="1" operator="between">
      <formula>0</formula>
      <formula>$AG$5</formula>
    </cfRule>
    <cfRule type="cellIs" dxfId="343" priority="7" stopIfTrue="1" operator="between">
      <formula>4-$AG$6</formula>
      <formula>4</formula>
    </cfRule>
  </conditionalFormatting>
  <conditionalFormatting sqref="N12:N61 U12:U61 Z12:Z61 Q12:Q61">
    <cfRule type="cellIs" dxfId="342" priority="8" stopIfTrue="1" operator="equal">
      <formula>MAX($N12,$Q12,$U12,$Z12)</formula>
    </cfRule>
  </conditionalFormatting>
  <dataValidations count="1">
    <dataValidation type="list" showInputMessage="1" showErrorMessage="1" sqref="AA12:AA44" xr:uid="{00000000-0002-0000-0300-000000000000}">
      <formula1>$AE$3:$AE$7</formula1>
    </dataValidation>
  </dataValidations>
  <printOptions horizontalCentered="1"/>
  <pageMargins left="0.74803149606299202" right="0.74803149606299202" top="0.98425196850393704" bottom="0.98425196850393704" header="0.511811023622047" footer="0.511811023622047"/>
  <pageSetup paperSize="9" scale="46" orientation="landscape" verticalDpi="300" r:id="rId1"/>
  <headerFooter alignWithMargins="0">
    <oddHeade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sheetPr>
  <dimension ref="B1:BA253"/>
  <sheetViews>
    <sheetView showGridLines="0" zoomScaleNormal="100" workbookViewId="0">
      <pane xSplit="3" ySplit="3" topLeftCell="D109" activePane="bottomRight" state="frozen"/>
      <selection activeCell="A5" sqref="A5:H5"/>
      <selection pane="topRight" activeCell="A5" sqref="A5:H5"/>
      <selection pane="bottomLeft" activeCell="A5" sqref="A5:H5"/>
      <selection pane="bottomRight" activeCell="E110" sqref="E110"/>
    </sheetView>
  </sheetViews>
  <sheetFormatPr defaultColWidth="9.33203125" defaultRowHeight="12.75" x14ac:dyDescent="0.2"/>
  <cols>
    <col min="1" max="1" width="2.83203125" style="2" customWidth="1"/>
    <col min="2" max="2" width="15" style="2" customWidth="1"/>
    <col min="3" max="53" width="14.83203125" style="2" customWidth="1"/>
    <col min="54" max="16384" width="9.33203125" style="2"/>
  </cols>
  <sheetData>
    <row r="1" spans="2:53" ht="22.5" customHeight="1" thickBot="1" x14ac:dyDescent="0.25">
      <c r="B1" s="794" t="s">
        <v>15</v>
      </c>
      <c r="C1" s="794"/>
      <c r="D1" s="795"/>
      <c r="E1" s="10"/>
      <c r="F1" s="10"/>
      <c r="G1" s="10"/>
      <c r="H1" s="10"/>
      <c r="I1" s="10"/>
      <c r="J1" s="10"/>
      <c r="K1" s="10"/>
      <c r="L1" s="10"/>
      <c r="M1" s="10"/>
      <c r="N1" s="10"/>
      <c r="O1" s="10"/>
      <c r="P1" s="11"/>
      <c r="Q1" s="10"/>
    </row>
    <row r="2" spans="2:53" ht="16.5" customHeight="1" thickBot="1" x14ac:dyDescent="0.25">
      <c r="B2" s="26" t="s">
        <v>39</v>
      </c>
      <c r="C2" s="25">
        <v>2971216.1516123</v>
      </c>
      <c r="D2" s="25">
        <v>3343.4894399</v>
      </c>
      <c r="E2" s="25">
        <v>20476.914982900002</v>
      </c>
      <c r="F2" s="25">
        <v>210828.6653242</v>
      </c>
      <c r="G2" s="25">
        <v>2735.9148300000002</v>
      </c>
      <c r="H2" s="25">
        <v>-64307.113844300002</v>
      </c>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row>
    <row r="3" spans="2:53" ht="25.5" customHeight="1" thickBot="1" x14ac:dyDescent="0.25">
      <c r="B3" s="27" t="str">
        <f>"Actual " &amp; Input!A4</f>
        <v>Actual WS</v>
      </c>
      <c r="C3" s="23" t="str">
        <f>"Predicted " &amp;Input!A4</f>
        <v>Predicted WS</v>
      </c>
      <c r="D3" s="24" t="s">
        <v>50</v>
      </c>
      <c r="E3" s="24" t="s">
        <v>51</v>
      </c>
      <c r="F3" s="24" t="s">
        <v>199</v>
      </c>
      <c r="G3" s="24" t="s">
        <v>200</v>
      </c>
      <c r="H3" s="24" t="s">
        <v>191</v>
      </c>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row>
    <row r="4" spans="2:53" x14ac:dyDescent="0.2">
      <c r="B4" s="515">
        <v>13858702</v>
      </c>
      <c r="C4" s="376">
        <f>SUMPRODUCT(D2:H2,D4:H4)+C2</f>
        <v>12980807.583647169</v>
      </c>
      <c r="D4" s="540">
        <v>676.79998779296875</v>
      </c>
      <c r="E4" s="134">
        <v>0</v>
      </c>
      <c r="F4" s="134">
        <v>31</v>
      </c>
      <c r="G4" s="134">
        <v>656.29998779296875</v>
      </c>
      <c r="H4" s="29">
        <v>9.0900001525878906</v>
      </c>
      <c r="I4" s="29"/>
      <c r="J4" s="29"/>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row>
    <row r="5" spans="2:53" x14ac:dyDescent="0.2">
      <c r="B5" s="135">
        <v>12869483</v>
      </c>
      <c r="C5" s="136">
        <f>SUMPRODUCT(D2:H2,D5:H5)+C2</f>
        <v>12388866.11769538</v>
      </c>
      <c r="D5" s="29">
        <v>651.20001220703125</v>
      </c>
      <c r="E5" s="29">
        <v>0</v>
      </c>
      <c r="F5" s="29">
        <v>29</v>
      </c>
      <c r="G5" s="29">
        <v>651.20001220703125</v>
      </c>
      <c r="H5" s="29">
        <v>10.189999580383301</v>
      </c>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row>
    <row r="6" spans="2:53" x14ac:dyDescent="0.2">
      <c r="B6" s="135">
        <v>13152556</v>
      </c>
      <c r="C6" s="136">
        <f>SUMPRODUCT(D2:H2,D6:H6)+C2</f>
        <v>12817975.966594709</v>
      </c>
      <c r="D6" s="29">
        <v>686.0999755859375</v>
      </c>
      <c r="E6" s="29">
        <v>0</v>
      </c>
      <c r="F6" s="29">
        <v>31</v>
      </c>
      <c r="G6" s="29">
        <v>642.29998779296875</v>
      </c>
      <c r="H6" s="29">
        <v>11.510000228881836</v>
      </c>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row>
    <row r="7" spans="2:53" x14ac:dyDescent="0.2">
      <c r="B7" s="135">
        <v>11561734</v>
      </c>
      <c r="C7" s="136">
        <f>SUMPRODUCT(D2:H2,D7:H7)+C2</f>
        <v>11195381.202308621</v>
      </c>
      <c r="D7" s="29">
        <v>297.89999389648438</v>
      </c>
      <c r="E7" s="29">
        <v>0</v>
      </c>
      <c r="F7" s="29">
        <v>30</v>
      </c>
      <c r="G7" s="29">
        <v>642.29998779296875</v>
      </c>
      <c r="H7" s="29">
        <v>13.279999732971191</v>
      </c>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row>
    <row r="8" spans="2:53" x14ac:dyDescent="0.2">
      <c r="B8" s="135">
        <v>11069726</v>
      </c>
      <c r="C8" s="136">
        <f>SUMPRODUCT(D2:H2,D8:H8)+C2</f>
        <v>11158126.875971461</v>
      </c>
      <c r="D8" s="29">
        <v>243.10000610351563</v>
      </c>
      <c r="E8" s="29">
        <v>0.69999998807907104</v>
      </c>
      <c r="F8" s="29">
        <v>31</v>
      </c>
      <c r="G8" s="29">
        <v>642.5</v>
      </c>
      <c r="H8" s="29">
        <v>14.520000457763672</v>
      </c>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row>
    <row r="9" spans="2:53" x14ac:dyDescent="0.2">
      <c r="B9" s="135">
        <v>11839202</v>
      </c>
      <c r="C9" s="136">
        <f>SUMPRODUCT(D2:H2,D9:H9)+C2</f>
        <v>11303404.075752355</v>
      </c>
      <c r="D9" s="29">
        <v>40.599998474121094</v>
      </c>
      <c r="E9" s="29">
        <v>53</v>
      </c>
      <c r="F9" s="29">
        <v>30</v>
      </c>
      <c r="G9" s="29">
        <v>648.20001220703125</v>
      </c>
      <c r="H9" s="29">
        <v>15.350000381469727</v>
      </c>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row>
    <row r="10" spans="2:53" ht="13.5" customHeight="1" x14ac:dyDescent="0.2">
      <c r="B10" s="135">
        <v>12438276</v>
      </c>
      <c r="C10" s="136">
        <f>SUMPRODUCT(D2:H2,D10:H10)+C2</f>
        <v>11898133.105476359</v>
      </c>
      <c r="D10" s="29">
        <v>7.5999999046325684</v>
      </c>
      <c r="E10" s="29">
        <v>75.800003051757813</v>
      </c>
      <c r="F10" s="29">
        <v>31</v>
      </c>
      <c r="G10" s="29">
        <v>653.5</v>
      </c>
      <c r="H10" s="29">
        <v>15.149999618530273</v>
      </c>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row>
    <row r="11" spans="2:53" x14ac:dyDescent="0.2">
      <c r="B11" s="135">
        <v>11492121</v>
      </c>
      <c r="C11" s="136">
        <f>SUMPRODUCT(D2:H2,D11:H11)+C2</f>
        <v>11125086.643713031</v>
      </c>
      <c r="D11" s="29">
        <v>36.200000762939453</v>
      </c>
      <c r="E11" s="29">
        <v>29.5</v>
      </c>
      <c r="F11" s="29">
        <v>31</v>
      </c>
      <c r="G11" s="29">
        <v>656.20001220703125</v>
      </c>
      <c r="H11" s="29">
        <v>14.029999732971191</v>
      </c>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row>
    <row r="12" spans="2:53" x14ac:dyDescent="0.2">
      <c r="B12" s="135">
        <v>11764633</v>
      </c>
      <c r="C12" s="136">
        <f>SUMPRODUCT(D2:H2,D12:H12)+C2</f>
        <v>10865498.526641537</v>
      </c>
      <c r="D12" s="29">
        <v>93.199996948242188</v>
      </c>
      <c r="E12" s="29">
        <v>12</v>
      </c>
      <c r="F12" s="29">
        <v>30</v>
      </c>
      <c r="G12" s="29">
        <v>658.79998779296875</v>
      </c>
      <c r="H12" s="29">
        <v>12.289999961853027</v>
      </c>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row>
    <row r="13" spans="2:53" x14ac:dyDescent="0.2">
      <c r="B13" s="135">
        <v>11947093</v>
      </c>
      <c r="C13" s="136">
        <f>SUMPRODUCT(D2:H2,D13:H13)+C2</f>
        <v>11729819.206874687</v>
      </c>
      <c r="D13" s="29">
        <v>325.70001220703125</v>
      </c>
      <c r="E13" s="29">
        <v>0</v>
      </c>
      <c r="F13" s="29">
        <v>31</v>
      </c>
      <c r="G13" s="29">
        <v>661.5</v>
      </c>
      <c r="H13" s="29">
        <v>10.510000228881836</v>
      </c>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row>
    <row r="14" spans="2:53" x14ac:dyDescent="0.2">
      <c r="B14" s="135">
        <v>12427893</v>
      </c>
      <c r="C14" s="136">
        <f>SUMPRODUCT(D2:H2,D14:H14)+C2</f>
        <v>12188610.446865557</v>
      </c>
      <c r="D14" s="29">
        <v>499.70001220703125</v>
      </c>
      <c r="E14" s="29">
        <v>0</v>
      </c>
      <c r="F14" s="29">
        <v>30</v>
      </c>
      <c r="G14" s="29">
        <v>664.70001220703125</v>
      </c>
      <c r="H14" s="29">
        <v>9.2799997329711914</v>
      </c>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row>
    <row r="15" spans="2:53" x14ac:dyDescent="0.2">
      <c r="B15" s="135">
        <v>13223170</v>
      </c>
      <c r="C15" s="136">
        <f>SUMPRODUCT(D2:H2,D15:H15)+C2</f>
        <v>13094054.318668233</v>
      </c>
      <c r="D15" s="29">
        <v>694</v>
      </c>
      <c r="E15" s="29">
        <v>0</v>
      </c>
      <c r="F15" s="29">
        <v>31</v>
      </c>
      <c r="G15" s="29">
        <v>662.0999755859375</v>
      </c>
      <c r="H15" s="29">
        <v>8.4700002670288086</v>
      </c>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row>
    <row r="16" spans="2:53" ht="12" customHeight="1" x14ac:dyDescent="0.2">
      <c r="B16" s="135">
        <v>13805270</v>
      </c>
      <c r="C16" s="136">
        <f>SUMPRODUCT(D2:H2,D16:H16)+C2</f>
        <v>13686251.930750862</v>
      </c>
      <c r="D16" s="541">
        <v>891.79998779296875</v>
      </c>
      <c r="E16" s="29">
        <v>0</v>
      </c>
      <c r="F16" s="29">
        <v>31</v>
      </c>
      <c r="G16" s="29">
        <v>651.4000244140625</v>
      </c>
      <c r="H16" s="29">
        <v>9.0900001525878906</v>
      </c>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row>
    <row r="17" spans="2:53" x14ac:dyDescent="0.2">
      <c r="B17" s="135">
        <v>12102540</v>
      </c>
      <c r="C17" s="136">
        <f>SUMPRODUCT(D2:H2,D17:H17)+C2</f>
        <v>12140403.985228498</v>
      </c>
      <c r="D17" s="29">
        <v>649.5999755859375</v>
      </c>
      <c r="E17" s="29">
        <v>0</v>
      </c>
      <c r="F17" s="29">
        <v>28</v>
      </c>
      <c r="G17" s="29">
        <v>639.4000244140625</v>
      </c>
      <c r="H17" s="29">
        <v>10.189999580383301</v>
      </c>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row>
    <row r="18" spans="2:53" x14ac:dyDescent="0.2">
      <c r="B18" s="135">
        <v>12624249</v>
      </c>
      <c r="C18" s="136">
        <f>SUMPRODUCT(D2:H2,D18:H18)+C2</f>
        <v>12364837.039368663</v>
      </c>
      <c r="D18" s="29">
        <v>562.5999755859375</v>
      </c>
      <c r="E18" s="29">
        <v>0</v>
      </c>
      <c r="F18" s="29">
        <v>31</v>
      </c>
      <c r="G18" s="29">
        <v>627.5999755859375</v>
      </c>
      <c r="H18" s="29">
        <v>11.510000228881836</v>
      </c>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row>
    <row r="19" spans="2:53" x14ac:dyDescent="0.2">
      <c r="B19" s="135">
        <v>11247397</v>
      </c>
      <c r="C19" s="136">
        <f>SUMPRODUCT(D2:H2,D19:H19)+C2</f>
        <v>11356342.75853719</v>
      </c>
      <c r="D19" s="29">
        <v>341.5</v>
      </c>
      <c r="E19" s="29">
        <v>3.2000000476837158</v>
      </c>
      <c r="F19" s="29">
        <v>30</v>
      </c>
      <c r="G19" s="29">
        <v>623.9000244140625</v>
      </c>
      <c r="H19" s="29">
        <v>13.279999732971191</v>
      </c>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row>
    <row r="20" spans="2:53" x14ac:dyDescent="0.2">
      <c r="B20" s="135">
        <v>10393439</v>
      </c>
      <c r="C20" s="136">
        <f>SUMPRODUCT(D2:H2,D20:H20)+C2</f>
        <v>10968541.329944696</v>
      </c>
      <c r="D20" s="29">
        <v>192.80000305175781</v>
      </c>
      <c r="E20" s="29">
        <v>2.2999999523162842</v>
      </c>
      <c r="F20" s="29">
        <v>31</v>
      </c>
      <c r="G20" s="29">
        <v>622.70001220703125</v>
      </c>
      <c r="H20" s="29">
        <v>14.520000457763672</v>
      </c>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row>
    <row r="21" spans="2:53" x14ac:dyDescent="0.2">
      <c r="B21" s="135">
        <v>10939061</v>
      </c>
      <c r="C21" s="136">
        <f>SUMPRODUCT(D2:H2,D21:H21)+C2</f>
        <v>10827930.915116819</v>
      </c>
      <c r="D21" s="29">
        <v>75.699996948242188</v>
      </c>
      <c r="E21" s="29">
        <v>26.200000762939453</v>
      </c>
      <c r="F21" s="29">
        <v>30</v>
      </c>
      <c r="G21" s="29">
        <v>632.0999755859375</v>
      </c>
      <c r="H21" s="29">
        <v>15.350000381469727</v>
      </c>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row>
    <row r="22" spans="2:53" x14ac:dyDescent="0.2">
      <c r="B22" s="135">
        <v>10702529</v>
      </c>
      <c r="C22" s="136">
        <f>SUMPRODUCT(D2:H2,D22:H22)+C2</f>
        <v>10700522.628394898</v>
      </c>
      <c r="D22" s="29">
        <v>37.599998474121094</v>
      </c>
      <c r="E22" s="29">
        <v>14.5</v>
      </c>
      <c r="F22" s="29">
        <v>31</v>
      </c>
      <c r="G22" s="29">
        <v>637.9000244140625</v>
      </c>
      <c r="H22" s="29">
        <v>15.149999618530273</v>
      </c>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row>
    <row r="23" spans="2:53" x14ac:dyDescent="0.2">
      <c r="B23" s="135">
        <v>11096330</v>
      </c>
      <c r="C23" s="136">
        <f>SUMPRODUCT(D2:H2,D23:H23)+C2</f>
        <v>11598047.945543407</v>
      </c>
      <c r="D23" s="29">
        <v>18.200000762939453</v>
      </c>
      <c r="E23" s="29">
        <v>57.299999237060547</v>
      </c>
      <c r="F23" s="29">
        <v>31</v>
      </c>
      <c r="G23" s="29">
        <v>643</v>
      </c>
      <c r="H23" s="29">
        <v>14.029999732971191</v>
      </c>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row>
    <row r="24" spans="2:53" x14ac:dyDescent="0.2">
      <c r="B24" s="135">
        <v>10929407</v>
      </c>
      <c r="C24" s="136">
        <f>SUMPRODUCT(D2:H2,D24:H24)+C2</f>
        <v>10675280.566259166</v>
      </c>
      <c r="D24" s="29">
        <v>88.800003051757813</v>
      </c>
      <c r="E24" s="29">
        <v>5.5</v>
      </c>
      <c r="F24" s="29">
        <v>30</v>
      </c>
      <c r="G24" s="29">
        <v>643.29998779296875</v>
      </c>
      <c r="H24" s="29">
        <v>12.289999961853027</v>
      </c>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row>
    <row r="25" spans="2:53" x14ac:dyDescent="0.2">
      <c r="B25" s="135">
        <v>11305136</v>
      </c>
      <c r="C25" s="136">
        <f>SUMPRODUCT(D2:H2,D25:H25)+C2</f>
        <v>11695770.931180103</v>
      </c>
      <c r="D25" s="29">
        <v>329.10000610351563</v>
      </c>
      <c r="E25" s="29">
        <v>0</v>
      </c>
      <c r="F25" s="29">
        <v>31</v>
      </c>
      <c r="G25" s="29">
        <v>644.9000244140625</v>
      </c>
      <c r="H25" s="29">
        <v>10.510000228881836</v>
      </c>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row>
    <row r="26" spans="2:53" x14ac:dyDescent="0.2">
      <c r="B26" s="135">
        <v>11503015</v>
      </c>
      <c r="C26" s="136">
        <f>SUMPRODUCT(D2:H2,D26:H26)+C2</f>
        <v>11782004.212178797</v>
      </c>
      <c r="D26" s="29">
        <v>396.5</v>
      </c>
      <c r="E26" s="29">
        <v>0</v>
      </c>
      <c r="F26" s="29">
        <v>30</v>
      </c>
      <c r="G26" s="29">
        <v>642.20001220703125</v>
      </c>
      <c r="H26" s="29">
        <v>9.2799997329711914</v>
      </c>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row>
    <row r="27" spans="2:53" x14ac:dyDescent="0.2">
      <c r="B27" s="135">
        <v>13245874</v>
      </c>
      <c r="C27" s="136">
        <f>SUMPRODUCT(D2:H2,D27:H27)+C2</f>
        <v>12949212.786300682</v>
      </c>
      <c r="D27" s="29">
        <v>669.5</v>
      </c>
      <c r="E27" s="29">
        <v>0</v>
      </c>
      <c r="F27" s="29">
        <v>31</v>
      </c>
      <c r="G27" s="29">
        <v>639.0999755859375</v>
      </c>
      <c r="H27" s="29">
        <v>8.4700002670288086</v>
      </c>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row>
    <row r="28" spans="2:53" x14ac:dyDescent="0.2">
      <c r="B28" s="135">
        <v>13204084</v>
      </c>
      <c r="C28" s="136">
        <f>SUMPRODUCT(D2:H2,D28:H28)+C2</f>
        <v>13066818.824982261</v>
      </c>
      <c r="D28" s="541">
        <v>721.0999755859375</v>
      </c>
      <c r="E28" s="29">
        <v>0</v>
      </c>
      <c r="F28" s="29">
        <v>31</v>
      </c>
      <c r="G28" s="29">
        <v>633.5999755859375</v>
      </c>
      <c r="H28" s="29">
        <v>9.0900001525878906</v>
      </c>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row>
    <row r="29" spans="2:53" x14ac:dyDescent="0.2">
      <c r="B29" s="135">
        <v>11741623</v>
      </c>
      <c r="C29" s="136">
        <f>SUMPRODUCT(D2:H2,D29:H29)+C2</f>
        <v>12099671.300633432</v>
      </c>
      <c r="D29" s="29">
        <v>644.70001220703125</v>
      </c>
      <c r="E29" s="29">
        <v>0</v>
      </c>
      <c r="F29" s="29">
        <v>28</v>
      </c>
      <c r="G29" s="29">
        <v>630.5</v>
      </c>
      <c r="H29" s="29">
        <v>10.189999580383301</v>
      </c>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row>
    <row r="30" spans="2:53" x14ac:dyDescent="0.2">
      <c r="B30" s="135">
        <v>12214133</v>
      </c>
      <c r="C30" s="136">
        <f>SUMPRODUCT(D2:H2,D30:H30)+C2</f>
        <v>12057965.594262749</v>
      </c>
      <c r="D30" s="29">
        <v>470.89999389648438</v>
      </c>
      <c r="E30" s="29">
        <v>0</v>
      </c>
      <c r="F30" s="29">
        <v>31</v>
      </c>
      <c r="G30" s="29">
        <v>627.5</v>
      </c>
      <c r="H30" s="29">
        <v>11.510000228881836</v>
      </c>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row>
    <row r="31" spans="2:53" x14ac:dyDescent="0.2">
      <c r="B31" s="135">
        <v>10528793</v>
      </c>
      <c r="C31" s="136">
        <f>SUMPRODUCT(D2:H2,D31:H31)+C2</f>
        <v>11041394.764936034</v>
      </c>
      <c r="D31" s="29">
        <v>260.60000610351563</v>
      </c>
      <c r="E31" s="29">
        <v>0</v>
      </c>
      <c r="F31" s="29">
        <v>30</v>
      </c>
      <c r="G31" s="29">
        <v>631.5999755859375</v>
      </c>
      <c r="H31" s="29">
        <v>13.279999732971191</v>
      </c>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row>
    <row r="32" spans="2:53" x14ac:dyDescent="0.2">
      <c r="B32" s="135">
        <v>10748956</v>
      </c>
      <c r="C32" s="136">
        <f>SUMPRODUCT(D2:H2,D32:H32)+C2</f>
        <v>11242072.944041714</v>
      </c>
      <c r="D32" s="29">
        <v>144.69999694824219</v>
      </c>
      <c r="E32" s="29">
        <v>21</v>
      </c>
      <c r="F32" s="29">
        <v>31</v>
      </c>
      <c r="G32" s="29">
        <v>641.5</v>
      </c>
      <c r="H32" s="29">
        <v>14.520000457763672</v>
      </c>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row>
    <row r="33" spans="2:53" x14ac:dyDescent="0.2">
      <c r="B33" s="135">
        <v>11289127</v>
      </c>
      <c r="C33" s="136">
        <f>SUMPRODUCT(D2:H2,D33:H33)+C2</f>
        <v>10900602.100602832</v>
      </c>
      <c r="D33" s="29">
        <v>37.700000762939453</v>
      </c>
      <c r="E33" s="29">
        <v>32.599998474121094</v>
      </c>
      <c r="F33" s="29">
        <v>30</v>
      </c>
      <c r="G33" s="29">
        <v>657.20001220703125</v>
      </c>
      <c r="H33" s="29">
        <v>15.350000381469727</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row>
    <row r="34" spans="2:53" x14ac:dyDescent="0.2">
      <c r="B34" s="135">
        <v>12370469</v>
      </c>
      <c r="C34" s="136">
        <f>SUMPRODUCT(D2:H2,D34:H34)+C2</f>
        <v>12570408.230730632</v>
      </c>
      <c r="D34" s="29">
        <v>6.6999998092651367</v>
      </c>
      <c r="E34" s="29">
        <v>106.59999847412109</v>
      </c>
      <c r="F34" s="29">
        <v>31</v>
      </c>
      <c r="G34" s="29">
        <v>669.79998779296875</v>
      </c>
      <c r="H34" s="29">
        <v>15.149999618530273</v>
      </c>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row>
    <row r="35" spans="2:53" x14ac:dyDescent="0.2">
      <c r="B35" s="135">
        <v>11833527</v>
      </c>
      <c r="C35" s="136">
        <f>SUMPRODUCT(D2:H2,D35:H35)+C2</f>
        <v>12237369.212299639</v>
      </c>
      <c r="D35" s="29">
        <v>14.199999809265137</v>
      </c>
      <c r="E35" s="29">
        <v>85.300003051757813</v>
      </c>
      <c r="F35" s="29">
        <v>31</v>
      </c>
      <c r="G35" s="29">
        <v>672</v>
      </c>
      <c r="H35" s="29">
        <v>14.029999732971191</v>
      </c>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row>
    <row r="36" spans="2:53" x14ac:dyDescent="0.2">
      <c r="B36" s="135">
        <v>11142350</v>
      </c>
      <c r="C36" s="136">
        <f>SUMPRODUCT(D2:H2,D36:H36)+C2</f>
        <v>11206613.759962089</v>
      </c>
      <c r="D36" s="29">
        <v>122.69999694824219</v>
      </c>
      <c r="E36" s="29">
        <v>23</v>
      </c>
      <c r="F36" s="29">
        <v>30</v>
      </c>
      <c r="G36" s="29">
        <v>665.0999755859375</v>
      </c>
      <c r="H36" s="29">
        <v>12.289999961853027</v>
      </c>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row>
    <row r="37" spans="2:53" x14ac:dyDescent="0.2">
      <c r="B37" s="135">
        <v>11366088</v>
      </c>
      <c r="C37" s="136">
        <f>SUMPRODUCT(D2:H2,D37:H37)+C2</f>
        <v>11580637.370116156</v>
      </c>
      <c r="D37" s="29">
        <v>284.60000610351563</v>
      </c>
      <c r="E37" s="29">
        <v>0</v>
      </c>
      <c r="F37" s="29">
        <v>31</v>
      </c>
      <c r="G37" s="29">
        <v>657.20001220703125</v>
      </c>
      <c r="H37" s="29">
        <v>10.510000228881836</v>
      </c>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row>
    <row r="38" spans="2:53" x14ac:dyDescent="0.2">
      <c r="B38" s="135">
        <v>12065540</v>
      </c>
      <c r="C38" s="136">
        <f>SUMPRODUCT(D2:H2,D38:H38)+C2</f>
        <v>11909851.433917077</v>
      </c>
      <c r="D38" s="29">
        <v>424.10000610351563</v>
      </c>
      <c r="E38" s="29">
        <v>0</v>
      </c>
      <c r="F38" s="29">
        <v>30</v>
      </c>
      <c r="G38" s="29">
        <v>655.20001220703125</v>
      </c>
      <c r="H38" s="29">
        <v>9.2799997329711914</v>
      </c>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row>
    <row r="39" spans="2:53" x14ac:dyDescent="0.2">
      <c r="B39" s="135">
        <v>12635837</v>
      </c>
      <c r="C39" s="136">
        <f>SUMPRODUCT(D2:H2,D39:H39)+C2</f>
        <v>13154903.014963251</v>
      </c>
      <c r="D39" s="29">
        <v>719.4000244140625</v>
      </c>
      <c r="E39" s="29">
        <v>0</v>
      </c>
      <c r="F39" s="29">
        <v>31</v>
      </c>
      <c r="G39" s="29">
        <v>653.29998779296875</v>
      </c>
      <c r="H39" s="29">
        <v>8.4700002670288086</v>
      </c>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row>
    <row r="40" spans="2:53" x14ac:dyDescent="0.2">
      <c r="B40" s="135">
        <v>13378455</v>
      </c>
      <c r="C40" s="136">
        <f>SUMPRODUCT(D2:H2,D40:H40)+C2</f>
        <v>13447130.887324728</v>
      </c>
      <c r="D40" s="541">
        <v>822</v>
      </c>
      <c r="E40" s="29">
        <v>0</v>
      </c>
      <c r="F40" s="29">
        <v>31</v>
      </c>
      <c r="G40" s="29">
        <v>649.29998779296875</v>
      </c>
      <c r="H40" s="29">
        <v>9.0900001525878906</v>
      </c>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row>
    <row r="41" spans="2:53" x14ac:dyDescent="0.2">
      <c r="B41" s="135">
        <v>11922830</v>
      </c>
      <c r="C41" s="136">
        <f>SUMPRODUCT(D2:H2,D41:H41)+C2</f>
        <v>12305424.318403209</v>
      </c>
      <c r="D41" s="29">
        <v>689.29998779296875</v>
      </c>
      <c r="E41" s="29">
        <v>0</v>
      </c>
      <c r="F41" s="29">
        <v>28</v>
      </c>
      <c r="G41" s="29">
        <v>651.20001220703125</v>
      </c>
      <c r="H41" s="29">
        <v>10.189999580383301</v>
      </c>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row>
    <row r="42" spans="2:53" x14ac:dyDescent="0.2">
      <c r="B42" s="135">
        <v>12516214</v>
      </c>
      <c r="C42" s="136">
        <f>SUMPRODUCT(D2:H2,D42:H42)+C2</f>
        <v>12645152.887229772</v>
      </c>
      <c r="D42" s="29">
        <v>622.29998779296875</v>
      </c>
      <c r="E42" s="29">
        <v>0</v>
      </c>
      <c r="F42" s="29">
        <v>31</v>
      </c>
      <c r="G42" s="29">
        <v>657.0999755859375</v>
      </c>
      <c r="H42" s="29">
        <v>11.510000228881836</v>
      </c>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row>
    <row r="43" spans="2:53" x14ac:dyDescent="0.2">
      <c r="B43" s="135">
        <v>10812323</v>
      </c>
      <c r="C43" s="136">
        <f>SUMPRODUCT(D2:H2,D43:H43)+C2</f>
        <v>11434175.294760725</v>
      </c>
      <c r="D43" s="29">
        <v>349.60000610351563</v>
      </c>
      <c r="E43" s="29">
        <v>0</v>
      </c>
      <c r="F43" s="29">
        <v>30</v>
      </c>
      <c r="G43" s="29">
        <v>666.4000244140625</v>
      </c>
      <c r="H43" s="29">
        <v>13.279999732971191</v>
      </c>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row>
    <row r="44" spans="2:53" x14ac:dyDescent="0.2">
      <c r="B44" s="135">
        <v>10414660</v>
      </c>
      <c r="C44" s="136">
        <f>SUMPRODUCT(D2:H2,D44:H44)+C2</f>
        <v>11204552.321448231</v>
      </c>
      <c r="D44" s="29">
        <v>156.69999694824219</v>
      </c>
      <c r="E44" s="29">
        <v>13.199999809265137</v>
      </c>
      <c r="F44" s="29">
        <v>31</v>
      </c>
      <c r="G44" s="29">
        <v>671.5</v>
      </c>
      <c r="H44" s="29">
        <v>14.520000457763672</v>
      </c>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row>
    <row r="45" spans="2:53" x14ac:dyDescent="0.2">
      <c r="B45" s="135">
        <v>10990459</v>
      </c>
      <c r="C45" s="136">
        <f>SUMPRODUCT(D2:H2,D45:H45)+C2</f>
        <v>10778769.196270794</v>
      </c>
      <c r="D45" s="29">
        <v>48.5</v>
      </c>
      <c r="E45" s="29">
        <v>21.600000381469727</v>
      </c>
      <c r="F45" s="29">
        <v>30</v>
      </c>
      <c r="G45" s="29">
        <v>681.79998779296875</v>
      </c>
      <c r="H45" s="29">
        <v>15.350000381469727</v>
      </c>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row>
    <row r="46" spans="2:53" x14ac:dyDescent="0.2">
      <c r="B46" s="135">
        <v>12356931</v>
      </c>
      <c r="C46" s="136">
        <f>SUMPRODUCT(D2:H2,D46:H46)+C2</f>
        <v>13083067.733780896</v>
      </c>
      <c r="D46" s="29">
        <v>0.80000001192092896</v>
      </c>
      <c r="E46" s="29">
        <v>129.69999694824219</v>
      </c>
      <c r="F46" s="29">
        <v>31</v>
      </c>
      <c r="G46" s="29">
        <v>691.5</v>
      </c>
      <c r="H46" s="29">
        <v>15.149999618530273</v>
      </c>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row>
    <row r="47" spans="2:53" x14ac:dyDescent="0.2">
      <c r="B47" s="135">
        <v>11520818</v>
      </c>
      <c r="C47" s="136">
        <f>SUMPRODUCT(D2:H2,D47:H47)+C2</f>
        <v>11759595.905441787</v>
      </c>
      <c r="D47" s="29">
        <v>6.9000000953674316</v>
      </c>
      <c r="E47" s="29">
        <v>60.099998474121094</v>
      </c>
      <c r="F47" s="29">
        <v>31</v>
      </c>
      <c r="G47" s="29">
        <v>694.9000244140625</v>
      </c>
      <c r="H47" s="29">
        <v>14.029999732971191</v>
      </c>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row>
    <row r="48" spans="2:53" x14ac:dyDescent="0.2">
      <c r="B48" s="135">
        <v>10995940</v>
      </c>
      <c r="C48" s="136">
        <f>SUMPRODUCT(D2:H2,D48:H48)+C2</f>
        <v>11122087.176561875</v>
      </c>
      <c r="D48" s="29">
        <v>98.400001525878906</v>
      </c>
      <c r="E48" s="29">
        <v>19.700000762939453</v>
      </c>
      <c r="F48" s="29">
        <v>30</v>
      </c>
      <c r="G48" s="29">
        <v>688.5999755859375</v>
      </c>
      <c r="H48" s="29">
        <v>12.289999961853027</v>
      </c>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row>
    <row r="49" spans="2:53" x14ac:dyDescent="0.2">
      <c r="B49" s="135">
        <v>11346656</v>
      </c>
      <c r="C49" s="136">
        <f>SUMPRODUCT(D2:H2,D49:H49)+C2</f>
        <v>11633320.799684545</v>
      </c>
      <c r="D49" s="29">
        <v>279.89999389648438</v>
      </c>
      <c r="E49" s="29">
        <v>0</v>
      </c>
      <c r="F49" s="29">
        <v>31</v>
      </c>
      <c r="G49" s="29">
        <v>682.20001220703125</v>
      </c>
      <c r="H49" s="29">
        <v>10.510000228881836</v>
      </c>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row>
    <row r="50" spans="2:53" x14ac:dyDescent="0.2">
      <c r="B50" s="135">
        <v>11585051</v>
      </c>
      <c r="C50" s="136">
        <f>SUMPRODUCT(D2:H2,D50:H50)+C2</f>
        <v>11830070.793355769</v>
      </c>
      <c r="D50" s="29">
        <v>382.39999389648438</v>
      </c>
      <c r="E50" s="29">
        <v>0</v>
      </c>
      <c r="F50" s="29">
        <v>30</v>
      </c>
      <c r="G50" s="29">
        <v>677</v>
      </c>
      <c r="H50" s="29">
        <v>9.2799997329711914</v>
      </c>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row>
    <row r="51" spans="2:53" x14ac:dyDescent="0.2">
      <c r="B51" s="135">
        <v>12438572</v>
      </c>
      <c r="C51" s="136">
        <f>SUMPRODUCT(D2:H2,D51:H51)+C2</f>
        <v>12735181.101653071</v>
      </c>
      <c r="D51" s="29">
        <v>574.79998779296875</v>
      </c>
      <c r="E51" s="29">
        <v>0</v>
      </c>
      <c r="F51" s="29">
        <v>31</v>
      </c>
      <c r="G51" s="29">
        <v>676.5999755859375</v>
      </c>
      <c r="H51" s="29">
        <v>8.4700002670288086</v>
      </c>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row>
    <row r="52" spans="2:53" x14ac:dyDescent="0.2">
      <c r="B52" s="135">
        <v>13377585</v>
      </c>
      <c r="C52" s="136">
        <f>SUMPRODUCT(D2:H2,D52:H52)+C2</f>
        <v>12955553.996279312</v>
      </c>
      <c r="D52" s="541">
        <v>657.29998779296875</v>
      </c>
      <c r="E52" s="29">
        <v>0</v>
      </c>
      <c r="F52" s="29">
        <v>31</v>
      </c>
      <c r="G52" s="29">
        <v>670.9000244140625</v>
      </c>
      <c r="H52" s="29">
        <v>9.0900001525878906</v>
      </c>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row>
    <row r="53" spans="2:53" x14ac:dyDescent="0.2">
      <c r="B53" s="135">
        <v>12297942</v>
      </c>
      <c r="C53" s="136">
        <f>SUMPRODUCT(D2:H2,D53:H53)+C2</f>
        <v>12175283.71220612</v>
      </c>
      <c r="D53" s="29">
        <v>573</v>
      </c>
      <c r="E53" s="29">
        <v>0</v>
      </c>
      <c r="F53" s="29">
        <v>29</v>
      </c>
      <c r="G53" s="29">
        <v>668.70001220703125</v>
      </c>
      <c r="H53" s="29">
        <v>10.189999580383301</v>
      </c>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row>
    <row r="54" spans="2:53" x14ac:dyDescent="0.2">
      <c r="B54" s="135">
        <v>12189029</v>
      </c>
      <c r="C54" s="136">
        <f>SUMPRODUCT(D2:H2,D54:H54)+C2</f>
        <v>11826274.620489908</v>
      </c>
      <c r="D54" s="29">
        <v>370.10000610351563</v>
      </c>
      <c r="E54" s="29">
        <v>0</v>
      </c>
      <c r="F54" s="29">
        <v>31</v>
      </c>
      <c r="G54" s="29">
        <v>666</v>
      </c>
      <c r="H54" s="29">
        <v>11.510000228881836</v>
      </c>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row>
    <row r="55" spans="2:53" x14ac:dyDescent="0.2">
      <c r="B55" s="135">
        <v>11164412</v>
      </c>
      <c r="C55" s="136">
        <f>SUMPRODUCT(D2:H2,D55:H55)+C2</f>
        <v>11489403.932576034</v>
      </c>
      <c r="D55" s="29">
        <v>365.29998779296875</v>
      </c>
      <c r="E55" s="29">
        <v>0</v>
      </c>
      <c r="F55" s="29">
        <v>30</v>
      </c>
      <c r="G55" s="29">
        <v>667.4000244140625</v>
      </c>
      <c r="H55" s="29">
        <v>13.279999732971191</v>
      </c>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row>
    <row r="56" spans="2:53" x14ac:dyDescent="0.2">
      <c r="B56" s="135">
        <v>11015358</v>
      </c>
      <c r="C56" s="136">
        <f>SUMPRODUCT(D2:H2,D56:H56)+C2</f>
        <v>11138394.805910373</v>
      </c>
      <c r="D56" s="29">
        <v>105.80000305175781</v>
      </c>
      <c r="E56" s="29">
        <v>18.200000762939453</v>
      </c>
      <c r="F56" s="29">
        <v>31</v>
      </c>
      <c r="G56" s="29">
        <v>672.0999755859375</v>
      </c>
      <c r="H56" s="29">
        <v>14.520000457763672</v>
      </c>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row>
    <row r="57" spans="2:53" x14ac:dyDescent="0.2">
      <c r="B57" s="135">
        <v>11741791</v>
      </c>
      <c r="C57" s="136">
        <f>SUMPRODUCT(D2:H2,D57:H57)+C2</f>
        <v>11558954.689658033</v>
      </c>
      <c r="D57" s="29">
        <v>42.099998474121094</v>
      </c>
      <c r="E57" s="29">
        <v>61.200000762939453</v>
      </c>
      <c r="F57" s="29">
        <v>30</v>
      </c>
      <c r="G57" s="29">
        <v>678.4000244140625</v>
      </c>
      <c r="H57" s="29">
        <v>15.350000381469727</v>
      </c>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row>
    <row r="58" spans="2:53" x14ac:dyDescent="0.2">
      <c r="B58" s="135">
        <v>12890028</v>
      </c>
      <c r="C58" s="136">
        <f>SUMPRODUCT(D2:H2,D58:H58)+C2</f>
        <v>13023686.378829768</v>
      </c>
      <c r="D58" s="29">
        <v>0</v>
      </c>
      <c r="E58" s="29">
        <v>128.19999694824219</v>
      </c>
      <c r="F58" s="29">
        <v>31</v>
      </c>
      <c r="G58" s="29">
        <v>682</v>
      </c>
      <c r="H58" s="29">
        <v>15.149999618530273</v>
      </c>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row>
    <row r="59" spans="2:53" x14ac:dyDescent="0.2">
      <c r="B59" s="135">
        <v>11776865</v>
      </c>
      <c r="C59" s="136">
        <f>SUMPRODUCT(D2:H2,D59:H59)+C2</f>
        <v>11736043.53685654</v>
      </c>
      <c r="D59" s="29">
        <v>19.399999618530273</v>
      </c>
      <c r="E59" s="29">
        <v>59.099998474121094</v>
      </c>
      <c r="F59" s="29">
        <v>31</v>
      </c>
      <c r="G59" s="29">
        <v>678.5</v>
      </c>
      <c r="H59" s="29">
        <v>14.029999732971191</v>
      </c>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row>
    <row r="60" spans="2:53" x14ac:dyDescent="0.2">
      <c r="B60" s="135">
        <v>10556493</v>
      </c>
      <c r="C60" s="136">
        <f>SUMPRODUCT(D2:H2,D60:H60)+C2</f>
        <v>11099097.904490227</v>
      </c>
      <c r="D60" s="29">
        <v>125.40000152587891</v>
      </c>
      <c r="E60" s="29">
        <v>16.399999618530273</v>
      </c>
      <c r="F60" s="29">
        <v>30</v>
      </c>
      <c r="G60" s="29">
        <v>671.9000244140625</v>
      </c>
      <c r="H60" s="29">
        <v>12.289999961853027</v>
      </c>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row>
    <row r="61" spans="2:53" x14ac:dyDescent="0.2">
      <c r="B61" s="135">
        <v>11616925</v>
      </c>
      <c r="C61" s="136">
        <f>SUMPRODUCT(D2:H2,D61:H61)+C2</f>
        <v>11605262.752100939</v>
      </c>
      <c r="D61" s="29">
        <v>279.20001220703125</v>
      </c>
      <c r="E61" s="29">
        <v>0</v>
      </c>
      <c r="F61" s="29">
        <v>31</v>
      </c>
      <c r="G61" s="29">
        <v>672.79998779296875</v>
      </c>
      <c r="H61" s="29">
        <v>10.510000228881836</v>
      </c>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row>
    <row r="62" spans="2:53" x14ac:dyDescent="0.2">
      <c r="B62" s="135">
        <v>12440484</v>
      </c>
      <c r="C62" s="136">
        <f>SUMPRODUCT(D2:H2,D62:H62)+C2</f>
        <v>12167884.749124331</v>
      </c>
      <c r="D62" s="29">
        <v>483.60000610351563</v>
      </c>
      <c r="E62" s="29">
        <v>0</v>
      </c>
      <c r="F62" s="29">
        <v>30</v>
      </c>
      <c r="G62" s="29">
        <v>676.79998779296875</v>
      </c>
      <c r="H62" s="29">
        <v>9.2799997329711914</v>
      </c>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row>
    <row r="63" spans="2:53" x14ac:dyDescent="0.2">
      <c r="B63" s="135">
        <v>12649911</v>
      </c>
      <c r="C63" s="136">
        <f>SUMPRODUCT(D2:H2,D63:H63)+C2</f>
        <v>12720775.871331276</v>
      </c>
      <c r="D63" s="29">
        <v>565.5</v>
      </c>
      <c r="E63" s="29">
        <v>0</v>
      </c>
      <c r="F63" s="29">
        <v>31</v>
      </c>
      <c r="G63" s="29">
        <v>682.70001220703125</v>
      </c>
      <c r="H63" s="29">
        <v>8.4700002670288086</v>
      </c>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row>
    <row r="64" spans="2:53" x14ac:dyDescent="0.2">
      <c r="B64" s="135">
        <v>13801260</v>
      </c>
      <c r="C64" s="136">
        <f>SUMPRODUCT(D2:H2,D64:H64)+C2</f>
        <v>13065071.89792832</v>
      </c>
      <c r="D64" s="541">
        <v>681.29998779296875</v>
      </c>
      <c r="E64" s="29">
        <v>0</v>
      </c>
      <c r="F64" s="29">
        <v>31</v>
      </c>
      <c r="G64" s="29">
        <v>681.5999755859375</v>
      </c>
      <c r="H64" s="29">
        <v>9.0900001525878906</v>
      </c>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row>
    <row r="65" spans="2:53" x14ac:dyDescent="0.2">
      <c r="B65" s="135">
        <v>12529882</v>
      </c>
      <c r="C65" s="136">
        <f>SUMPRODUCT(D2:H2,D65:H65)+C2</f>
        <v>12420086.075498397</v>
      </c>
      <c r="D65" s="29">
        <v>697.9000244140625</v>
      </c>
      <c r="E65" s="29">
        <v>0</v>
      </c>
      <c r="F65" s="29">
        <v>28</v>
      </c>
      <c r="G65" s="29">
        <v>682.5999755859375</v>
      </c>
      <c r="H65" s="29">
        <v>10.189999580383301</v>
      </c>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row>
    <row r="66" spans="2:53" x14ac:dyDescent="0.2">
      <c r="B66" s="135">
        <v>12709104</v>
      </c>
      <c r="C66" s="136">
        <f>SUMPRODUCT(D2:H2,D66:H66)+C2</f>
        <v>12683216.729807882</v>
      </c>
      <c r="D66" s="29">
        <v>612</v>
      </c>
      <c r="E66" s="29">
        <v>0</v>
      </c>
      <c r="F66" s="29">
        <v>31</v>
      </c>
      <c r="G66" s="29">
        <v>683.5999755859375</v>
      </c>
      <c r="H66" s="29">
        <v>11.510000228881836</v>
      </c>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row>
    <row r="67" spans="2:53" x14ac:dyDescent="0.2">
      <c r="B67" s="135">
        <v>11611418</v>
      </c>
      <c r="C67" s="136">
        <f>SUMPRODUCT(D2:H2,D67:H67)+C2</f>
        <v>11603514.176278254</v>
      </c>
      <c r="D67" s="29">
        <v>384.70001220703125</v>
      </c>
      <c r="E67" s="29">
        <v>0</v>
      </c>
      <c r="F67" s="29">
        <v>30</v>
      </c>
      <c r="G67" s="29">
        <v>685.4000244140625</v>
      </c>
      <c r="H67" s="29">
        <v>13.279999732971191</v>
      </c>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row>
    <row r="68" spans="2:53" x14ac:dyDescent="0.2">
      <c r="B68" s="135">
        <v>11147570</v>
      </c>
      <c r="C68" s="136">
        <f>SUMPRODUCT(D2:H2,D68:H68)+C2</f>
        <v>11371659.733649399</v>
      </c>
      <c r="D68" s="29">
        <v>152.10000610351563</v>
      </c>
      <c r="E68" s="29">
        <v>19.600000381469727</v>
      </c>
      <c r="F68" s="29">
        <v>31</v>
      </c>
      <c r="G68" s="29">
        <v>690.29998779296875</v>
      </c>
      <c r="H68" s="29">
        <v>14.520000457763672</v>
      </c>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row>
    <row r="69" spans="2:53" x14ac:dyDescent="0.2">
      <c r="B69" s="135">
        <v>11517408</v>
      </c>
      <c r="C69" s="136">
        <f>SUMPRODUCT(D2:H2,D69:H69)+C2</f>
        <v>11031868.747534579</v>
      </c>
      <c r="D69" s="29">
        <v>52.599998474121094</v>
      </c>
      <c r="E69" s="29">
        <v>31.299999237060547</v>
      </c>
      <c r="F69" s="29">
        <v>30</v>
      </c>
      <c r="G69" s="29">
        <v>696.70001220703125</v>
      </c>
      <c r="H69" s="29">
        <v>15.350000381469727</v>
      </c>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row>
    <row r="70" spans="2:53" x14ac:dyDescent="0.2">
      <c r="B70" s="135">
        <v>12829750</v>
      </c>
      <c r="C70" s="136">
        <f>SUMPRODUCT(D2:H2,D70:H70)+C2</f>
        <v>12277192.773417955</v>
      </c>
      <c r="D70" s="29">
        <v>15.100000381469727</v>
      </c>
      <c r="E70" s="29">
        <v>86.5</v>
      </c>
      <c r="F70" s="29">
        <v>31</v>
      </c>
      <c r="G70" s="29">
        <v>702.79998779296875</v>
      </c>
      <c r="H70" s="29">
        <v>15.149999618530273</v>
      </c>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row>
    <row r="71" spans="2:53" x14ac:dyDescent="0.2">
      <c r="B71" s="135">
        <v>11739886</v>
      </c>
      <c r="C71" s="136">
        <f>SUMPRODUCT(D2:H2,D71:H71)+C2</f>
        <v>11495056.911926026</v>
      </c>
      <c r="D71" s="29">
        <v>32.700000762939453</v>
      </c>
      <c r="E71" s="29">
        <v>42.099998474121094</v>
      </c>
      <c r="F71" s="29">
        <v>31</v>
      </c>
      <c r="G71" s="29">
        <v>701.4000244140625</v>
      </c>
      <c r="H71" s="29">
        <v>14.029999732971191</v>
      </c>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row>
    <row r="72" spans="2:53" x14ac:dyDescent="0.2">
      <c r="B72" s="135">
        <v>11468546</v>
      </c>
      <c r="C72" s="136">
        <f>SUMPRODUCT(D2:H2,D72:H72)+C2</f>
        <v>11264582.443519451</v>
      </c>
      <c r="D72" s="29">
        <v>128.10000610351563</v>
      </c>
      <c r="E72" s="29">
        <v>20.5</v>
      </c>
      <c r="F72" s="29">
        <v>30</v>
      </c>
      <c r="G72" s="29">
        <v>698.4000244140625</v>
      </c>
      <c r="H72" s="29">
        <v>12.289999961853027</v>
      </c>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row>
    <row r="73" spans="2:53" x14ac:dyDescent="0.2">
      <c r="B73" s="135">
        <v>11897269</v>
      </c>
      <c r="C73" s="136">
        <f>SUMPRODUCT(D2:H2,D73:H73)+C2</f>
        <v>11618128.582111804</v>
      </c>
      <c r="D73" s="29">
        <v>262.10000610351563</v>
      </c>
      <c r="E73" s="29">
        <v>0</v>
      </c>
      <c r="F73" s="29">
        <v>31</v>
      </c>
      <c r="G73" s="29">
        <v>698.4000244140625</v>
      </c>
      <c r="H73" s="29">
        <v>10.510000228881836</v>
      </c>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row>
    <row r="74" spans="2:53" x14ac:dyDescent="0.2">
      <c r="B74" s="135">
        <v>12327734</v>
      </c>
      <c r="C74" s="136">
        <f>SUMPRODUCT(D2:H2,D74:H74)+C2</f>
        <v>12345371.016885359</v>
      </c>
      <c r="D74" s="29">
        <v>517.70001220703125</v>
      </c>
      <c r="E74" s="29">
        <v>0</v>
      </c>
      <c r="F74" s="29">
        <v>30</v>
      </c>
      <c r="G74" s="29">
        <v>700</v>
      </c>
      <c r="H74" s="29">
        <v>9.2799997329711914</v>
      </c>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row>
    <row r="75" spans="2:53" x14ac:dyDescent="0.2">
      <c r="B75" s="135">
        <v>13086730</v>
      </c>
      <c r="C75" s="136">
        <f>SUMPRODUCT(D2:H2,D75:H75)+C2</f>
        <v>13296498.573631413</v>
      </c>
      <c r="D75" s="29">
        <v>727.29998779296875</v>
      </c>
      <c r="E75" s="29">
        <v>0</v>
      </c>
      <c r="F75" s="29">
        <v>31</v>
      </c>
      <c r="G75" s="29">
        <v>695.4000244140625</v>
      </c>
      <c r="H75" s="29">
        <v>8.4700002670288086</v>
      </c>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row>
    <row r="76" spans="2:53" x14ac:dyDescent="0.2">
      <c r="B76" s="135">
        <v>14326837</v>
      </c>
      <c r="C76" s="136">
        <f>SUMPRODUCT(D2:H2,D76:H76)+C2</f>
        <v>13703620.440239692</v>
      </c>
      <c r="D76" s="541">
        <v>865.9000244140625</v>
      </c>
      <c r="E76" s="29">
        <v>0</v>
      </c>
      <c r="F76" s="29">
        <v>31</v>
      </c>
      <c r="G76" s="29">
        <v>689.4000244140625</v>
      </c>
      <c r="H76" s="29">
        <v>9.0900001525878906</v>
      </c>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row>
    <row r="77" spans="2:53" x14ac:dyDescent="0.2">
      <c r="B77" s="135">
        <v>12655041</v>
      </c>
      <c r="C77" s="136">
        <f>SUMPRODUCT(D2:H2,D77:H77)+C2</f>
        <v>12864952.435971385</v>
      </c>
      <c r="D77" s="29">
        <v>831.20001220703125</v>
      </c>
      <c r="E77" s="29">
        <v>0</v>
      </c>
      <c r="F77" s="29">
        <v>28</v>
      </c>
      <c r="G77" s="29">
        <v>682.29998779296875</v>
      </c>
      <c r="H77" s="29">
        <v>10.189999580383301</v>
      </c>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row>
    <row r="78" spans="2:53" x14ac:dyDescent="0.2">
      <c r="B78" s="135">
        <v>13288297</v>
      </c>
      <c r="C78" s="136">
        <f>SUMPRODUCT(D2:H2,D78:H78)+C2</f>
        <v>13158720.688363576</v>
      </c>
      <c r="D78" s="29">
        <v>757</v>
      </c>
      <c r="E78" s="29">
        <v>0</v>
      </c>
      <c r="F78" s="29">
        <v>31</v>
      </c>
      <c r="G78" s="29">
        <v>680.20001220703125</v>
      </c>
      <c r="H78" s="29">
        <v>11.510000228881836</v>
      </c>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row>
    <row r="79" spans="2:53" x14ac:dyDescent="0.2">
      <c r="B79" s="135">
        <v>11360191</v>
      </c>
      <c r="C79" s="136">
        <f>SUMPRODUCT(D2:H2,D79:H79)+C2</f>
        <v>11604484.771164615</v>
      </c>
      <c r="D79" s="29">
        <v>389.89999389648438</v>
      </c>
      <c r="E79" s="29">
        <v>0</v>
      </c>
      <c r="F79" s="29">
        <v>30</v>
      </c>
      <c r="G79" s="29">
        <v>679.4000244140625</v>
      </c>
      <c r="H79" s="29">
        <v>13.279999732971191</v>
      </c>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row>
    <row r="80" spans="2:53" x14ac:dyDescent="0.2">
      <c r="B80" s="135">
        <v>10963756</v>
      </c>
      <c r="C80" s="136">
        <f>SUMPRODUCT(D2:H2,D80:H80)+C2</f>
        <v>11209954.267743973</v>
      </c>
      <c r="D80" s="29">
        <v>168.89999389648438</v>
      </c>
      <c r="E80" s="29">
        <v>9</v>
      </c>
      <c r="F80" s="29">
        <v>31</v>
      </c>
      <c r="G80" s="29">
        <v>690</v>
      </c>
      <c r="H80" s="29">
        <v>14.520000457763672</v>
      </c>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row>
    <row r="81" spans="2:53" x14ac:dyDescent="0.2">
      <c r="B81" s="135">
        <v>11648160</v>
      </c>
      <c r="C81" s="136">
        <f>SUMPRODUCT(D2:H2,D81:H81)+C2</f>
        <v>11267979.834021088</v>
      </c>
      <c r="D81" s="29">
        <v>37.299999237060547</v>
      </c>
      <c r="E81" s="29">
        <v>44.299999237060547</v>
      </c>
      <c r="F81" s="29">
        <v>30</v>
      </c>
      <c r="G81" s="29">
        <v>704.4000244140625</v>
      </c>
      <c r="H81" s="29">
        <v>15.350000381469727</v>
      </c>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row>
    <row r="82" spans="2:53" x14ac:dyDescent="0.2">
      <c r="B82" s="135">
        <v>11766636</v>
      </c>
      <c r="C82" s="136">
        <f>SUMPRODUCT(D2:H2,D82:H82)+C2</f>
        <v>11406649.349142091</v>
      </c>
      <c r="D82" s="29">
        <v>36.799999237060547</v>
      </c>
      <c r="E82" s="29">
        <v>38.799999237060547</v>
      </c>
      <c r="F82" s="29">
        <v>31</v>
      </c>
      <c r="G82" s="29">
        <v>715.0999755859375</v>
      </c>
      <c r="H82" s="29">
        <v>15.149999618530273</v>
      </c>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row>
    <row r="83" spans="2:53" x14ac:dyDescent="0.2">
      <c r="B83" s="135">
        <v>11308925</v>
      </c>
      <c r="C83" s="136">
        <f>SUMPRODUCT(D2:H2,D83:H83)+C2</f>
        <v>11258552.608186202</v>
      </c>
      <c r="D83" s="29">
        <v>31.100000381469727</v>
      </c>
      <c r="E83" s="29">
        <v>28.5</v>
      </c>
      <c r="F83" s="29">
        <v>31</v>
      </c>
      <c r="G83" s="29">
        <v>718.70001220703125</v>
      </c>
      <c r="H83" s="29">
        <v>14.029999732971191</v>
      </c>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row>
    <row r="84" spans="2:53" x14ac:dyDescent="0.2">
      <c r="B84" s="135">
        <v>11411972</v>
      </c>
      <c r="C84" s="136">
        <f>SUMPRODUCT(D2:H2,D84:H84)+C2</f>
        <v>11100650.708333025</v>
      </c>
      <c r="D84" s="29">
        <v>117.69999694824219</v>
      </c>
      <c r="E84" s="29">
        <v>11.399999618530273</v>
      </c>
      <c r="F84" s="29">
        <v>30</v>
      </c>
      <c r="G84" s="29">
        <v>719.29998779296875</v>
      </c>
      <c r="H84" s="29">
        <v>12.289999961853027</v>
      </c>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row>
    <row r="85" spans="2:53" x14ac:dyDescent="0.2">
      <c r="B85" s="135">
        <v>11724784</v>
      </c>
      <c r="C85" s="136">
        <f>SUMPRODUCT(D2:H2,D85:H85)+C2</f>
        <v>11670082.530350508</v>
      </c>
      <c r="D85" s="29">
        <v>257.10000610351563</v>
      </c>
      <c r="E85" s="29">
        <v>0</v>
      </c>
      <c r="F85" s="29">
        <v>31</v>
      </c>
      <c r="G85" s="29">
        <v>723.5</v>
      </c>
      <c r="H85" s="29">
        <v>10.510000228881836</v>
      </c>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row>
    <row r="86" spans="2:53" x14ac:dyDescent="0.2">
      <c r="B86" s="135">
        <v>12451107</v>
      </c>
      <c r="C86" s="136">
        <f>SUMPRODUCT(D2:H2,D86:H86)+C2</f>
        <v>12443615.84029622</v>
      </c>
      <c r="D86" s="29">
        <v>529.9000244140625</v>
      </c>
      <c r="E86" s="29">
        <v>0</v>
      </c>
      <c r="F86" s="29">
        <v>30</v>
      </c>
      <c r="G86" s="29">
        <v>721</v>
      </c>
      <c r="H86" s="29">
        <v>9.2799997329711914</v>
      </c>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row>
    <row r="87" spans="2:53" x14ac:dyDescent="0.2">
      <c r="B87" s="135">
        <v>12712680</v>
      </c>
      <c r="C87" s="136">
        <f>SUMPRODUCT(D2:H2,D87:H87)+C2</f>
        <v>12914556.642557111</v>
      </c>
      <c r="D87" s="29">
        <v>597.5999755859375</v>
      </c>
      <c r="E87" s="29">
        <v>0</v>
      </c>
      <c r="F87" s="29">
        <v>31</v>
      </c>
      <c r="G87" s="29">
        <v>714.29998779296875</v>
      </c>
      <c r="H87" s="29">
        <v>8.4700002670288086</v>
      </c>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row>
    <row r="88" spans="2:53" x14ac:dyDescent="0.2">
      <c r="B88" s="135">
        <v>13848062</v>
      </c>
      <c r="C88" s="136">
        <f>SUMPRODUCT(D2:H2,D88:H88)+C2</f>
        <v>13530554.533591567</v>
      </c>
      <c r="D88" s="541">
        <v>800.79998779296875</v>
      </c>
      <c r="E88" s="29">
        <v>0</v>
      </c>
      <c r="F88" s="29">
        <v>31</v>
      </c>
      <c r="G88" s="29">
        <v>705.70001220703125</v>
      </c>
      <c r="H88" s="29">
        <v>9.0900001525878906</v>
      </c>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row>
    <row r="89" spans="2:53" x14ac:dyDescent="0.2">
      <c r="B89" s="135">
        <v>12995679</v>
      </c>
      <c r="C89" s="136">
        <f>SUMPRODUCT(D2:H2,D89:H89)+C2</f>
        <v>13202194.784397276</v>
      </c>
      <c r="D89" s="29">
        <v>917.5</v>
      </c>
      <c r="E89" s="29">
        <v>0</v>
      </c>
      <c r="F89" s="29">
        <v>28</v>
      </c>
      <c r="G89" s="29">
        <v>700.0999755859375</v>
      </c>
      <c r="H89" s="29">
        <v>10.189999580383301</v>
      </c>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row>
    <row r="90" spans="2:53" x14ac:dyDescent="0.2">
      <c r="B90" s="135">
        <v>13073688</v>
      </c>
      <c r="C90" s="136">
        <f>SUMPRODUCT(D2:H2,D90:H90)+C2</f>
        <v>12476016.492653681</v>
      </c>
      <c r="D90" s="29">
        <v>538</v>
      </c>
      <c r="E90" s="29">
        <v>0</v>
      </c>
      <c r="F90" s="29">
        <v>31</v>
      </c>
      <c r="G90" s="29">
        <v>698.29998779296875</v>
      </c>
      <c r="H90" s="29">
        <v>11.510000228881836</v>
      </c>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row>
    <row r="91" spans="2:53" x14ac:dyDescent="0.2">
      <c r="B91" s="135">
        <v>11297907</v>
      </c>
      <c r="C91" s="136">
        <f>SUMPRODUCT(D2:H2,D91:H91)+C2</f>
        <v>11550964.484195152</v>
      </c>
      <c r="D91" s="29">
        <v>359</v>
      </c>
      <c r="E91" s="29">
        <v>0</v>
      </c>
      <c r="F91" s="29">
        <v>30</v>
      </c>
      <c r="G91" s="29">
        <v>697.5999755859375</v>
      </c>
      <c r="H91" s="29">
        <v>13.279999732971191</v>
      </c>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row>
    <row r="92" spans="2:53" x14ac:dyDescent="0.2">
      <c r="B92" s="135">
        <v>10857342</v>
      </c>
      <c r="C92" s="136">
        <f>SUMPRODUCT(D2:H2,D92:H92)+C2</f>
        <v>11500437.398248233</v>
      </c>
      <c r="D92" s="29">
        <v>116.19999694824219</v>
      </c>
      <c r="E92" s="29">
        <v>29.799999237060547</v>
      </c>
      <c r="F92" s="29">
        <v>31</v>
      </c>
      <c r="G92" s="29">
        <v>704.9000244140625</v>
      </c>
      <c r="H92" s="29">
        <v>14.520000457763672</v>
      </c>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row>
    <row r="93" spans="2:53" x14ac:dyDescent="0.2">
      <c r="B93" s="135">
        <v>11039303</v>
      </c>
      <c r="C93" s="136">
        <f>SUMPRODUCT(D2:H2,D93:H93)+C2</f>
        <v>10755457.117092192</v>
      </c>
      <c r="D93" s="29">
        <v>54.700000762939453</v>
      </c>
      <c r="E93" s="29">
        <v>15</v>
      </c>
      <c r="F93" s="29">
        <v>30</v>
      </c>
      <c r="G93" s="29">
        <v>715.0999755859375</v>
      </c>
      <c r="H93" s="29">
        <v>15.350000381469727</v>
      </c>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row>
    <row r="94" spans="2:53" x14ac:dyDescent="0.2">
      <c r="B94" s="135">
        <v>11914109</v>
      </c>
      <c r="C94" s="136">
        <f>SUMPRODUCT(D2:H2,D94:H94)+C2</f>
        <v>11739255.880610943</v>
      </c>
      <c r="D94" s="29">
        <v>19.299999237060547</v>
      </c>
      <c r="E94" s="29">
        <v>57.700000762939453</v>
      </c>
      <c r="F94" s="29">
        <v>31</v>
      </c>
      <c r="G94" s="29">
        <v>716.5999755859375</v>
      </c>
      <c r="H94" s="29">
        <v>15.149999618530273</v>
      </c>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row>
    <row r="95" spans="2:53" x14ac:dyDescent="0.2">
      <c r="B95" s="135">
        <v>11281584</v>
      </c>
      <c r="C95" s="136">
        <f>SUMPRODUCT(D2:H2,D95:H95)+C2</f>
        <v>11635133.98248028</v>
      </c>
      <c r="D95" s="29">
        <v>29.5</v>
      </c>
      <c r="E95" s="29">
        <v>47.900001525878906</v>
      </c>
      <c r="F95" s="29">
        <v>31</v>
      </c>
      <c r="G95" s="29">
        <v>713.0999755859375</v>
      </c>
      <c r="H95" s="29">
        <v>14.029999732971191</v>
      </c>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row>
    <row r="96" spans="2:53" x14ac:dyDescent="0.2">
      <c r="B96" s="135">
        <v>11694075</v>
      </c>
      <c r="C96" s="136">
        <f>SUMPRODUCT(D2:H2,D96:H96)+C2</f>
        <v>11570983.751364157</v>
      </c>
      <c r="D96" s="29">
        <v>58.200000762939453</v>
      </c>
      <c r="E96" s="29">
        <v>45.299999237060547</v>
      </c>
      <c r="F96" s="29">
        <v>30</v>
      </c>
      <c r="G96" s="29">
        <v>710.20001220703125</v>
      </c>
      <c r="H96" s="29">
        <v>12.289999961853027</v>
      </c>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row>
    <row r="97" spans="2:53" x14ac:dyDescent="0.2">
      <c r="B97" s="135">
        <v>11285079</v>
      </c>
      <c r="C97" s="136">
        <f>SUMPRODUCT(D2:H2,D97:H97)+C2</f>
        <v>11762360.710784003</v>
      </c>
      <c r="D97" s="29">
        <v>290.10000610351563</v>
      </c>
      <c r="E97" s="29">
        <v>0</v>
      </c>
      <c r="F97" s="29">
        <v>31</v>
      </c>
      <c r="G97" s="29">
        <v>716.9000244140625</v>
      </c>
      <c r="H97" s="29">
        <v>10.510000228881836</v>
      </c>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row>
    <row r="98" spans="2:53" x14ac:dyDescent="0.2">
      <c r="B98" s="135">
        <v>11539716</v>
      </c>
      <c r="C98" s="136">
        <f>SUMPRODUCT(D2:H2,D98:H98)+C2</f>
        <v>11979539.444816981</v>
      </c>
      <c r="D98" s="29">
        <v>391.10000610351563</v>
      </c>
      <c r="E98" s="29">
        <v>0</v>
      </c>
      <c r="F98" s="29">
        <v>30</v>
      </c>
      <c r="G98" s="29">
        <v>721</v>
      </c>
      <c r="H98" s="29">
        <v>9.2799997329711914</v>
      </c>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row>
    <row r="99" spans="2:53" x14ac:dyDescent="0.2">
      <c r="B99" s="135">
        <v>12074225</v>
      </c>
      <c r="C99" s="136">
        <f>SUMPRODUCT(D2:H2,D99:H99)+C2</f>
        <v>12443126.243222527</v>
      </c>
      <c r="D99" s="29">
        <v>453</v>
      </c>
      <c r="E99" s="29">
        <v>0</v>
      </c>
      <c r="F99" s="29">
        <v>31</v>
      </c>
      <c r="G99" s="29">
        <v>718.70001220703125</v>
      </c>
      <c r="H99" s="29">
        <v>8.4700002670288086</v>
      </c>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row>
    <row r="100" spans="2:53" x14ac:dyDescent="0.2">
      <c r="B100" s="135">
        <v>13060489</v>
      </c>
      <c r="C100" s="136">
        <f>SUMPRODUCT(D2:H2,D100:H100)+C2</f>
        <v>13280677.583068069</v>
      </c>
      <c r="D100" s="541">
        <v>717.79998779296875</v>
      </c>
      <c r="E100" s="29">
        <v>0</v>
      </c>
      <c r="F100" s="29">
        <v>31</v>
      </c>
      <c r="G100" s="29">
        <v>715.79998779296875</v>
      </c>
      <c r="H100" s="29">
        <v>9.0900001525878906</v>
      </c>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row>
    <row r="101" spans="2:53" x14ac:dyDescent="0.2">
      <c r="B101" s="135">
        <v>12179908</v>
      </c>
      <c r="C101" s="136">
        <f>SUMPRODUCT(D2:H2,D101:H101)+C2</f>
        <v>12472625.258588238</v>
      </c>
      <c r="D101" s="29">
        <v>627.4000244140625</v>
      </c>
      <c r="E101" s="29">
        <v>0</v>
      </c>
      <c r="F101" s="29">
        <v>29</v>
      </c>
      <c r="G101" s="29">
        <v>710.9000244140625</v>
      </c>
      <c r="H101" s="29">
        <v>10.189999580383301</v>
      </c>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row>
    <row r="102" spans="2:53" x14ac:dyDescent="0.2">
      <c r="B102" s="135">
        <v>12201102</v>
      </c>
      <c r="C102" s="136">
        <f>SUMPRODUCT(D2:H2,D102:H102)+C2</f>
        <v>12310456.745873693</v>
      </c>
      <c r="D102" s="29">
        <v>479.39999389648438</v>
      </c>
      <c r="E102" s="29">
        <v>0</v>
      </c>
      <c r="F102" s="29">
        <v>31</v>
      </c>
      <c r="G102" s="29">
        <v>709.4000244140625</v>
      </c>
      <c r="H102" s="29">
        <v>11.510000228881836</v>
      </c>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row>
    <row r="103" spans="2:53" x14ac:dyDescent="0.2">
      <c r="B103" s="135">
        <v>11377256</v>
      </c>
      <c r="C103" s="136">
        <f>SUMPRODUCT(D2:H2,D103:H103)+C2</f>
        <v>11821182.573529383</v>
      </c>
      <c r="D103" s="29">
        <v>431.79998779296875</v>
      </c>
      <c r="E103" s="29">
        <v>0</v>
      </c>
      <c r="F103" s="29">
        <v>30</v>
      </c>
      <c r="G103" s="29">
        <v>707.4000244140625</v>
      </c>
      <c r="H103" s="29">
        <v>13.279999732971191</v>
      </c>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row>
    <row r="104" spans="2:53" x14ac:dyDescent="0.2">
      <c r="B104" s="135">
        <v>11016861</v>
      </c>
      <c r="C104" s="136">
        <f>SUMPRODUCT(D2:H2,D104:H104)+C2</f>
        <v>11482779.750380216</v>
      </c>
      <c r="D104" s="29">
        <v>174.60000610351563</v>
      </c>
      <c r="E104" s="29">
        <v>18.399999618530273</v>
      </c>
      <c r="F104" s="29">
        <v>31</v>
      </c>
      <c r="G104" s="29">
        <v>712.4000244140625</v>
      </c>
      <c r="H104" s="29">
        <v>14.520000457763672</v>
      </c>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row>
    <row r="105" spans="2:53" x14ac:dyDescent="0.2">
      <c r="B105" s="135">
        <v>11598866</v>
      </c>
      <c r="C105" s="136">
        <f>SUMPRODUCT(D2:H2,D105:H105)+C2</f>
        <v>10904319.410432864</v>
      </c>
      <c r="D105" s="29">
        <v>43.900001525878906</v>
      </c>
      <c r="E105" s="29">
        <v>24.100000381469727</v>
      </c>
      <c r="F105" s="29">
        <v>30</v>
      </c>
      <c r="G105" s="29">
        <v>714.5999755859375</v>
      </c>
      <c r="H105" s="29">
        <v>15.350000381469727</v>
      </c>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row>
    <row r="106" spans="2:53" x14ac:dyDescent="0.2">
      <c r="B106" s="135">
        <v>12389229</v>
      </c>
      <c r="C106" s="136">
        <f>SUMPRODUCT(D2:H2,D106:H106)+C2</f>
        <v>12618237.20388226</v>
      </c>
      <c r="D106" s="29">
        <v>19.299999237060547</v>
      </c>
      <c r="E106" s="29">
        <v>101.19999694824219</v>
      </c>
      <c r="F106" s="29">
        <v>31</v>
      </c>
      <c r="G106" s="29">
        <v>712.29998779296875</v>
      </c>
      <c r="H106" s="29">
        <v>15.149999618530273</v>
      </c>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row>
    <row r="107" spans="2:53" x14ac:dyDescent="0.2">
      <c r="B107" s="135">
        <v>12966123</v>
      </c>
      <c r="C107" s="136">
        <f>SUMPRODUCT(D2:H2,D107:H107)+C2</f>
        <v>12608287.899889402</v>
      </c>
      <c r="D107" s="29">
        <v>2.0999999046325684</v>
      </c>
      <c r="E107" s="29">
        <v>100.69999694824219</v>
      </c>
      <c r="F107" s="29">
        <v>31</v>
      </c>
      <c r="G107" s="29">
        <v>707.0999755859375</v>
      </c>
      <c r="H107" s="29">
        <v>14.029999732971191</v>
      </c>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row>
    <row r="108" spans="2:53" x14ac:dyDescent="0.2">
      <c r="B108" s="135">
        <v>11625065</v>
      </c>
      <c r="C108" s="136">
        <f>SUMPRODUCT(D2:H2,D108:H108)+C2</f>
        <v>10987158.750736423</v>
      </c>
      <c r="D108" s="29">
        <v>68.800003051757813</v>
      </c>
      <c r="E108" s="29">
        <v>16.100000381469727</v>
      </c>
      <c r="F108" s="29">
        <v>30</v>
      </c>
      <c r="G108" s="29">
        <v>702.4000244140625</v>
      </c>
      <c r="H108" s="29">
        <v>12.289999961853027</v>
      </c>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row>
    <row r="109" spans="2:53" x14ac:dyDescent="0.2">
      <c r="B109" s="135">
        <v>11422724</v>
      </c>
      <c r="C109" s="136">
        <f>SUMPRODUCT(D2:H2,D109:H109)+C2</f>
        <v>11491502.753439102</v>
      </c>
      <c r="D109" s="29">
        <v>209.39999389648438</v>
      </c>
      <c r="E109" s="29">
        <v>1.8999999761581421</v>
      </c>
      <c r="F109" s="29">
        <v>31</v>
      </c>
      <c r="G109" s="29">
        <v>702.29998779296875</v>
      </c>
      <c r="H109" s="29">
        <v>10.510000228881836</v>
      </c>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row>
    <row r="110" spans="2:53" x14ac:dyDescent="0.2">
      <c r="B110" s="135">
        <v>11734355</v>
      </c>
      <c r="C110" s="136">
        <f>SUMPRODUCT(D2:H2,D110:H110)+C2</f>
        <v>11628854.552609317</v>
      </c>
      <c r="D110" s="29">
        <v>319.70001220703125</v>
      </c>
      <c r="E110" s="29">
        <v>0</v>
      </c>
      <c r="F110" s="29">
        <v>30</v>
      </c>
      <c r="G110" s="29">
        <v>680.0777587890625</v>
      </c>
      <c r="H110" s="29">
        <v>9.2799997329711914</v>
      </c>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row>
    <row r="111" spans="2:53" x14ac:dyDescent="0.2">
      <c r="B111" s="135">
        <v>12387423</v>
      </c>
      <c r="C111" s="136">
        <f>SUMPRODUCT(D2:H2,D111:H111)+C2</f>
        <v>12957667.899556</v>
      </c>
      <c r="D111" s="29">
        <v>639.8157958984375</v>
      </c>
      <c r="E111" s="29">
        <v>0</v>
      </c>
      <c r="F111" s="29">
        <v>31</v>
      </c>
      <c r="G111" s="29">
        <v>678.4666748046875</v>
      </c>
      <c r="H111" s="29">
        <v>8.4700002670288086</v>
      </c>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row>
    <row r="112" spans="2:53" x14ac:dyDescent="0.2">
      <c r="B112" s="135"/>
      <c r="C112" s="518">
        <f>SUMPRODUCT(D2:H2,D112:H112)+C2</f>
        <v>13428476.273518395</v>
      </c>
      <c r="D112" s="517">
        <f>AVERAGE(D4,D16,D28,D40,D52,D64,D76,D88,D100)</f>
        <v>759.42221408420141</v>
      </c>
      <c r="E112" s="517">
        <f>AVERAGE(E4,E16,E28,E40,E52,E64,E76,E88,E100)</f>
        <v>0</v>
      </c>
      <c r="F112" s="517">
        <f>AVERAGE(F4,F16,F28,F40,F52,F64,F76,F88,F100)</f>
        <v>31</v>
      </c>
      <c r="G112" s="517">
        <v>718.95623238281246</v>
      </c>
      <c r="H112" s="517">
        <f t="shared" ref="H112:H135" si="0">AVERAGE(H4,H16,H28,H40,H52,H64,H76,H88,H100)</f>
        <v>9.0900001525878906</v>
      </c>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row>
    <row r="113" spans="2:53" x14ac:dyDescent="0.2">
      <c r="B113" s="135"/>
      <c r="C113" s="518">
        <f>SUMPRODUCT(D2:H2,D113:H113)+C2</f>
        <v>12592203.563458143</v>
      </c>
      <c r="D113" s="517">
        <f t="shared" ref="D113:F135" si="1">AVERAGE(D5,D17,D29,D41,D53,D65,D77,D89,D101)</f>
        <v>697.977783203125</v>
      </c>
      <c r="E113" s="517">
        <f t="shared" si="1"/>
        <v>0</v>
      </c>
      <c r="F113" s="517">
        <f t="shared" si="1"/>
        <v>28.333333333333332</v>
      </c>
      <c r="G113" s="517">
        <v>719.72879238281246</v>
      </c>
      <c r="H113" s="517">
        <f t="shared" si="0"/>
        <v>10.189999580383301</v>
      </c>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row>
    <row r="114" spans="2:53" x14ac:dyDescent="0.2">
      <c r="B114" s="135"/>
      <c r="C114" s="518">
        <f>SUMPRODUCT(D2:H2,D114:H114)+C2</f>
        <v>12632009.809493817</v>
      </c>
      <c r="D114" s="517">
        <f t="shared" si="1"/>
        <v>566.4888814290365</v>
      </c>
      <c r="E114" s="517">
        <f t="shared" si="1"/>
        <v>0</v>
      </c>
      <c r="F114" s="517">
        <f t="shared" si="1"/>
        <v>31</v>
      </c>
      <c r="G114" s="517">
        <v>720.50135238281246</v>
      </c>
      <c r="H114" s="517">
        <f t="shared" si="0"/>
        <v>11.510000228881836</v>
      </c>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row>
    <row r="115" spans="2:53" x14ac:dyDescent="0.2">
      <c r="B115" s="135"/>
      <c r="C115" s="518">
        <f>SUMPRODUCT(D2:H2,D115:H115)+C2</f>
        <v>11604180.044907171</v>
      </c>
      <c r="D115" s="517">
        <f t="shared" si="1"/>
        <v>353.36666531032984</v>
      </c>
      <c r="E115" s="517">
        <f t="shared" si="1"/>
        <v>0.35555556085374618</v>
      </c>
      <c r="F115" s="517">
        <f t="shared" si="1"/>
        <v>30</v>
      </c>
      <c r="G115" s="517">
        <v>721.27391238281245</v>
      </c>
      <c r="H115" s="517">
        <f t="shared" si="0"/>
        <v>13.279999732971191</v>
      </c>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row>
    <row r="116" spans="2:53" x14ac:dyDescent="0.2">
      <c r="B116" s="135"/>
      <c r="C116" s="518">
        <f>SUMPRODUCT(D2:H2,D116:H116)+C2</f>
        <v>11389899.880650934</v>
      </c>
      <c r="D116" s="517">
        <f t="shared" si="1"/>
        <v>161.65555657280817</v>
      </c>
      <c r="E116" s="517">
        <f t="shared" si="1"/>
        <v>14.688888861073387</v>
      </c>
      <c r="F116" s="517">
        <f t="shared" si="1"/>
        <v>31</v>
      </c>
      <c r="G116" s="517">
        <v>722.04647238281245</v>
      </c>
      <c r="H116" s="517">
        <f t="shared" si="0"/>
        <v>14.520000457763672</v>
      </c>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row>
    <row r="117" spans="2:53" x14ac:dyDescent="0.2">
      <c r="B117" s="135"/>
      <c r="C117" s="518">
        <f>SUMPRODUCT(D2:H2,D117:H117)+C2</f>
        <v>11151152.649083115</v>
      </c>
      <c r="D117" s="517">
        <f t="shared" si="1"/>
        <v>48.122221628824867</v>
      </c>
      <c r="E117" s="517">
        <f t="shared" si="1"/>
        <v>34.366666581895615</v>
      </c>
      <c r="F117" s="517">
        <f t="shared" si="1"/>
        <v>30</v>
      </c>
      <c r="G117" s="517">
        <v>722.81903238281257</v>
      </c>
      <c r="H117" s="517">
        <f t="shared" si="0"/>
        <v>15.350000381469727</v>
      </c>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row>
    <row r="118" spans="2:53" x14ac:dyDescent="0.2">
      <c r="B118" s="135"/>
      <c r="C118" s="518">
        <f>SUMPRODUCT(D2:H2,D118:H118)+C2</f>
        <v>12246917.849530984</v>
      </c>
      <c r="D118" s="517">
        <f t="shared" si="1"/>
        <v>15.911110699176788</v>
      </c>
      <c r="E118" s="517">
        <f t="shared" si="1"/>
        <v>82.111110263400604</v>
      </c>
      <c r="F118" s="517">
        <f t="shared" si="1"/>
        <v>31</v>
      </c>
      <c r="G118" s="517">
        <v>723.59159238281245</v>
      </c>
      <c r="H118" s="517">
        <f t="shared" si="0"/>
        <v>15.149999618530273</v>
      </c>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row>
    <row r="119" spans="2:53" x14ac:dyDescent="0.2">
      <c r="B119" s="135"/>
      <c r="C119" s="518">
        <f>SUMPRODUCT(D2:H2,D119:H119)+C2</f>
        <v>11818666.954321686</v>
      </c>
      <c r="D119" s="517">
        <f t="shared" si="1"/>
        <v>21.144444677564834</v>
      </c>
      <c r="E119" s="517">
        <f t="shared" si="1"/>
        <v>56.722221798366974</v>
      </c>
      <c r="F119" s="517">
        <f t="shared" si="1"/>
        <v>31</v>
      </c>
      <c r="G119" s="517">
        <v>724.36415238281256</v>
      </c>
      <c r="H119" s="517">
        <f t="shared" si="0"/>
        <v>14.029999732971191</v>
      </c>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row>
    <row r="120" spans="2:53" x14ac:dyDescent="0.2">
      <c r="B120" s="135"/>
      <c r="C120" s="518">
        <f>SUMPRODUCT(D2:H2,D120:H120)+C2</f>
        <v>11211044.514599798</v>
      </c>
      <c r="D120" s="517">
        <f t="shared" si="1"/>
        <v>100.1444452073839</v>
      </c>
      <c r="E120" s="517">
        <f t="shared" si="1"/>
        <v>18.877777735392254</v>
      </c>
      <c r="F120" s="517">
        <f t="shared" si="1"/>
        <v>30</v>
      </c>
      <c r="G120" s="517">
        <v>725.13671238281245</v>
      </c>
      <c r="H120" s="517">
        <f t="shared" si="0"/>
        <v>12.289999961853027</v>
      </c>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row>
    <row r="121" spans="2:53" x14ac:dyDescent="0.2">
      <c r="B121" s="135"/>
      <c r="C121" s="518">
        <f>SUMPRODUCT(D2:H2,D121:H121)+C2</f>
        <v>11756522.705536254</v>
      </c>
      <c r="D121" s="517">
        <f t="shared" si="1"/>
        <v>279.68889363606769</v>
      </c>
      <c r="E121" s="517">
        <f t="shared" si="1"/>
        <v>0.21111110846201578</v>
      </c>
      <c r="F121" s="517">
        <f t="shared" si="1"/>
        <v>31</v>
      </c>
      <c r="G121" s="517">
        <v>725.90927238281256</v>
      </c>
      <c r="H121" s="517">
        <f t="shared" si="0"/>
        <v>10.510000228881836</v>
      </c>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row>
    <row r="122" spans="2:53" x14ac:dyDescent="0.2">
      <c r="B122" s="135"/>
      <c r="C122" s="518">
        <f>SUMPRODUCT(D2:H2,D122:H122)+C2</f>
        <v>12152897.162660317</v>
      </c>
      <c r="D122" s="517">
        <f t="shared" si="1"/>
        <v>438.30000813802081</v>
      </c>
      <c r="E122" s="517">
        <f t="shared" si="1"/>
        <v>0</v>
      </c>
      <c r="F122" s="517">
        <f t="shared" si="1"/>
        <v>30</v>
      </c>
      <c r="G122" s="517">
        <v>726.68183238281244</v>
      </c>
      <c r="H122" s="517">
        <f t="shared" si="0"/>
        <v>9.2799997329711914</v>
      </c>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row>
    <row r="123" spans="2:53" x14ac:dyDescent="0.2">
      <c r="B123" s="135"/>
      <c r="C123" s="518">
        <f>SUMPRODUCT(D2:H2,D123:H123)+C2</f>
        <v>13048070.355867468</v>
      </c>
      <c r="D123" s="517">
        <f t="shared" si="1"/>
        <v>626.76841905381946</v>
      </c>
      <c r="E123" s="517">
        <f t="shared" si="1"/>
        <v>0</v>
      </c>
      <c r="F123" s="517">
        <f t="shared" si="1"/>
        <v>31</v>
      </c>
      <c r="G123" s="517">
        <v>727.45439238281256</v>
      </c>
      <c r="H123" s="517">
        <f t="shared" si="0"/>
        <v>8.4700002670288086</v>
      </c>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row>
    <row r="124" spans="2:53" x14ac:dyDescent="0.2">
      <c r="B124" s="135"/>
      <c r="C124" s="518">
        <f>SUMPRODUCT(D2:H2,D124:H124)+C2</f>
        <v>13484534.233974034</v>
      </c>
      <c r="D124" s="517">
        <f>AVERAGE(D16,D28,D40,D52,D64,D76,D88,D100,D112)</f>
        <v>768.60246144989389</v>
      </c>
      <c r="E124" s="517">
        <f t="shared" si="1"/>
        <v>0</v>
      </c>
      <c r="F124" s="517">
        <f t="shared" si="1"/>
        <v>31</v>
      </c>
      <c r="G124" s="517">
        <v>728.22695238281244</v>
      </c>
      <c r="H124" s="517">
        <f t="shared" si="0"/>
        <v>9.0900001525878906</v>
      </c>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row>
    <row r="125" spans="2:53" x14ac:dyDescent="0.2">
      <c r="B125" s="135"/>
      <c r="C125" s="518">
        <f>SUMPRODUCT(D2:H2,D125:H125)+C2</f>
        <v>12619328.412657369</v>
      </c>
      <c r="D125" s="517">
        <f t="shared" ref="D125:E125" si="2">AVERAGE(D17,D29,D41,D53,D65,D77,D89,D101,D113)</f>
        <v>703.17531331380212</v>
      </c>
      <c r="E125" s="517">
        <f t="shared" si="2"/>
        <v>0</v>
      </c>
      <c r="F125" s="517">
        <f t="shared" si="1"/>
        <v>28.25925925925926</v>
      </c>
      <c r="G125" s="517">
        <v>728.99951238281255</v>
      </c>
      <c r="H125" s="517">
        <f t="shared" si="0"/>
        <v>10.189999580383301</v>
      </c>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row>
    <row r="126" spans="2:53" x14ac:dyDescent="0.2">
      <c r="B126" s="135"/>
      <c r="C126" s="518">
        <f>SUMPRODUCT(D2:H2,D126:H126)+C2</f>
        <v>12612938.328692319</v>
      </c>
      <c r="D126" s="517">
        <f t="shared" ref="D126:E126" si="3">AVERAGE(D18,D30,D42,D54,D66,D78,D90,D102,D114)</f>
        <v>553.19875985604745</v>
      </c>
      <c r="E126" s="517">
        <f t="shared" si="3"/>
        <v>0</v>
      </c>
      <c r="F126" s="517">
        <f t="shared" si="1"/>
        <v>31</v>
      </c>
      <c r="G126" s="517">
        <v>729.77207238281244</v>
      </c>
      <c r="H126" s="517">
        <f t="shared" si="0"/>
        <v>11.510000228881836</v>
      </c>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row>
    <row r="127" spans="2:53" x14ac:dyDescent="0.2">
      <c r="B127" s="135"/>
      <c r="C127" s="518">
        <f>SUMPRODUCT(D2:H2,D127:H127)+C2</f>
        <v>11650958.71314327</v>
      </c>
      <c r="D127" s="517">
        <f t="shared" ref="D127:E127" si="4">AVERAGE(D19,D31,D43,D55,D67,D79,D91,D103,D115)</f>
        <v>359.52962880075717</v>
      </c>
      <c r="E127" s="517">
        <f t="shared" si="4"/>
        <v>0.39506173428194025</v>
      </c>
      <c r="F127" s="517">
        <f t="shared" si="1"/>
        <v>30</v>
      </c>
      <c r="G127" s="517">
        <v>730.54463238281255</v>
      </c>
      <c r="H127" s="517">
        <f t="shared" si="0"/>
        <v>13.279999732971191</v>
      </c>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row>
    <row r="128" spans="2:53" x14ac:dyDescent="0.2">
      <c r="B128" s="135"/>
      <c r="C128" s="518">
        <f>SUMPRODUCT(D2:H2,D128:H128)+C2</f>
        <v>11416834.962229617</v>
      </c>
      <c r="D128" s="517">
        <f t="shared" ref="D128:E128" si="5">AVERAGE(D20,D32,D44,D56,D68,D80,D92,D104,D116)</f>
        <v>152.60617329161843</v>
      </c>
      <c r="E128" s="517">
        <f t="shared" si="5"/>
        <v>16.243209846961648</v>
      </c>
      <c r="F128" s="517">
        <f t="shared" si="1"/>
        <v>31</v>
      </c>
      <c r="G128" s="517">
        <v>731.31719238281255</v>
      </c>
      <c r="H128" s="517">
        <f t="shared" si="0"/>
        <v>14.520000457763672</v>
      </c>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row>
    <row r="129" spans="2:53" x14ac:dyDescent="0.2">
      <c r="B129" s="135"/>
      <c r="C129" s="518">
        <f>SUMPRODUCT(D2:H2,D129:H129)+C2</f>
        <v>11136916.248241644</v>
      </c>
      <c r="D129" s="517">
        <f t="shared" ref="D129:E129" si="6">AVERAGE(D21,D33,D45,D57,D69,D81,D93,D105,D117)</f>
        <v>48.958024201569735</v>
      </c>
      <c r="E129" s="517">
        <f t="shared" si="6"/>
        <v>32.296296202106241</v>
      </c>
      <c r="F129" s="517">
        <f t="shared" si="1"/>
        <v>30</v>
      </c>
      <c r="G129" s="517">
        <v>732.08975238281255</v>
      </c>
      <c r="H129" s="517">
        <f t="shared" si="0"/>
        <v>15.350000381469727</v>
      </c>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row>
    <row r="130" spans="2:53" x14ac:dyDescent="0.2">
      <c r="B130" s="135"/>
      <c r="C130" s="518">
        <f>SUMPRODUCT(D2:H2,D130:H130)+C2</f>
        <v>12289728.429530004</v>
      </c>
      <c r="D130" s="517">
        <f t="shared" ref="D130:E130" si="7">AVERAGE(D22,D34,D46,D58,D70,D82,D94,D106,D118)</f>
        <v>16.834567454126145</v>
      </c>
      <c r="E130" s="517">
        <f t="shared" si="7"/>
        <v>82.812344398027591</v>
      </c>
      <c r="F130" s="517">
        <f t="shared" si="1"/>
        <v>31</v>
      </c>
      <c r="G130" s="517">
        <v>732.86231238281255</v>
      </c>
      <c r="H130" s="517">
        <f t="shared" si="0"/>
        <v>15.149999618530273</v>
      </c>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row>
    <row r="131" spans="2:53" x14ac:dyDescent="0.2">
      <c r="B131" s="135"/>
      <c r="C131" s="518">
        <f>SUMPRODUCT(D2:H2,D131:H131)+C2</f>
        <v>11900374.080057522</v>
      </c>
      <c r="D131" s="517">
        <f t="shared" ref="D131:E131" si="8">AVERAGE(D23,D35,D47,D59,D71,D83,D95,D107,D119)</f>
        <v>19.471605112523207</v>
      </c>
      <c r="E131" s="517">
        <f t="shared" si="8"/>
        <v>59.746913109296628</v>
      </c>
      <c r="F131" s="517">
        <f t="shared" si="1"/>
        <v>31</v>
      </c>
      <c r="G131" s="517">
        <v>733.63487238281255</v>
      </c>
      <c r="H131" s="517">
        <f t="shared" si="0"/>
        <v>14.029999732971191</v>
      </c>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row>
    <row r="132" spans="2:53" x14ac:dyDescent="0.2">
      <c r="B132" s="135"/>
      <c r="C132" s="518">
        <f>SUMPRODUCT(D2:H2,D132:H132)+C2</f>
        <v>11254636.67708583</v>
      </c>
      <c r="D132" s="517">
        <f t="shared" ref="D132:E132" si="9">AVERAGE(D24,D36,D48,D60,D72,D84,D96,D108,D120)</f>
        <v>100.91605056951076</v>
      </c>
      <c r="E132" s="517">
        <f t="shared" si="9"/>
        <v>19.641975261546946</v>
      </c>
      <c r="F132" s="517">
        <f t="shared" si="1"/>
        <v>30</v>
      </c>
      <c r="G132" s="517">
        <v>734.40743238281254</v>
      </c>
      <c r="H132" s="517">
        <f t="shared" si="0"/>
        <v>12.289999961853027</v>
      </c>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row>
    <row r="133" spans="2:53" x14ac:dyDescent="0.2">
      <c r="B133" s="135"/>
      <c r="C133" s="518">
        <f>SUMPRODUCT(D2:H2,D133:H133)+C2</f>
        <v>11765273.85199791</v>
      </c>
      <c r="D133" s="517">
        <f t="shared" ref="D133:E133" si="10">AVERAGE(D25,D37,D49,D61,D73,D85,D97,D109,D121)</f>
        <v>274.57654712818288</v>
      </c>
      <c r="E133" s="517">
        <f t="shared" si="10"/>
        <v>0.23456789829112865</v>
      </c>
      <c r="F133" s="517">
        <f t="shared" si="1"/>
        <v>31</v>
      </c>
      <c r="G133" s="517">
        <v>735.17999238281254</v>
      </c>
      <c r="H133" s="517">
        <f t="shared" si="0"/>
        <v>10.510000228881836</v>
      </c>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row>
    <row r="134" spans="2:53" x14ac:dyDescent="0.2">
      <c r="B134" s="135"/>
      <c r="C134" s="518">
        <f>SUMPRODUCT(D2:H2,D134:H134)+C2</f>
        <v>12155451.033524811</v>
      </c>
      <c r="D134" s="517">
        <f t="shared" ref="D134:E134" si="11">AVERAGE(D26,D38,D50,D62,D74,D86,D98,D110,D122)</f>
        <v>431.47778546368636</v>
      </c>
      <c r="E134" s="517">
        <f t="shared" si="11"/>
        <v>0</v>
      </c>
      <c r="F134" s="517">
        <f t="shared" si="1"/>
        <v>30</v>
      </c>
      <c r="G134" s="517">
        <v>735.95255238281254</v>
      </c>
      <c r="H134" s="517">
        <f t="shared" si="0"/>
        <v>9.2799997329711914</v>
      </c>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row>
    <row r="135" spans="2:53" x14ac:dyDescent="0.2">
      <c r="B135" s="135"/>
      <c r="C135" s="518">
        <f>SUMPRODUCT(D2:H2,D135:H135)+C2</f>
        <v>13048457.802764541</v>
      </c>
      <c r="D135" s="517">
        <f t="shared" ref="D135:E135" si="12">AVERAGE(D27,D39,D51,D63,D75,D87,D99,D111,D123)</f>
        <v>619.29824339313268</v>
      </c>
      <c r="E135" s="517">
        <f t="shared" si="12"/>
        <v>0</v>
      </c>
      <c r="F135" s="517">
        <f t="shared" si="1"/>
        <v>31</v>
      </c>
      <c r="G135" s="517">
        <v>736.72511238281254</v>
      </c>
      <c r="H135" s="517">
        <f t="shared" si="0"/>
        <v>8.4700002670288086</v>
      </c>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row>
    <row r="136" spans="2:53" x14ac:dyDescent="0.2">
      <c r="B136" s="135"/>
      <c r="C136" s="136"/>
      <c r="D136" s="402"/>
      <c r="E136" s="402"/>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row>
    <row r="137" spans="2:53" x14ac:dyDescent="0.2">
      <c r="B137" s="135"/>
      <c r="C137" s="136"/>
      <c r="D137" s="402"/>
      <c r="E137" s="402"/>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row>
    <row r="138" spans="2:53" x14ac:dyDescent="0.2">
      <c r="B138" s="135"/>
      <c r="C138" s="136"/>
      <c r="D138" s="402"/>
      <c r="E138" s="402"/>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row>
    <row r="139" spans="2:53" x14ac:dyDescent="0.2">
      <c r="B139" s="135"/>
      <c r="C139" s="136"/>
      <c r="D139" s="402"/>
      <c r="E139" s="402"/>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row>
    <row r="140" spans="2:53" x14ac:dyDescent="0.2">
      <c r="B140" s="135"/>
      <c r="C140" s="136"/>
      <c r="D140" s="402"/>
      <c r="E140" s="402"/>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row>
    <row r="141" spans="2:53" x14ac:dyDescent="0.2">
      <c r="B141" s="135"/>
      <c r="C141" s="136"/>
      <c r="D141" s="402"/>
      <c r="E141" s="402"/>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row>
    <row r="142" spans="2:53" x14ac:dyDescent="0.2">
      <c r="B142" s="135"/>
      <c r="C142" s="136"/>
      <c r="D142" s="402"/>
      <c r="E142" s="402"/>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row>
    <row r="143" spans="2:53" x14ac:dyDescent="0.2">
      <c r="B143" s="135"/>
      <c r="C143" s="136"/>
      <c r="D143" s="402"/>
      <c r="E143" s="402"/>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row>
    <row r="144" spans="2:53" x14ac:dyDescent="0.2">
      <c r="B144" s="135"/>
      <c r="C144" s="136"/>
      <c r="D144" s="402"/>
      <c r="E144" s="402"/>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row>
    <row r="145" spans="2:53" x14ac:dyDescent="0.2">
      <c r="B145" s="135"/>
      <c r="C145" s="136"/>
      <c r="D145" s="402"/>
      <c r="E145" s="402"/>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row>
    <row r="146" spans="2:53" x14ac:dyDescent="0.2">
      <c r="B146" s="135"/>
      <c r="C146" s="136"/>
      <c r="D146" s="402"/>
      <c r="E146" s="402"/>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row>
    <row r="147" spans="2:53" x14ac:dyDescent="0.2">
      <c r="B147" s="135"/>
      <c r="C147" s="136"/>
      <c r="D147" s="402"/>
      <c r="E147" s="402"/>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row>
    <row r="148" spans="2:53" x14ac:dyDescent="0.2">
      <c r="B148" s="135"/>
      <c r="C148" s="136"/>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row>
    <row r="149" spans="2:53" x14ac:dyDescent="0.2">
      <c r="B149" s="135"/>
      <c r="C149" s="136"/>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row>
    <row r="150" spans="2:53" x14ac:dyDescent="0.2">
      <c r="B150" s="135"/>
      <c r="C150" s="136"/>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row>
    <row r="151" spans="2:53" x14ac:dyDescent="0.2">
      <c r="B151" s="135"/>
      <c r="C151" s="136"/>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row>
    <row r="152" spans="2:53" x14ac:dyDescent="0.2">
      <c r="B152" s="135"/>
      <c r="C152" s="136"/>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row>
    <row r="153" spans="2:53" x14ac:dyDescent="0.2">
      <c r="B153" s="135"/>
      <c r="C153" s="136"/>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row>
    <row r="154" spans="2:53" x14ac:dyDescent="0.2">
      <c r="B154" s="135"/>
      <c r="C154" s="136"/>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row>
    <row r="155" spans="2:53" x14ac:dyDescent="0.2">
      <c r="B155" s="135"/>
      <c r="C155" s="136"/>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row>
    <row r="156" spans="2:53" x14ac:dyDescent="0.2">
      <c r="B156" s="135"/>
      <c r="C156" s="136"/>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row>
    <row r="157" spans="2:53" x14ac:dyDescent="0.2">
      <c r="B157" s="135"/>
      <c r="C157" s="136"/>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row>
    <row r="158" spans="2:53" x14ac:dyDescent="0.2">
      <c r="B158" s="135"/>
      <c r="C158" s="136"/>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row>
    <row r="159" spans="2:53" x14ac:dyDescent="0.2">
      <c r="B159" s="135"/>
      <c r="C159" s="136"/>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row>
    <row r="160" spans="2:53" x14ac:dyDescent="0.2">
      <c r="B160" s="135"/>
      <c r="C160" s="136"/>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row>
    <row r="161" spans="2:53" x14ac:dyDescent="0.2">
      <c r="B161" s="135"/>
      <c r="C161" s="136"/>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row>
    <row r="162" spans="2:53" x14ac:dyDescent="0.2">
      <c r="B162" s="135"/>
      <c r="C162" s="136"/>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row>
    <row r="163" spans="2:53" x14ac:dyDescent="0.2">
      <c r="B163" s="135"/>
      <c r="C163" s="136"/>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row>
    <row r="164" spans="2:53" x14ac:dyDescent="0.2">
      <c r="B164" s="135"/>
      <c r="C164" s="136"/>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row>
    <row r="165" spans="2:53" x14ac:dyDescent="0.2">
      <c r="B165" s="135"/>
      <c r="C165" s="136"/>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row>
    <row r="166" spans="2:53" x14ac:dyDescent="0.2">
      <c r="B166" s="135"/>
      <c r="C166" s="136"/>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row>
    <row r="167" spans="2:53" x14ac:dyDescent="0.2">
      <c r="B167" s="135"/>
      <c r="C167" s="136"/>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row>
    <row r="168" spans="2:53" x14ac:dyDescent="0.2">
      <c r="B168" s="135"/>
      <c r="C168" s="136"/>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row>
    <row r="169" spans="2:53" x14ac:dyDescent="0.2">
      <c r="B169" s="135"/>
      <c r="C169" s="136"/>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row>
    <row r="170" spans="2:53" x14ac:dyDescent="0.2">
      <c r="B170" s="135"/>
      <c r="C170" s="136"/>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row>
    <row r="171" spans="2:53" x14ac:dyDescent="0.2">
      <c r="B171" s="135"/>
      <c r="C171" s="136"/>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row>
    <row r="172" spans="2:53" x14ac:dyDescent="0.2">
      <c r="B172" s="135"/>
      <c r="C172" s="136"/>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row>
    <row r="173" spans="2:53" x14ac:dyDescent="0.2">
      <c r="B173" s="135"/>
      <c r="C173" s="136"/>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row>
    <row r="174" spans="2:53" x14ac:dyDescent="0.2">
      <c r="B174" s="135"/>
      <c r="C174" s="136"/>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row>
    <row r="175" spans="2:53" x14ac:dyDescent="0.2">
      <c r="B175" s="135"/>
      <c r="C175" s="136"/>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row>
    <row r="176" spans="2:53" x14ac:dyDescent="0.2">
      <c r="B176" s="135"/>
      <c r="C176" s="136"/>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row>
    <row r="177" spans="2:53" x14ac:dyDescent="0.2">
      <c r="B177" s="135"/>
      <c r="C177" s="136"/>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row>
    <row r="178" spans="2:53" x14ac:dyDescent="0.2">
      <c r="B178" s="135"/>
      <c r="C178" s="136"/>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row>
    <row r="179" spans="2:53" x14ac:dyDescent="0.2">
      <c r="B179" s="135"/>
      <c r="C179" s="136"/>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row>
    <row r="180" spans="2:53" x14ac:dyDescent="0.2">
      <c r="B180" s="135"/>
      <c r="C180" s="136"/>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row>
    <row r="181" spans="2:53" x14ac:dyDescent="0.2">
      <c r="B181" s="135"/>
      <c r="C181" s="136"/>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row>
    <row r="182" spans="2:53" x14ac:dyDescent="0.2">
      <c r="B182" s="135"/>
      <c r="C182" s="136"/>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row>
    <row r="183" spans="2:53" x14ac:dyDescent="0.2">
      <c r="B183" s="135"/>
      <c r="C183" s="136"/>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row>
    <row r="184" spans="2:53" x14ac:dyDescent="0.2">
      <c r="B184" s="135"/>
      <c r="C184" s="136"/>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row>
    <row r="185" spans="2:53" x14ac:dyDescent="0.2">
      <c r="B185" s="135"/>
      <c r="C185" s="136"/>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row>
    <row r="186" spans="2:53" x14ac:dyDescent="0.2">
      <c r="B186" s="135"/>
      <c r="C186" s="136"/>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row>
    <row r="187" spans="2:53" x14ac:dyDescent="0.2">
      <c r="B187" s="135"/>
      <c r="C187" s="136"/>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row>
    <row r="188" spans="2:53" x14ac:dyDescent="0.2">
      <c r="B188" s="135"/>
      <c r="C188" s="136"/>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row>
    <row r="189" spans="2:53" x14ac:dyDescent="0.2">
      <c r="B189" s="135"/>
      <c r="C189" s="136"/>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row>
    <row r="190" spans="2:53" x14ac:dyDescent="0.2">
      <c r="B190" s="135"/>
      <c r="C190" s="136"/>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row>
    <row r="191" spans="2:53" x14ac:dyDescent="0.2">
      <c r="B191" s="135"/>
      <c r="C191" s="136"/>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row>
    <row r="192" spans="2:53" x14ac:dyDescent="0.2">
      <c r="B192" s="135"/>
      <c r="C192" s="136"/>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row>
    <row r="193" spans="2:53" x14ac:dyDescent="0.2">
      <c r="B193" s="135"/>
      <c r="C193" s="136"/>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row>
    <row r="194" spans="2:53" x14ac:dyDescent="0.2">
      <c r="B194" s="135"/>
      <c r="C194" s="136"/>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row>
    <row r="195" spans="2:53" x14ac:dyDescent="0.2">
      <c r="B195" s="135"/>
      <c r="C195" s="136"/>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row>
    <row r="196" spans="2:53" x14ac:dyDescent="0.2">
      <c r="B196" s="135"/>
      <c r="C196" s="136"/>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row>
    <row r="197" spans="2:53" x14ac:dyDescent="0.2">
      <c r="B197" s="135"/>
      <c r="C197" s="136"/>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row>
    <row r="198" spans="2:53" x14ac:dyDescent="0.2">
      <c r="B198" s="135"/>
      <c r="C198" s="136"/>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row>
    <row r="199" spans="2:53" x14ac:dyDescent="0.2">
      <c r="B199" s="135"/>
      <c r="C199" s="136"/>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row>
    <row r="200" spans="2:53" x14ac:dyDescent="0.2">
      <c r="B200" s="135"/>
      <c r="C200" s="136"/>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row>
    <row r="201" spans="2:53" x14ac:dyDescent="0.2">
      <c r="B201" s="135"/>
      <c r="C201" s="136"/>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row>
    <row r="202" spans="2:53" x14ac:dyDescent="0.2">
      <c r="B202" s="135"/>
      <c r="C202" s="136"/>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row>
    <row r="203" spans="2:53" x14ac:dyDescent="0.2">
      <c r="B203" s="135"/>
      <c r="C203" s="136"/>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row>
    <row r="204" spans="2:53" x14ac:dyDescent="0.2">
      <c r="B204" s="135"/>
      <c r="C204" s="136"/>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row>
    <row r="205" spans="2:53" x14ac:dyDescent="0.2">
      <c r="B205" s="135"/>
      <c r="C205" s="136"/>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row>
    <row r="206" spans="2:53" x14ac:dyDescent="0.2">
      <c r="B206" s="135"/>
      <c r="C206" s="136"/>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row>
    <row r="207" spans="2:53" x14ac:dyDescent="0.2">
      <c r="B207" s="135"/>
      <c r="C207" s="136"/>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row>
    <row r="208" spans="2:53" x14ac:dyDescent="0.2">
      <c r="B208" s="135"/>
      <c r="C208" s="136"/>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row>
    <row r="209" spans="2:53" x14ac:dyDescent="0.2">
      <c r="B209" s="135"/>
      <c r="C209" s="136"/>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row>
    <row r="210" spans="2:53" x14ac:dyDescent="0.2">
      <c r="B210" s="135"/>
      <c r="C210" s="136"/>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row>
    <row r="211" spans="2:53" x14ac:dyDescent="0.2">
      <c r="B211" s="135"/>
      <c r="C211" s="136"/>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row>
    <row r="212" spans="2:53" x14ac:dyDescent="0.2">
      <c r="B212" s="135"/>
      <c r="C212" s="136"/>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row>
    <row r="213" spans="2:53" x14ac:dyDescent="0.2">
      <c r="B213" s="135"/>
      <c r="C213" s="136"/>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row>
    <row r="214" spans="2:53" x14ac:dyDescent="0.2">
      <c r="B214" s="135"/>
      <c r="C214" s="136"/>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row>
    <row r="215" spans="2:53" x14ac:dyDescent="0.2">
      <c r="B215" s="135"/>
      <c r="C215" s="136"/>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row>
    <row r="216" spans="2:53" x14ac:dyDescent="0.2">
      <c r="B216" s="135"/>
      <c r="C216" s="136"/>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row>
    <row r="217" spans="2:53" x14ac:dyDescent="0.2">
      <c r="B217" s="135"/>
      <c r="C217" s="136"/>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row>
    <row r="218" spans="2:53" x14ac:dyDescent="0.2">
      <c r="B218" s="135"/>
      <c r="C218" s="136"/>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row>
    <row r="219" spans="2:53" x14ac:dyDescent="0.2">
      <c r="B219" s="135"/>
      <c r="C219" s="136"/>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row>
    <row r="220" spans="2:53" x14ac:dyDescent="0.2">
      <c r="B220" s="135"/>
      <c r="C220" s="136"/>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row>
    <row r="221" spans="2:53" x14ac:dyDescent="0.2">
      <c r="B221" s="135"/>
      <c r="C221" s="136"/>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row>
    <row r="222" spans="2:53" x14ac:dyDescent="0.2">
      <c r="B222" s="135"/>
      <c r="C222" s="136"/>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row>
    <row r="223" spans="2:53" x14ac:dyDescent="0.2">
      <c r="B223" s="135"/>
      <c r="C223" s="136"/>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row>
    <row r="224" spans="2:53" x14ac:dyDescent="0.2">
      <c r="B224" s="135"/>
      <c r="C224" s="136"/>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row>
    <row r="225" spans="2:53" x14ac:dyDescent="0.2">
      <c r="B225" s="135"/>
      <c r="C225" s="136"/>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row>
    <row r="226" spans="2:53" x14ac:dyDescent="0.2">
      <c r="B226" s="135"/>
      <c r="C226" s="136"/>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row>
    <row r="227" spans="2:53" x14ac:dyDescent="0.2">
      <c r="B227" s="135"/>
      <c r="C227" s="136"/>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row>
    <row r="228" spans="2:53" x14ac:dyDescent="0.2">
      <c r="B228" s="135"/>
      <c r="C228" s="136"/>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row>
    <row r="229" spans="2:53" x14ac:dyDescent="0.2">
      <c r="B229" s="135"/>
      <c r="C229" s="136"/>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row>
    <row r="230" spans="2:53" x14ac:dyDescent="0.2">
      <c r="B230" s="135"/>
      <c r="C230" s="136"/>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row>
    <row r="231" spans="2:53" x14ac:dyDescent="0.2">
      <c r="B231" s="135"/>
      <c r="C231" s="136"/>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row>
    <row r="232" spans="2:53" x14ac:dyDescent="0.2">
      <c r="B232" s="135"/>
      <c r="C232" s="136"/>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row>
    <row r="233" spans="2:53" x14ac:dyDescent="0.2">
      <c r="B233" s="135"/>
      <c r="C233" s="136"/>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row>
    <row r="234" spans="2:53" x14ac:dyDescent="0.2">
      <c r="B234" s="135"/>
      <c r="C234" s="136"/>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row>
    <row r="235" spans="2:53" x14ac:dyDescent="0.2">
      <c r="B235" s="135"/>
      <c r="C235" s="136"/>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row>
    <row r="236" spans="2:53" x14ac:dyDescent="0.2">
      <c r="B236" s="135"/>
      <c r="C236" s="136"/>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row>
    <row r="237" spans="2:53" x14ac:dyDescent="0.2">
      <c r="B237" s="135"/>
      <c r="C237" s="136"/>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row>
    <row r="238" spans="2:53" x14ac:dyDescent="0.2">
      <c r="B238" s="135"/>
      <c r="C238" s="136"/>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row>
    <row r="239" spans="2:53" x14ac:dyDescent="0.2">
      <c r="B239" s="135"/>
      <c r="C239" s="136"/>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row>
    <row r="240" spans="2:53" x14ac:dyDescent="0.2">
      <c r="B240" s="135"/>
      <c r="C240" s="136"/>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row>
    <row r="241" spans="2:53" x14ac:dyDescent="0.2">
      <c r="B241" s="135"/>
      <c r="C241" s="136"/>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row>
    <row r="242" spans="2:53" x14ac:dyDescent="0.2">
      <c r="B242" s="135"/>
      <c r="C242" s="136"/>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row>
    <row r="243" spans="2:53" x14ac:dyDescent="0.2">
      <c r="B243" s="135"/>
      <c r="C243" s="136"/>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row>
    <row r="244" spans="2:53" x14ac:dyDescent="0.2">
      <c r="B244" s="135"/>
      <c r="C244" s="136"/>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row>
    <row r="245" spans="2:53" x14ac:dyDescent="0.2">
      <c r="B245" s="135"/>
      <c r="C245" s="136"/>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row>
    <row r="246" spans="2:53" x14ac:dyDescent="0.2">
      <c r="B246" s="135"/>
      <c r="C246" s="136"/>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row>
    <row r="247" spans="2:53" x14ac:dyDescent="0.2">
      <c r="B247" s="135"/>
      <c r="C247" s="136"/>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row>
    <row r="248" spans="2:53" x14ac:dyDescent="0.2">
      <c r="B248" s="135"/>
      <c r="C248" s="136"/>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row>
    <row r="249" spans="2:53" x14ac:dyDescent="0.2">
      <c r="B249" s="135"/>
      <c r="C249" s="136"/>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row>
    <row r="250" spans="2:53" x14ac:dyDescent="0.2">
      <c r="B250" s="135"/>
      <c r="C250" s="136"/>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row>
    <row r="251" spans="2:53" x14ac:dyDescent="0.2">
      <c r="B251" s="135"/>
      <c r="C251" s="136"/>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row>
    <row r="252" spans="2:53" x14ac:dyDescent="0.2">
      <c r="B252" s="135"/>
      <c r="C252" s="136"/>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row>
    <row r="253" spans="2:53" x14ac:dyDescent="0.2">
      <c r="B253" s="135"/>
      <c r="C253" s="136"/>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row>
  </sheetData>
  <sheetProtection selectLockedCells="1" selectUnlockedCells="1"/>
  <mergeCells count="1">
    <mergeCell ref="B1:D1"/>
  </mergeCells>
  <phoneticPr fontId="0" type="noConversion"/>
  <printOptions horizontalCentered="1"/>
  <pageMargins left="0.75" right="0.75" top="1" bottom="1" header="0.5" footer="0.5"/>
  <pageSetup fitToHeight="4" orientation="portrait" horizontalDpi="360" verticalDpi="36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Q101"/>
  <sheetViews>
    <sheetView showGridLines="0" workbookViewId="0">
      <pane xSplit="1" ySplit="1" topLeftCell="B2" activePane="bottomRight" state="frozen"/>
      <selection pane="topRight" activeCell="B1" sqref="B1"/>
      <selection pane="bottomLeft" activeCell="A2" sqref="A2"/>
      <selection pane="bottomRight" activeCell="A100" sqref="A100"/>
    </sheetView>
  </sheetViews>
  <sheetFormatPr defaultColWidth="9.33203125" defaultRowHeight="12.75" x14ac:dyDescent="0.2"/>
  <cols>
    <col min="1" max="21" width="9.33203125" style="12"/>
    <col min="22" max="22" width="2.5" style="12" customWidth="1"/>
    <col min="23" max="16384" width="9.33203125" style="12"/>
  </cols>
  <sheetData>
    <row r="1" spans="1:43" x14ac:dyDescent="0.2">
      <c r="A1" s="13" t="s">
        <v>26</v>
      </c>
      <c r="B1" s="14">
        <v>2</v>
      </c>
      <c r="C1" s="14">
        <v>3</v>
      </c>
      <c r="D1" s="14">
        <v>4</v>
      </c>
      <c r="E1" s="14">
        <v>5</v>
      </c>
      <c r="F1" s="14">
        <v>6</v>
      </c>
      <c r="G1" s="14">
        <v>7</v>
      </c>
      <c r="H1" s="14">
        <v>8</v>
      </c>
      <c r="I1" s="14">
        <v>9</v>
      </c>
      <c r="J1" s="14">
        <v>10</v>
      </c>
      <c r="K1" s="14">
        <v>11</v>
      </c>
      <c r="L1" s="14">
        <v>12</v>
      </c>
      <c r="M1" s="14">
        <v>13</v>
      </c>
      <c r="N1" s="14">
        <v>14</v>
      </c>
      <c r="O1" s="14">
        <v>15</v>
      </c>
      <c r="P1" s="14">
        <v>16</v>
      </c>
      <c r="Q1" s="14">
        <v>17</v>
      </c>
      <c r="R1" s="14">
        <v>18</v>
      </c>
      <c r="S1" s="14">
        <v>19</v>
      </c>
      <c r="T1" s="14">
        <v>20</v>
      </c>
      <c r="U1" s="15">
        <v>21</v>
      </c>
      <c r="W1" s="13" t="s">
        <v>25</v>
      </c>
      <c r="X1" s="14">
        <v>2</v>
      </c>
      <c r="Y1" s="14">
        <v>3</v>
      </c>
      <c r="Z1" s="14">
        <v>4</v>
      </c>
      <c r="AA1" s="14">
        <v>5</v>
      </c>
      <c r="AB1" s="14">
        <v>6</v>
      </c>
      <c r="AC1" s="14">
        <v>7</v>
      </c>
      <c r="AD1" s="14">
        <v>8</v>
      </c>
      <c r="AE1" s="14">
        <v>9</v>
      </c>
      <c r="AF1" s="14">
        <v>10</v>
      </c>
      <c r="AG1" s="14">
        <v>11</v>
      </c>
      <c r="AH1" s="14">
        <v>12</v>
      </c>
      <c r="AI1" s="14">
        <v>13</v>
      </c>
      <c r="AJ1" s="14">
        <v>14</v>
      </c>
      <c r="AK1" s="14">
        <v>15</v>
      </c>
      <c r="AL1" s="14">
        <v>16</v>
      </c>
      <c r="AM1" s="14">
        <v>17</v>
      </c>
      <c r="AN1" s="14">
        <v>18</v>
      </c>
      <c r="AO1" s="14">
        <v>19</v>
      </c>
      <c r="AP1" s="14">
        <v>20</v>
      </c>
      <c r="AQ1" s="15">
        <v>21</v>
      </c>
    </row>
    <row r="2" spans="1:43" x14ac:dyDescent="0.2">
      <c r="A2" s="16">
        <v>5</v>
      </c>
      <c r="B2" s="18">
        <v>0.61017999999999994</v>
      </c>
      <c r="C2" s="18">
        <v>0.46722999999999998</v>
      </c>
      <c r="D2" s="18">
        <v>0.36743999999999999</v>
      </c>
      <c r="E2" s="18">
        <v>0.29570999999999997</v>
      </c>
      <c r="F2" s="18">
        <v>0.24268999999999999</v>
      </c>
      <c r="G2" s="18">
        <v>0.20252999999999999</v>
      </c>
      <c r="H2" s="18">
        <v>0.17144000000000001</v>
      </c>
      <c r="I2" s="18">
        <v>0.14693000000000001</v>
      </c>
      <c r="J2" s="18">
        <v>0.12726000000000001</v>
      </c>
      <c r="K2" s="18">
        <v>0.11126999999999999</v>
      </c>
      <c r="L2" s="18">
        <v>9.8089999999999997E-2</v>
      </c>
      <c r="M2" s="18">
        <v>8.7110000000000007E-2</v>
      </c>
      <c r="N2" s="18">
        <v>7.7859999999999999E-2</v>
      </c>
      <c r="O2" s="18">
        <v>7.0010000000000003E-2</v>
      </c>
      <c r="P2" s="18">
        <v>6.3270000000000007E-2</v>
      </c>
      <c r="Q2" s="18">
        <v>5.747E-2</v>
      </c>
      <c r="R2" s="18">
        <v>5.2420000000000001E-2</v>
      </c>
      <c r="S2" s="18">
        <v>4.8009999999999997E-2</v>
      </c>
      <c r="T2" s="18">
        <v>4.4130000000000003E-2</v>
      </c>
      <c r="U2" s="19">
        <v>4.07E-2</v>
      </c>
      <c r="W2" s="16">
        <v>5</v>
      </c>
      <c r="X2" s="18">
        <v>1.3198799999999999</v>
      </c>
      <c r="Y2" s="18">
        <v>1.69926</v>
      </c>
      <c r="Z2" s="18">
        <v>2.1281599999999998</v>
      </c>
      <c r="AA2" s="18">
        <v>2.5880999999999998</v>
      </c>
      <c r="AB2" s="18">
        <v>2.2959299999999998</v>
      </c>
      <c r="AC2" s="18">
        <v>2.57158</v>
      </c>
      <c r="AD2" s="18">
        <v>2.8476900000000001</v>
      </c>
      <c r="AE2" s="18">
        <v>3.1112099999999998</v>
      </c>
      <c r="AF2" s="18">
        <v>3.3603800000000001</v>
      </c>
      <c r="AG2" s="18">
        <v>2.9739900000000001</v>
      </c>
      <c r="AH2" s="18">
        <v>3.1593</v>
      </c>
      <c r="AI2" s="18">
        <v>3.3348100000000001</v>
      </c>
      <c r="AJ2" s="18">
        <v>3.49566</v>
      </c>
      <c r="AK2" s="18">
        <v>3.6424099999999999</v>
      </c>
      <c r="AL2" s="18">
        <v>3.327</v>
      </c>
      <c r="AM2" s="18">
        <v>3.4540199999999999</v>
      </c>
      <c r="AN2" s="18">
        <v>3.5716700000000001</v>
      </c>
      <c r="AO2" s="18">
        <v>3.6776900000000001</v>
      </c>
      <c r="AP2" s="18">
        <v>3.7729699999999999</v>
      </c>
      <c r="AQ2" s="19">
        <v>3.52786</v>
      </c>
    </row>
    <row r="3" spans="1:43" x14ac:dyDescent="0.2">
      <c r="A3" s="16">
        <v>10</v>
      </c>
      <c r="B3" s="18">
        <v>0.87912999999999997</v>
      </c>
      <c r="C3" s="18">
        <v>0.69715000000000005</v>
      </c>
      <c r="D3" s="18">
        <v>0.52534000000000003</v>
      </c>
      <c r="E3" s="18">
        <v>0.37602000000000002</v>
      </c>
      <c r="F3" s="18">
        <v>0.24268999999999999</v>
      </c>
      <c r="G3" s="18">
        <v>0.20252999999999999</v>
      </c>
      <c r="H3" s="18">
        <v>0.17144000000000001</v>
      </c>
      <c r="I3" s="18">
        <v>0.14693000000000001</v>
      </c>
      <c r="J3" s="18">
        <v>0.12726000000000001</v>
      </c>
      <c r="K3" s="18">
        <v>0.11126999999999999</v>
      </c>
      <c r="L3" s="18">
        <v>9.8089999999999997E-2</v>
      </c>
      <c r="M3" s="18">
        <v>8.7110000000000007E-2</v>
      </c>
      <c r="N3" s="18">
        <v>7.7859999999999999E-2</v>
      </c>
      <c r="O3" s="18">
        <v>7.0010000000000003E-2</v>
      </c>
      <c r="P3" s="18">
        <v>6.3270000000000007E-2</v>
      </c>
      <c r="Q3" s="18">
        <v>5.747E-2</v>
      </c>
      <c r="R3" s="18">
        <v>5.2420000000000001E-2</v>
      </c>
      <c r="S3" s="18">
        <v>4.8009999999999997E-2</v>
      </c>
      <c r="T3" s="18">
        <v>4.4130000000000003E-2</v>
      </c>
      <c r="U3" s="19">
        <v>4.07E-2</v>
      </c>
      <c r="W3" s="16">
        <v>10</v>
      </c>
      <c r="X3" s="18">
        <v>1.3197099999999999</v>
      </c>
      <c r="Y3" s="18">
        <v>1.5506599999999999</v>
      </c>
      <c r="Z3" s="18">
        <v>1.7788200000000001</v>
      </c>
      <c r="AA3" s="18">
        <v>2.02955</v>
      </c>
      <c r="AB3" s="18">
        <v>2.2959299999999998</v>
      </c>
      <c r="AC3" s="18">
        <v>2.57158</v>
      </c>
      <c r="AD3" s="18">
        <v>2.8476900000000001</v>
      </c>
      <c r="AE3" s="18">
        <v>3.1112099999999998</v>
      </c>
      <c r="AF3" s="18">
        <v>3.3603800000000001</v>
      </c>
      <c r="AG3" s="18">
        <v>2.9739900000000001</v>
      </c>
      <c r="AH3" s="18">
        <v>3.1593</v>
      </c>
      <c r="AI3" s="18">
        <v>3.3348100000000001</v>
      </c>
      <c r="AJ3" s="18">
        <v>3.49566</v>
      </c>
      <c r="AK3" s="18">
        <v>3.6424099999999999</v>
      </c>
      <c r="AL3" s="18">
        <v>3.327</v>
      </c>
      <c r="AM3" s="18">
        <v>3.4540199999999999</v>
      </c>
      <c r="AN3" s="18">
        <v>3.5716700000000001</v>
      </c>
      <c r="AO3" s="18">
        <v>3.6776900000000001</v>
      </c>
      <c r="AP3" s="18">
        <v>3.7729699999999999</v>
      </c>
      <c r="AQ3" s="19">
        <v>3.52786</v>
      </c>
    </row>
    <row r="4" spans="1:43" x14ac:dyDescent="0.2">
      <c r="A4" s="16">
        <v>15</v>
      </c>
      <c r="B4" s="18">
        <v>1.07697</v>
      </c>
      <c r="C4" s="18">
        <v>0.94554000000000005</v>
      </c>
      <c r="D4" s="18">
        <v>0.81396000000000002</v>
      </c>
      <c r="E4" s="18">
        <v>0.68518999999999997</v>
      </c>
      <c r="F4" s="18">
        <v>0.56196999999999997</v>
      </c>
      <c r="G4" s="18">
        <v>0.44707000000000002</v>
      </c>
      <c r="H4" s="18">
        <v>0.34289999999999998</v>
      </c>
      <c r="I4" s="18">
        <v>0.25090000000000001</v>
      </c>
      <c r="J4" s="18">
        <v>0.17530999999999999</v>
      </c>
      <c r="K4" s="18">
        <v>0.11126999999999999</v>
      </c>
      <c r="L4" s="18">
        <v>9.8089999999999997E-2</v>
      </c>
      <c r="M4" s="18">
        <v>8.7110000000000007E-2</v>
      </c>
      <c r="N4" s="18">
        <v>7.7859999999999999E-2</v>
      </c>
      <c r="O4" s="18">
        <v>7.0010000000000003E-2</v>
      </c>
      <c r="P4" s="18">
        <v>6.3270000000000007E-2</v>
      </c>
      <c r="Q4" s="18">
        <v>5.747E-2</v>
      </c>
      <c r="R4" s="18">
        <v>5.2420000000000001E-2</v>
      </c>
      <c r="S4" s="18">
        <v>4.8009999999999997E-2</v>
      </c>
      <c r="T4" s="18">
        <v>4.4130000000000003E-2</v>
      </c>
      <c r="U4" s="19">
        <v>4.07E-2</v>
      </c>
      <c r="W4" s="16">
        <v>15</v>
      </c>
      <c r="X4" s="18">
        <v>1.3605400000000001</v>
      </c>
      <c r="Y4" s="18">
        <v>1.53525</v>
      </c>
      <c r="Z4" s="18">
        <v>1.68509</v>
      </c>
      <c r="AA4" s="18">
        <v>1.84815</v>
      </c>
      <c r="AB4" s="18">
        <v>2.0226199999999999</v>
      </c>
      <c r="AC4" s="18">
        <v>2.20614</v>
      </c>
      <c r="AD4" s="18">
        <v>2.39602</v>
      </c>
      <c r="AE4" s="18">
        <v>2.5893899999999999</v>
      </c>
      <c r="AF4" s="18">
        <v>2.7831199999999998</v>
      </c>
      <c r="AG4" s="18">
        <v>2.9739900000000001</v>
      </c>
      <c r="AH4" s="18">
        <v>3.1593</v>
      </c>
      <c r="AI4" s="18">
        <v>3.3348100000000001</v>
      </c>
      <c r="AJ4" s="18">
        <v>3.49566</v>
      </c>
      <c r="AK4" s="18">
        <v>3.6424099999999999</v>
      </c>
      <c r="AL4" s="18">
        <v>3.327</v>
      </c>
      <c r="AM4" s="18">
        <v>3.4540199999999999</v>
      </c>
      <c r="AN4" s="18">
        <v>3.5716700000000001</v>
      </c>
      <c r="AO4" s="18">
        <v>3.6776900000000001</v>
      </c>
      <c r="AP4" s="18">
        <v>3.7729699999999999</v>
      </c>
      <c r="AQ4" s="19">
        <v>3.52786</v>
      </c>
    </row>
    <row r="5" spans="1:43" x14ac:dyDescent="0.2">
      <c r="A5" s="16">
        <v>20</v>
      </c>
      <c r="B5" s="18">
        <v>1.2014899999999999</v>
      </c>
      <c r="C5" s="18">
        <v>1.1004</v>
      </c>
      <c r="D5" s="18">
        <v>0.99755000000000005</v>
      </c>
      <c r="E5" s="18">
        <v>0.89424999999999999</v>
      </c>
      <c r="F5" s="18">
        <v>0.79178999999999999</v>
      </c>
      <c r="G5" s="18">
        <v>0.69145999999999996</v>
      </c>
      <c r="H5" s="18">
        <v>0.59453999999999996</v>
      </c>
      <c r="I5" s="18">
        <v>0.50219999999999998</v>
      </c>
      <c r="J5" s="18">
        <v>0.41559000000000001</v>
      </c>
      <c r="K5" s="18">
        <v>0.33571000000000001</v>
      </c>
      <c r="L5" s="18">
        <v>0.26349</v>
      </c>
      <c r="M5" s="18">
        <v>0.19978000000000001</v>
      </c>
      <c r="N5" s="18">
        <v>0.14471999999999999</v>
      </c>
      <c r="O5" s="18">
        <v>0.10024</v>
      </c>
      <c r="P5" s="18">
        <v>6.3270000000000007E-2</v>
      </c>
      <c r="Q5" s="18">
        <v>5.747E-2</v>
      </c>
      <c r="R5" s="18">
        <v>5.2420000000000001E-2</v>
      </c>
      <c r="S5" s="18">
        <v>4.8009999999999997E-2</v>
      </c>
      <c r="T5" s="18">
        <v>4.4130000000000003E-2</v>
      </c>
      <c r="U5" s="19">
        <v>4.07E-2</v>
      </c>
      <c r="W5" s="16">
        <v>20</v>
      </c>
      <c r="X5" s="18">
        <v>1.41073</v>
      </c>
      <c r="Y5" s="18">
        <v>1.53668</v>
      </c>
      <c r="Z5" s="18">
        <v>1.65649</v>
      </c>
      <c r="AA5" s="18">
        <v>1.7752600000000001</v>
      </c>
      <c r="AB5" s="18">
        <v>1.90184</v>
      </c>
      <c r="AC5" s="18">
        <v>2.0352199999999998</v>
      </c>
      <c r="AD5" s="18">
        <v>2.1742699999999999</v>
      </c>
      <c r="AE5" s="18">
        <v>2.3177400000000001</v>
      </c>
      <c r="AF5" s="18">
        <v>2.4643099999999998</v>
      </c>
      <c r="AG5" s="18">
        <v>2.6126</v>
      </c>
      <c r="AH5" s="18">
        <v>2.76111</v>
      </c>
      <c r="AI5" s="18">
        <v>2.90835</v>
      </c>
      <c r="AJ5" s="18">
        <v>3.0528200000000001</v>
      </c>
      <c r="AK5" s="18">
        <v>3.19285</v>
      </c>
      <c r="AL5" s="18">
        <v>3.327</v>
      </c>
      <c r="AM5" s="18">
        <v>3.4540199999999999</v>
      </c>
      <c r="AN5" s="18">
        <v>3.5716700000000001</v>
      </c>
      <c r="AO5" s="18">
        <v>3.6776900000000001</v>
      </c>
      <c r="AP5" s="18">
        <v>3.7729699999999999</v>
      </c>
      <c r="AQ5" s="19">
        <v>3.52786</v>
      </c>
    </row>
    <row r="6" spans="1:43" x14ac:dyDescent="0.2">
      <c r="A6" s="16">
        <v>25</v>
      </c>
      <c r="B6" s="18">
        <v>1.2879100000000001</v>
      </c>
      <c r="C6" s="18">
        <v>1.20625</v>
      </c>
      <c r="D6" s="18">
        <v>1.12276</v>
      </c>
      <c r="E6" s="18">
        <v>1.0381100000000001</v>
      </c>
      <c r="F6" s="18">
        <v>0.95296999999999998</v>
      </c>
      <c r="G6" s="18">
        <v>0.86802999999999997</v>
      </c>
      <c r="H6" s="18">
        <v>0.78400000000000003</v>
      </c>
      <c r="I6" s="18">
        <v>0.70154000000000005</v>
      </c>
      <c r="J6" s="18">
        <v>0.62133000000000005</v>
      </c>
      <c r="K6" s="18">
        <v>0.54400999999999999</v>
      </c>
      <c r="L6" s="18">
        <v>0.47019</v>
      </c>
      <c r="M6" s="18">
        <v>0.40045999999999998</v>
      </c>
      <c r="N6" s="18">
        <v>0.33535999999999999</v>
      </c>
      <c r="O6" s="18">
        <v>0.27535999999999999</v>
      </c>
      <c r="P6" s="18">
        <v>0.22090000000000001</v>
      </c>
      <c r="Q6" s="18">
        <v>0.17230999999999999</v>
      </c>
      <c r="R6" s="18">
        <v>0.12995000000000001</v>
      </c>
      <c r="S6" s="18">
        <v>9.3710000000000002E-2</v>
      </c>
      <c r="T6" s="18">
        <v>6.4649999999999999E-2</v>
      </c>
      <c r="U6" s="19">
        <v>4.07E-2</v>
      </c>
      <c r="W6" s="16">
        <v>25</v>
      </c>
      <c r="X6" s="18">
        <v>1.4537100000000001</v>
      </c>
      <c r="Y6" s="18">
        <v>1.5495399999999999</v>
      </c>
      <c r="Z6" s="18">
        <v>1.6498699999999999</v>
      </c>
      <c r="AA6" s="18">
        <v>1.7425999999999999</v>
      </c>
      <c r="AB6" s="18">
        <v>1.8408800000000001</v>
      </c>
      <c r="AC6" s="18">
        <v>1.9441999999999999</v>
      </c>
      <c r="AD6" s="18">
        <v>2.0519599999999998</v>
      </c>
      <c r="AE6" s="18">
        <v>2.1635800000000001</v>
      </c>
      <c r="AF6" s="18">
        <v>2.2783699999999998</v>
      </c>
      <c r="AG6" s="18">
        <v>2.3956200000000001</v>
      </c>
      <c r="AH6" s="18">
        <v>2.5145900000000001</v>
      </c>
      <c r="AI6" s="18">
        <v>2.6344699999999999</v>
      </c>
      <c r="AJ6" s="18">
        <v>2.7544900000000001</v>
      </c>
      <c r="AK6" s="18">
        <v>2.8738100000000002</v>
      </c>
      <c r="AL6" s="18">
        <v>2.9916</v>
      </c>
      <c r="AM6" s="18">
        <v>3.1070000000000002</v>
      </c>
      <c r="AN6" s="18">
        <v>3.2191700000000001</v>
      </c>
      <c r="AO6" s="18">
        <v>3.32728</v>
      </c>
      <c r="AP6" s="18">
        <v>3.4304199999999998</v>
      </c>
      <c r="AQ6" s="19">
        <v>3.52786</v>
      </c>
    </row>
    <row r="7" spans="1:43" x14ac:dyDescent="0.2">
      <c r="A7" s="16">
        <v>30</v>
      </c>
      <c r="B7" s="18">
        <v>1.3520399999999999</v>
      </c>
      <c r="C7" s="18">
        <v>1.28373</v>
      </c>
      <c r="D7" s="18">
        <v>1.2138</v>
      </c>
      <c r="E7" s="18">
        <v>1.14262</v>
      </c>
      <c r="F7" s="18">
        <v>1.0706</v>
      </c>
      <c r="G7" s="18">
        <v>0.99814999999999998</v>
      </c>
      <c r="H7" s="18">
        <v>0.92564000000000002</v>
      </c>
      <c r="I7" s="18">
        <v>0.85350999999999999</v>
      </c>
      <c r="J7" s="18">
        <v>0.78217000000000003</v>
      </c>
      <c r="K7" s="18">
        <v>0.71201999999999999</v>
      </c>
      <c r="L7" s="18">
        <v>0.64344999999999997</v>
      </c>
      <c r="M7" s="18">
        <v>0.57684999999999997</v>
      </c>
      <c r="N7" s="18">
        <v>0.51258999999999999</v>
      </c>
      <c r="O7" s="18">
        <v>0.45105000000000001</v>
      </c>
      <c r="P7" s="18">
        <v>0.39255000000000001</v>
      </c>
      <c r="Q7" s="18">
        <v>0.33739999999999998</v>
      </c>
      <c r="R7" s="18">
        <v>0.28589999999999999</v>
      </c>
      <c r="S7" s="18">
        <v>0.23830000000000001</v>
      </c>
      <c r="T7" s="18">
        <v>0.19485</v>
      </c>
      <c r="U7" s="19">
        <v>0.15572</v>
      </c>
      <c r="W7" s="16">
        <v>30</v>
      </c>
      <c r="X7" s="18">
        <v>1.48936</v>
      </c>
      <c r="Y7" s="18">
        <v>1.5666100000000001</v>
      </c>
      <c r="Z7" s="18">
        <v>1.64981</v>
      </c>
      <c r="AA7" s="18">
        <v>1.7277</v>
      </c>
      <c r="AB7" s="18">
        <v>1.80758</v>
      </c>
      <c r="AC7" s="18">
        <v>1.8912899999999999</v>
      </c>
      <c r="AD7" s="18">
        <v>1.9784900000000001</v>
      </c>
      <c r="AE7" s="18">
        <v>2.0688200000000001</v>
      </c>
      <c r="AF7" s="18">
        <v>2.1619000000000002</v>
      </c>
      <c r="AG7" s="18">
        <v>2.2573500000000002</v>
      </c>
      <c r="AH7" s="18">
        <v>2.35473</v>
      </c>
      <c r="AI7" s="18">
        <v>2.4535900000000002</v>
      </c>
      <c r="AJ7" s="18">
        <v>2.55348</v>
      </c>
      <c r="AK7" s="18">
        <v>2.6539199999999998</v>
      </c>
      <c r="AL7" s="18">
        <v>2.7544200000000001</v>
      </c>
      <c r="AM7" s="18">
        <v>2.8544900000000002</v>
      </c>
      <c r="AN7" s="18">
        <v>2.9536099999999998</v>
      </c>
      <c r="AO7" s="18">
        <v>3.0512700000000001</v>
      </c>
      <c r="AP7" s="18">
        <v>3.14697</v>
      </c>
      <c r="AQ7" s="19">
        <v>3.2402000000000002</v>
      </c>
    </row>
    <row r="8" spans="1:43" x14ac:dyDescent="0.2">
      <c r="A8" s="16">
        <v>35</v>
      </c>
      <c r="B8" s="18">
        <v>1.40194</v>
      </c>
      <c r="C8" s="18">
        <v>1.3433200000000001</v>
      </c>
      <c r="D8" s="18">
        <v>1.2833000000000001</v>
      </c>
      <c r="E8" s="18">
        <v>1.22214</v>
      </c>
      <c r="F8" s="18">
        <v>1.1600699999999999</v>
      </c>
      <c r="G8" s="18">
        <v>1.09735</v>
      </c>
      <c r="H8" s="18">
        <v>1.03424</v>
      </c>
      <c r="I8" s="18">
        <v>0.97099000000000002</v>
      </c>
      <c r="J8" s="18">
        <v>0.90788000000000002</v>
      </c>
      <c r="K8" s="18">
        <v>0.84516000000000002</v>
      </c>
      <c r="L8" s="18">
        <v>0.78310999999999997</v>
      </c>
      <c r="M8" s="18">
        <v>0.72197</v>
      </c>
      <c r="N8" s="18">
        <v>0.66200000000000003</v>
      </c>
      <c r="O8" s="18">
        <v>0.60346</v>
      </c>
      <c r="P8" s="18">
        <v>0.54659000000000002</v>
      </c>
      <c r="Q8" s="18">
        <v>0.49162</v>
      </c>
      <c r="R8" s="18">
        <v>0.43878</v>
      </c>
      <c r="S8" s="18">
        <v>0.38829000000000002</v>
      </c>
      <c r="T8" s="18">
        <v>0.34033999999999998</v>
      </c>
      <c r="U8" s="19">
        <v>0.29513</v>
      </c>
      <c r="W8" s="16">
        <v>35</v>
      </c>
      <c r="X8" s="18">
        <v>1.5191399999999999</v>
      </c>
      <c r="Y8" s="18">
        <v>1.58382</v>
      </c>
      <c r="Z8" s="18">
        <v>1.65282</v>
      </c>
      <c r="AA8" s="18">
        <v>1.7215199999999999</v>
      </c>
      <c r="AB8" s="18">
        <v>1.7886299999999999</v>
      </c>
      <c r="AC8" s="18">
        <v>1.8587</v>
      </c>
      <c r="AD8" s="18">
        <v>1.93153</v>
      </c>
      <c r="AE8" s="18">
        <v>2.00692</v>
      </c>
      <c r="AF8" s="18">
        <v>2.0846</v>
      </c>
      <c r="AG8" s="18">
        <v>2.1643699999999999</v>
      </c>
      <c r="AH8" s="18">
        <v>2.24594</v>
      </c>
      <c r="AI8" s="18">
        <v>2.32904</v>
      </c>
      <c r="AJ8" s="18">
        <v>2.4134000000000002</v>
      </c>
      <c r="AK8" s="18">
        <v>2.4987200000000001</v>
      </c>
      <c r="AL8" s="18">
        <v>2.5846900000000002</v>
      </c>
      <c r="AM8" s="18">
        <v>2.6709999999999998</v>
      </c>
      <c r="AN8" s="18">
        <v>2.7573300000000001</v>
      </c>
      <c r="AO8" s="18">
        <v>2.8433600000000001</v>
      </c>
      <c r="AP8" s="18">
        <v>2.92876</v>
      </c>
      <c r="AQ8" s="19">
        <v>3.0131999999999999</v>
      </c>
    </row>
    <row r="9" spans="1:43" x14ac:dyDescent="0.2">
      <c r="A9" s="16">
        <v>40</v>
      </c>
      <c r="B9" s="18">
        <v>1.44214</v>
      </c>
      <c r="C9" s="18">
        <v>1.39083</v>
      </c>
      <c r="D9" s="18">
        <v>1.3383499999999999</v>
      </c>
      <c r="E9" s="18">
        <v>1.28484</v>
      </c>
      <c r="F9" s="18">
        <v>1.23047</v>
      </c>
      <c r="G9" s="18">
        <v>1.1754100000000001</v>
      </c>
      <c r="H9" s="18">
        <v>1.1198300000000001</v>
      </c>
      <c r="I9" s="18">
        <v>1.0639099999999999</v>
      </c>
      <c r="J9" s="18">
        <v>1.0078199999999999</v>
      </c>
      <c r="K9" s="18">
        <v>0.95174000000000003</v>
      </c>
      <c r="L9" s="18">
        <v>0.89585000000000004</v>
      </c>
      <c r="M9" s="18">
        <v>0.84035000000000004</v>
      </c>
      <c r="N9" s="18">
        <v>0.78539000000000003</v>
      </c>
      <c r="O9" s="18">
        <v>0.73114999999999997</v>
      </c>
      <c r="P9" s="18">
        <v>0.67781999999999998</v>
      </c>
      <c r="Q9" s="18">
        <v>0.62556</v>
      </c>
      <c r="R9" s="18">
        <v>0.57454000000000005</v>
      </c>
      <c r="S9" s="18">
        <v>0.52492000000000005</v>
      </c>
      <c r="T9" s="18">
        <v>0.47687000000000002</v>
      </c>
      <c r="U9" s="19">
        <v>0.43053999999999998</v>
      </c>
      <c r="W9" s="16">
        <v>40</v>
      </c>
      <c r="X9" s="18">
        <v>1.54436</v>
      </c>
      <c r="Y9" s="18">
        <v>1.59999</v>
      </c>
      <c r="Z9" s="18">
        <v>1.65889</v>
      </c>
      <c r="AA9" s="18">
        <v>1.7199599999999999</v>
      </c>
      <c r="AB9" s="18">
        <v>1.77772</v>
      </c>
      <c r="AC9" s="18">
        <v>1.8378399999999999</v>
      </c>
      <c r="AD9" s="18">
        <v>1.9001699999999999</v>
      </c>
      <c r="AE9" s="18">
        <v>1.9645999999999999</v>
      </c>
      <c r="AF9" s="18">
        <v>2.0309499999999998</v>
      </c>
      <c r="AG9" s="18">
        <v>2.0990700000000002</v>
      </c>
      <c r="AH9" s="18">
        <v>2.1688100000000001</v>
      </c>
      <c r="AI9" s="18">
        <v>2.23997</v>
      </c>
      <c r="AJ9" s="18">
        <v>2.31237</v>
      </c>
      <c r="AK9" s="18">
        <v>2.3858100000000002</v>
      </c>
      <c r="AL9" s="18">
        <v>2.4601099999999998</v>
      </c>
      <c r="AM9" s="18">
        <v>2.53505</v>
      </c>
      <c r="AN9" s="18">
        <v>2.61043</v>
      </c>
      <c r="AO9" s="18">
        <v>2.68601</v>
      </c>
      <c r="AP9" s="18">
        <v>2.7616100000000001</v>
      </c>
      <c r="AQ9" s="19">
        <v>2.8369800000000001</v>
      </c>
    </row>
    <row r="10" spans="1:43" x14ac:dyDescent="0.2">
      <c r="A10" s="16">
        <v>45</v>
      </c>
      <c r="B10" s="18">
        <v>1.4753799999999999</v>
      </c>
      <c r="C10" s="18">
        <v>1.4298</v>
      </c>
      <c r="D10" s="18">
        <v>1.3832</v>
      </c>
      <c r="E10" s="18">
        <v>1.33571</v>
      </c>
      <c r="F10" s="18">
        <v>1.2874399999999999</v>
      </c>
      <c r="G10" s="18">
        <v>1.2384900000000001</v>
      </c>
      <c r="H10" s="18">
        <v>1.18899</v>
      </c>
      <c r="I10" s="18">
        <v>1.13907</v>
      </c>
      <c r="J10" s="18">
        <v>1.0888599999999999</v>
      </c>
      <c r="K10" s="18">
        <v>1.0384599999999999</v>
      </c>
      <c r="L10" s="18">
        <v>0.98802000000000001</v>
      </c>
      <c r="M10" s="18">
        <v>0.93764999999999998</v>
      </c>
      <c r="N10" s="18">
        <v>0.88749999999999996</v>
      </c>
      <c r="O10" s="18">
        <v>0.83769000000000005</v>
      </c>
      <c r="P10" s="18">
        <v>0.78832999999999998</v>
      </c>
      <c r="Q10" s="18">
        <v>0.73955000000000004</v>
      </c>
      <c r="R10" s="18">
        <v>0.69149000000000005</v>
      </c>
      <c r="S10" s="18">
        <v>0.64427000000000001</v>
      </c>
      <c r="T10" s="18">
        <v>0.59801000000000004</v>
      </c>
      <c r="U10" s="19">
        <v>0.55281999999999998</v>
      </c>
      <c r="W10" s="16">
        <v>45</v>
      </c>
      <c r="X10" s="18">
        <v>1.56602</v>
      </c>
      <c r="Y10" s="18">
        <v>1.6148199999999999</v>
      </c>
      <c r="Z10" s="18">
        <v>1.66618</v>
      </c>
      <c r="AA10" s="18">
        <v>1.7199899999999999</v>
      </c>
      <c r="AB10" s="18">
        <v>1.77159</v>
      </c>
      <c r="AC10" s="18">
        <v>1.8241499999999999</v>
      </c>
      <c r="AD10" s="18">
        <v>1.87852</v>
      </c>
      <c r="AE10" s="18">
        <v>1.9346300000000001</v>
      </c>
      <c r="AF10" s="18">
        <v>1.9923599999999999</v>
      </c>
      <c r="AG10" s="18">
        <v>2.0516000000000001</v>
      </c>
      <c r="AH10" s="18">
        <v>2.1122399999999999</v>
      </c>
      <c r="AI10" s="18">
        <v>2.17415</v>
      </c>
      <c r="AJ10" s="18">
        <v>2.2372299999999998</v>
      </c>
      <c r="AK10" s="18">
        <v>2.30131</v>
      </c>
      <c r="AL10" s="18">
        <v>2.3662800000000002</v>
      </c>
      <c r="AM10" s="18">
        <v>2.4319899999999999</v>
      </c>
      <c r="AN10" s="18">
        <v>2.4982899999999999</v>
      </c>
      <c r="AO10" s="18">
        <v>2.5650499999999998</v>
      </c>
      <c r="AP10" s="18">
        <v>2.6321099999999999</v>
      </c>
      <c r="AQ10" s="19">
        <v>2.6993</v>
      </c>
    </row>
    <row r="11" spans="1:43" x14ac:dyDescent="0.2">
      <c r="A11" s="16">
        <v>50</v>
      </c>
      <c r="B11" s="18">
        <v>1.50345</v>
      </c>
      <c r="C11" s="18">
        <v>1.4624600000000001</v>
      </c>
      <c r="D11" s="18">
        <v>1.42059</v>
      </c>
      <c r="E11" s="18">
        <v>1.3779300000000001</v>
      </c>
      <c r="F11" s="18">
        <v>1.33457</v>
      </c>
      <c r="G11" s="18">
        <v>1.2905899999999999</v>
      </c>
      <c r="H11" s="18">
        <v>1.24607</v>
      </c>
      <c r="I11" s="18">
        <v>1.2011000000000001</v>
      </c>
      <c r="J11" s="18">
        <v>1.1557900000000001</v>
      </c>
      <c r="K11" s="18">
        <v>1.1102099999999999</v>
      </c>
      <c r="L11" s="18">
        <v>1.0644499999999999</v>
      </c>
      <c r="M11" s="18">
        <v>1.0186200000000001</v>
      </c>
      <c r="N11" s="18">
        <v>0.9728</v>
      </c>
      <c r="O11" s="18">
        <v>0.92708999999999997</v>
      </c>
      <c r="P11" s="18">
        <v>0.88158999999999998</v>
      </c>
      <c r="Q11" s="18">
        <v>0.83638000000000001</v>
      </c>
      <c r="R11" s="18">
        <v>0.79156000000000004</v>
      </c>
      <c r="S11" s="18">
        <v>0.74722999999999995</v>
      </c>
      <c r="T11" s="18">
        <v>0.70347999999999999</v>
      </c>
      <c r="U11" s="19">
        <v>0.66039999999999999</v>
      </c>
      <c r="W11" s="16">
        <v>50</v>
      </c>
      <c r="X11" s="18">
        <v>1.5848599999999999</v>
      </c>
      <c r="Y11" s="18">
        <v>1.6283300000000001</v>
      </c>
      <c r="Z11" s="18">
        <v>1.6738500000000001</v>
      </c>
      <c r="AA11" s="18">
        <v>1.7213499999999999</v>
      </c>
      <c r="AB11" s="18">
        <v>1.76844</v>
      </c>
      <c r="AC11" s="18">
        <v>1.81508</v>
      </c>
      <c r="AD11" s="18">
        <v>1.86324</v>
      </c>
      <c r="AE11" s="18">
        <v>1.91283</v>
      </c>
      <c r="AF11" s="18">
        <v>1.9638100000000001</v>
      </c>
      <c r="AG11" s="18">
        <v>2.0160900000000002</v>
      </c>
      <c r="AH11" s="18">
        <v>2.0695899999999998</v>
      </c>
      <c r="AI11" s="18">
        <v>2.1242000000000001</v>
      </c>
      <c r="AJ11" s="18">
        <v>2.1798700000000002</v>
      </c>
      <c r="AK11" s="18">
        <v>2.2364700000000002</v>
      </c>
      <c r="AL11" s="18">
        <v>2.29392</v>
      </c>
      <c r="AM11" s="18">
        <v>2.3521299999999998</v>
      </c>
      <c r="AN11" s="18">
        <v>2.4109699999999998</v>
      </c>
      <c r="AO11" s="18">
        <v>2.4703599999999999</v>
      </c>
      <c r="AP11" s="18">
        <v>2.5301900000000002</v>
      </c>
      <c r="AQ11" s="19">
        <v>2.5903299999999998</v>
      </c>
    </row>
    <row r="12" spans="1:43" x14ac:dyDescent="0.2">
      <c r="A12" s="16">
        <v>55</v>
      </c>
      <c r="B12" s="18">
        <v>1.52755</v>
      </c>
      <c r="C12" s="18">
        <v>1.49031</v>
      </c>
      <c r="D12" s="18">
        <v>1.4523200000000001</v>
      </c>
      <c r="E12" s="18">
        <v>1.4136200000000001</v>
      </c>
      <c r="F12" s="18">
        <v>1.3743099999999999</v>
      </c>
      <c r="G12" s="18">
        <v>1.3344199999999999</v>
      </c>
      <c r="H12" s="18">
        <v>1.29403</v>
      </c>
      <c r="I12" s="18">
        <v>1.25319</v>
      </c>
      <c r="J12" s="18">
        <v>1.2119899999999999</v>
      </c>
      <c r="K12" s="18">
        <v>1.17049</v>
      </c>
      <c r="L12" s="18">
        <v>1.1287499999999999</v>
      </c>
      <c r="M12" s="18">
        <v>1.0868500000000001</v>
      </c>
      <c r="N12" s="18">
        <v>1.0448500000000001</v>
      </c>
      <c r="O12" s="18">
        <v>1.00284</v>
      </c>
      <c r="P12" s="18">
        <v>0.96087</v>
      </c>
      <c r="Q12" s="18">
        <v>0.91901999999999995</v>
      </c>
      <c r="R12" s="18">
        <v>0.87736000000000003</v>
      </c>
      <c r="S12" s="18">
        <v>0.83596999999999999</v>
      </c>
      <c r="T12" s="18">
        <v>0.79491999999999996</v>
      </c>
      <c r="U12" s="19">
        <v>0.75427</v>
      </c>
      <c r="W12" s="16">
        <v>55</v>
      </c>
      <c r="X12" s="18">
        <v>1.60144</v>
      </c>
      <c r="Y12" s="18">
        <v>1.64062</v>
      </c>
      <c r="Z12" s="18">
        <v>1.6814899999999999</v>
      </c>
      <c r="AA12" s="18">
        <v>1.7239899999999999</v>
      </c>
      <c r="AB12" s="18">
        <v>1.7672000000000001</v>
      </c>
      <c r="AC12" s="18">
        <v>1.80908</v>
      </c>
      <c r="AD12" s="18">
        <v>1.85226</v>
      </c>
      <c r="AE12" s="18">
        <v>1.8966499999999999</v>
      </c>
      <c r="AF12" s="18">
        <v>1.9422299999999999</v>
      </c>
      <c r="AG12" s="18">
        <v>1.9889300000000001</v>
      </c>
      <c r="AH12" s="18">
        <v>2.03668</v>
      </c>
      <c r="AI12" s="18">
        <v>2.0854300000000001</v>
      </c>
      <c r="AJ12" s="18">
        <v>2.1351</v>
      </c>
      <c r="AK12" s="18">
        <v>2.1856399999999998</v>
      </c>
      <c r="AL12" s="18">
        <v>2.23698</v>
      </c>
      <c r="AM12" s="18">
        <v>2.2890199999999998</v>
      </c>
      <c r="AN12" s="18">
        <v>2.34171</v>
      </c>
      <c r="AO12" s="18">
        <v>2.3949500000000001</v>
      </c>
      <c r="AP12" s="18">
        <v>2.44869</v>
      </c>
      <c r="AQ12" s="19">
        <v>2.5028299999999999</v>
      </c>
    </row>
    <row r="13" spans="1:43" x14ac:dyDescent="0.2">
      <c r="A13" s="16">
        <v>60</v>
      </c>
      <c r="B13" s="18">
        <v>1.54853</v>
      </c>
      <c r="C13" s="18">
        <v>1.5144200000000001</v>
      </c>
      <c r="D13" s="18">
        <v>1.4796499999999999</v>
      </c>
      <c r="E13" s="18">
        <v>1.4442699999999999</v>
      </c>
      <c r="F13" s="18">
        <v>1.40832</v>
      </c>
      <c r="G13" s="18">
        <v>1.3718600000000001</v>
      </c>
      <c r="H13" s="18">
        <v>1.3349299999999999</v>
      </c>
      <c r="I13" s="18">
        <v>1.29758</v>
      </c>
      <c r="J13" s="18">
        <v>1.25987</v>
      </c>
      <c r="K13" s="18">
        <v>1.22183</v>
      </c>
      <c r="L13" s="18">
        <v>1.18354</v>
      </c>
      <c r="M13" s="18">
        <v>1.1450499999999999</v>
      </c>
      <c r="N13" s="18">
        <v>1.1064000000000001</v>
      </c>
      <c r="O13" s="18">
        <v>1.0676399999999999</v>
      </c>
      <c r="P13" s="18">
        <v>1.02885</v>
      </c>
      <c r="Q13" s="18">
        <v>0.99007000000000001</v>
      </c>
      <c r="R13" s="18">
        <v>0.95135000000000003</v>
      </c>
      <c r="S13" s="18">
        <v>0.91276000000000002</v>
      </c>
      <c r="T13" s="18">
        <v>0.87434999999999996</v>
      </c>
      <c r="U13" s="19">
        <v>0.83616000000000001</v>
      </c>
      <c r="W13" s="16">
        <v>60</v>
      </c>
      <c r="X13" s="18">
        <v>1.6161700000000001</v>
      </c>
      <c r="Y13" s="18">
        <v>1.65184</v>
      </c>
      <c r="Z13" s="18">
        <v>1.6889099999999999</v>
      </c>
      <c r="AA13" s="18">
        <v>1.7273499999999999</v>
      </c>
      <c r="AB13" s="18">
        <v>1.76708</v>
      </c>
      <c r="AC13" s="18">
        <v>1.8051999999999999</v>
      </c>
      <c r="AD13" s="18">
        <v>1.84429</v>
      </c>
      <c r="AE13" s="18">
        <v>1.8844399999999999</v>
      </c>
      <c r="AF13" s="18">
        <v>1.92561</v>
      </c>
      <c r="AG13" s="18">
        <v>1.9677500000000001</v>
      </c>
      <c r="AH13" s="18">
        <v>2.0108100000000002</v>
      </c>
      <c r="AI13" s="18">
        <v>2.0547499999999999</v>
      </c>
      <c r="AJ13" s="18">
        <v>2.0995200000000001</v>
      </c>
      <c r="AK13" s="18">
        <v>2.14507</v>
      </c>
      <c r="AL13" s="18">
        <v>2.1913399999999998</v>
      </c>
      <c r="AM13" s="18">
        <v>2.2382900000000001</v>
      </c>
      <c r="AN13" s="18">
        <v>2.2858399999999999</v>
      </c>
      <c r="AO13" s="18">
        <v>2.3339500000000002</v>
      </c>
      <c r="AP13" s="18">
        <v>2.3825500000000002</v>
      </c>
      <c r="AQ13" s="19">
        <v>2.4315899999999999</v>
      </c>
    </row>
    <row r="14" spans="1:43" x14ac:dyDescent="0.2">
      <c r="A14" s="16">
        <v>65</v>
      </c>
      <c r="B14" s="18">
        <v>1.5669900000000001</v>
      </c>
      <c r="C14" s="18">
        <v>1.5355300000000001</v>
      </c>
      <c r="D14" s="18">
        <v>1.50349</v>
      </c>
      <c r="E14" s="18">
        <v>1.47092</v>
      </c>
      <c r="F14" s="18">
        <v>1.4378200000000001</v>
      </c>
      <c r="G14" s="18">
        <v>1.4042600000000001</v>
      </c>
      <c r="H14" s="18">
        <v>1.3702700000000001</v>
      </c>
      <c r="I14" s="18">
        <v>1.33589</v>
      </c>
      <c r="J14" s="18">
        <v>1.30115</v>
      </c>
      <c r="K14" s="18">
        <v>1.2661100000000001</v>
      </c>
      <c r="L14" s="18">
        <v>1.2307999999999999</v>
      </c>
      <c r="M14" s="18">
        <v>1.1952499999999999</v>
      </c>
      <c r="N14" s="18">
        <v>1.1595200000000001</v>
      </c>
      <c r="O14" s="18">
        <v>1.12364</v>
      </c>
      <c r="P14" s="18">
        <v>1.0876699999999999</v>
      </c>
      <c r="Q14" s="18">
        <v>1.05165</v>
      </c>
      <c r="R14" s="18">
        <v>1.0156000000000001</v>
      </c>
      <c r="S14" s="18">
        <v>0.97960000000000003</v>
      </c>
      <c r="T14" s="18">
        <v>0.94367000000000001</v>
      </c>
      <c r="U14" s="19">
        <v>0.90785000000000005</v>
      </c>
      <c r="W14" s="16">
        <v>65</v>
      </c>
      <c r="X14" s="18">
        <v>1.6293599999999999</v>
      </c>
      <c r="Y14" s="18">
        <v>1.6620999999999999</v>
      </c>
      <c r="Z14" s="18">
        <v>1.6960200000000001</v>
      </c>
      <c r="AA14" s="18">
        <v>1.7311000000000001</v>
      </c>
      <c r="AB14" s="18">
        <v>1.7673099999999999</v>
      </c>
      <c r="AC14" s="18">
        <v>1.8027899999999999</v>
      </c>
      <c r="AD14" s="18">
        <v>1.83849</v>
      </c>
      <c r="AE14" s="18">
        <v>1.8751199999999999</v>
      </c>
      <c r="AF14" s="18">
        <v>1.91262</v>
      </c>
      <c r="AG14" s="18">
        <v>1.9509799999999999</v>
      </c>
      <c r="AH14" s="18">
        <v>1.99014</v>
      </c>
      <c r="AI14" s="18">
        <v>2.03009</v>
      </c>
      <c r="AJ14" s="18">
        <v>2.0707800000000001</v>
      </c>
      <c r="AK14" s="18">
        <v>2.1121599999999998</v>
      </c>
      <c r="AL14" s="18">
        <v>2.15421</v>
      </c>
      <c r="AM14" s="18">
        <v>2.1968800000000002</v>
      </c>
      <c r="AN14" s="18">
        <v>2.2401200000000001</v>
      </c>
      <c r="AO14" s="18">
        <v>2.2838799999999999</v>
      </c>
      <c r="AP14" s="18">
        <v>2.3281299999999998</v>
      </c>
      <c r="AQ14" s="19">
        <v>2.3728099999999999</v>
      </c>
    </row>
    <row r="15" spans="1:43" x14ac:dyDescent="0.2">
      <c r="A15" s="16">
        <v>70</v>
      </c>
      <c r="B15" s="18">
        <v>1.58341</v>
      </c>
      <c r="C15" s="18">
        <v>1.5542199999999999</v>
      </c>
      <c r="D15" s="18">
        <v>1.5245200000000001</v>
      </c>
      <c r="E15" s="18">
        <v>1.49434</v>
      </c>
      <c r="F15" s="18">
        <v>1.4636899999999999</v>
      </c>
      <c r="G15" s="18">
        <v>1.43262</v>
      </c>
      <c r="H15" s="18">
        <v>1.4011499999999999</v>
      </c>
      <c r="I15" s="18">
        <v>1.3693200000000001</v>
      </c>
      <c r="J15" s="18">
        <v>1.3371599999999999</v>
      </c>
      <c r="K15" s="18">
        <v>1.3046899999999999</v>
      </c>
      <c r="L15" s="18">
        <v>1.27196</v>
      </c>
      <c r="M15" s="18">
        <v>1.23899</v>
      </c>
      <c r="N15" s="18">
        <v>1.2058199999999999</v>
      </c>
      <c r="O15" s="18">
        <v>1.17249</v>
      </c>
      <c r="P15" s="18">
        <v>1.1390199999999999</v>
      </c>
      <c r="Q15" s="18">
        <v>1.10544</v>
      </c>
      <c r="R15" s="18">
        <v>1.07182</v>
      </c>
      <c r="S15" s="18">
        <v>1.03816</v>
      </c>
      <c r="T15" s="18">
        <v>1.00451</v>
      </c>
      <c r="U15" s="19">
        <v>0.97091000000000005</v>
      </c>
      <c r="W15" s="16">
        <v>70</v>
      </c>
      <c r="X15" s="18">
        <v>1.64127</v>
      </c>
      <c r="Y15" s="18">
        <v>1.6715199999999999</v>
      </c>
      <c r="Z15" s="18">
        <v>1.70278</v>
      </c>
      <c r="AA15" s="18">
        <v>1.73505</v>
      </c>
      <c r="AB15" s="18">
        <v>1.76827</v>
      </c>
      <c r="AC15" s="18">
        <v>1.8014399999999999</v>
      </c>
      <c r="AD15" s="18">
        <v>1.83429</v>
      </c>
      <c r="AE15" s="18">
        <v>1.8679300000000001</v>
      </c>
      <c r="AF15" s="18">
        <v>1.90235</v>
      </c>
      <c r="AG15" s="18">
        <v>1.9375199999999999</v>
      </c>
      <c r="AH15" s="18">
        <v>1.9734100000000001</v>
      </c>
      <c r="AI15" s="18">
        <v>2.0099999999999998</v>
      </c>
      <c r="AJ15" s="18">
        <v>2.0472399999999999</v>
      </c>
      <c r="AK15" s="18">
        <v>2.0851099999999998</v>
      </c>
      <c r="AL15" s="18">
        <v>2.1235900000000001</v>
      </c>
      <c r="AM15" s="18">
        <v>2.1626300000000001</v>
      </c>
      <c r="AN15" s="18">
        <v>2.2021999999999999</v>
      </c>
      <c r="AO15" s="18">
        <v>2.24227</v>
      </c>
      <c r="AP15" s="18">
        <v>2.2827999999999999</v>
      </c>
      <c r="AQ15" s="19">
        <v>2.32375</v>
      </c>
    </row>
    <row r="16" spans="1:43" x14ac:dyDescent="0.2">
      <c r="A16" s="16">
        <v>75</v>
      </c>
      <c r="B16" s="18">
        <v>1.5981300000000001</v>
      </c>
      <c r="C16" s="18">
        <v>1.57091</v>
      </c>
      <c r="D16" s="18">
        <v>1.5432300000000001</v>
      </c>
      <c r="E16" s="18">
        <v>1.51511</v>
      </c>
      <c r="F16" s="18">
        <v>1.4865900000000001</v>
      </c>
      <c r="G16" s="18">
        <v>1.45767</v>
      </c>
      <c r="H16" s="18">
        <v>1.4283999999999999</v>
      </c>
      <c r="I16" s="18">
        <v>1.3987700000000001</v>
      </c>
      <c r="J16" s="18">
        <v>1.3688400000000001</v>
      </c>
      <c r="K16" s="18">
        <v>1.33863</v>
      </c>
      <c r="L16" s="18">
        <v>1.3081499999999999</v>
      </c>
      <c r="M16" s="18">
        <v>1.2774399999999999</v>
      </c>
      <c r="N16" s="18">
        <v>1.2465200000000001</v>
      </c>
      <c r="O16" s="18">
        <v>1.2154199999999999</v>
      </c>
      <c r="P16" s="18">
        <v>1.18418</v>
      </c>
      <c r="Q16" s="18">
        <v>1.1528099999999999</v>
      </c>
      <c r="R16" s="18">
        <v>1.1213500000000001</v>
      </c>
      <c r="S16" s="18">
        <v>1.08982</v>
      </c>
      <c r="T16" s="18">
        <v>1.0582499999999999</v>
      </c>
      <c r="U16" s="19">
        <v>1.02668</v>
      </c>
      <c r="W16" s="16">
        <v>75</v>
      </c>
      <c r="X16" s="18">
        <v>1.6520900000000001</v>
      </c>
      <c r="Y16" s="18">
        <v>1.6801999999999999</v>
      </c>
      <c r="Z16" s="18">
        <v>1.7092000000000001</v>
      </c>
      <c r="AA16" s="18">
        <v>1.7390399999999999</v>
      </c>
      <c r="AB16" s="18">
        <v>1.7697499999999999</v>
      </c>
      <c r="AC16" s="18">
        <v>1.8008599999999999</v>
      </c>
      <c r="AD16" s="18">
        <v>1.8312600000000001</v>
      </c>
      <c r="AE16" s="18">
        <v>1.8623700000000001</v>
      </c>
      <c r="AF16" s="18">
        <v>1.8941600000000001</v>
      </c>
      <c r="AG16" s="18">
        <v>1.9266099999999999</v>
      </c>
      <c r="AH16" s="18">
        <v>1.9597</v>
      </c>
      <c r="AI16" s="18">
        <v>1.99342</v>
      </c>
      <c r="AJ16" s="18">
        <v>2.02773</v>
      </c>
      <c r="AK16" s="18">
        <v>2.0626099999999998</v>
      </c>
      <c r="AL16" s="18">
        <v>2.0980400000000001</v>
      </c>
      <c r="AM16" s="18">
        <v>2.1339800000000002</v>
      </c>
      <c r="AN16" s="18">
        <v>2.17041</v>
      </c>
      <c r="AO16" s="18">
        <v>2.2073</v>
      </c>
      <c r="AP16" s="18">
        <v>2.24464</v>
      </c>
      <c r="AQ16" s="19">
        <v>2.2823699999999998</v>
      </c>
    </row>
    <row r="17" spans="1:43" x14ac:dyDescent="0.2">
      <c r="A17" s="16">
        <v>80</v>
      </c>
      <c r="B17" s="18">
        <v>1.6114299999999999</v>
      </c>
      <c r="C17" s="18">
        <v>1.58592</v>
      </c>
      <c r="D17" s="18">
        <v>1.5600099999999999</v>
      </c>
      <c r="E17" s="18">
        <v>1.5337000000000001</v>
      </c>
      <c r="F17" s="18">
        <v>1.5070300000000001</v>
      </c>
      <c r="G17" s="18">
        <v>1.4799899999999999</v>
      </c>
      <c r="H17" s="18">
        <v>1.45262</v>
      </c>
      <c r="I17" s="18">
        <v>1.4249499999999999</v>
      </c>
      <c r="J17" s="18">
        <v>1.3969800000000001</v>
      </c>
      <c r="K17" s="18">
        <v>1.36873</v>
      </c>
      <c r="L17" s="18">
        <v>1.3402400000000001</v>
      </c>
      <c r="M17" s="18">
        <v>1.31151</v>
      </c>
      <c r="N17" s="18">
        <v>1.2825899999999999</v>
      </c>
      <c r="O17" s="18">
        <v>1.2534799999999999</v>
      </c>
      <c r="P17" s="18">
        <v>1.2242200000000001</v>
      </c>
      <c r="Q17" s="18">
        <v>1.1948099999999999</v>
      </c>
      <c r="R17" s="18">
        <v>1.1652899999999999</v>
      </c>
      <c r="S17" s="18">
        <v>1.13568</v>
      </c>
      <c r="T17" s="18">
        <v>1.1060000000000001</v>
      </c>
      <c r="U17" s="19">
        <v>1.0762799999999999</v>
      </c>
      <c r="W17" s="16">
        <v>80</v>
      </c>
      <c r="X17" s="18">
        <v>1.6619699999999999</v>
      </c>
      <c r="Y17" s="18">
        <v>1.6882299999999999</v>
      </c>
      <c r="Z17" s="18">
        <v>1.71526</v>
      </c>
      <c r="AA17" s="18">
        <v>1.7430399999999999</v>
      </c>
      <c r="AB17" s="18">
        <v>1.77156</v>
      </c>
      <c r="AC17" s="18">
        <v>1.8007899999999999</v>
      </c>
      <c r="AD17" s="18">
        <v>1.8291200000000001</v>
      </c>
      <c r="AE17" s="18">
        <v>1.8580399999999999</v>
      </c>
      <c r="AF17" s="18">
        <v>1.8875599999999999</v>
      </c>
      <c r="AG17" s="18">
        <v>1.9176800000000001</v>
      </c>
      <c r="AH17" s="18">
        <v>1.9483699999999999</v>
      </c>
      <c r="AI17" s="18">
        <v>1.9796199999999999</v>
      </c>
      <c r="AJ17" s="18">
        <v>2.0114000000000001</v>
      </c>
      <c r="AK17" s="18">
        <v>2.0436999999999999</v>
      </c>
      <c r="AL17" s="18">
        <v>2.0764900000000002</v>
      </c>
      <c r="AM17" s="18">
        <v>2.1097600000000001</v>
      </c>
      <c r="AN17" s="18">
        <v>2.1434799999999998</v>
      </c>
      <c r="AO17" s="18">
        <v>2.1776200000000001</v>
      </c>
      <c r="AP17" s="18">
        <v>2.21218</v>
      </c>
      <c r="AQ17" s="19">
        <v>2.2471199999999998</v>
      </c>
    </row>
    <row r="18" spans="1:43" x14ac:dyDescent="0.2">
      <c r="A18" s="16">
        <v>85</v>
      </c>
      <c r="B18" s="18">
        <v>1.6234999999999999</v>
      </c>
      <c r="C18" s="18">
        <v>1.5995200000000001</v>
      </c>
      <c r="D18" s="18">
        <v>1.5751599999999999</v>
      </c>
      <c r="E18" s="18">
        <v>1.5504500000000001</v>
      </c>
      <c r="F18" s="18">
        <v>1.5254000000000001</v>
      </c>
      <c r="G18" s="18">
        <v>1.50003</v>
      </c>
      <c r="H18" s="18">
        <v>1.47434</v>
      </c>
      <c r="I18" s="18">
        <v>1.4483699999999999</v>
      </c>
      <c r="J18" s="18">
        <v>1.4221200000000001</v>
      </c>
      <c r="K18" s="18">
        <v>1.3956200000000001</v>
      </c>
      <c r="L18" s="18">
        <v>1.3688899999999999</v>
      </c>
      <c r="M18" s="18">
        <v>1.3419399999999999</v>
      </c>
      <c r="N18" s="18">
        <v>1.31477</v>
      </c>
      <c r="O18" s="18">
        <v>1.2874399999999999</v>
      </c>
      <c r="P18" s="18">
        <v>1.25993</v>
      </c>
      <c r="Q18" s="18">
        <v>1.2322900000000001</v>
      </c>
      <c r="R18" s="18">
        <v>1.20451</v>
      </c>
      <c r="S18" s="18">
        <v>1.1766399999999999</v>
      </c>
      <c r="T18" s="18">
        <v>1.1486799999999999</v>
      </c>
      <c r="U18" s="19">
        <v>1.1206400000000001</v>
      </c>
      <c r="W18" s="16">
        <v>85</v>
      </c>
      <c r="X18" s="18">
        <v>1.6710499999999999</v>
      </c>
      <c r="Y18" s="18">
        <v>1.6956800000000001</v>
      </c>
      <c r="Z18" s="18">
        <v>1.7210000000000001</v>
      </c>
      <c r="AA18" s="18">
        <v>1.7469699999999999</v>
      </c>
      <c r="AB18" s="18">
        <v>1.7736099999999999</v>
      </c>
      <c r="AC18" s="18">
        <v>1.8008900000000001</v>
      </c>
      <c r="AD18" s="18">
        <v>1.82768</v>
      </c>
      <c r="AE18" s="18">
        <v>1.8546899999999999</v>
      </c>
      <c r="AF18" s="18">
        <v>1.8822300000000001</v>
      </c>
      <c r="AG18" s="18">
        <v>1.91032</v>
      </c>
      <c r="AH18" s="18">
        <v>1.93892</v>
      </c>
      <c r="AI18" s="18">
        <v>1.9680200000000001</v>
      </c>
      <c r="AJ18" s="18">
        <v>1.9976</v>
      </c>
      <c r="AK18" s="18">
        <v>2.02766</v>
      </c>
      <c r="AL18" s="18">
        <v>2.05816</v>
      </c>
      <c r="AM18" s="18">
        <v>2.0891000000000002</v>
      </c>
      <c r="AN18" s="18">
        <v>2.12046</v>
      </c>
      <c r="AO18" s="18">
        <v>2.1522100000000002</v>
      </c>
      <c r="AP18" s="18">
        <v>2.1843400000000002</v>
      </c>
      <c r="AQ18" s="19">
        <v>2.2168299999999999</v>
      </c>
    </row>
    <row r="19" spans="1:43" x14ac:dyDescent="0.2">
      <c r="A19" s="16">
        <v>90</v>
      </c>
      <c r="B19" s="18">
        <v>1.6345400000000001</v>
      </c>
      <c r="C19" s="18">
        <v>1.6119000000000001</v>
      </c>
      <c r="D19" s="18">
        <v>1.58893</v>
      </c>
      <c r="E19" s="18">
        <v>1.5656399999999999</v>
      </c>
      <c r="F19" s="18">
        <v>1.5420199999999999</v>
      </c>
      <c r="G19" s="18">
        <v>1.5181199999999999</v>
      </c>
      <c r="H19" s="18">
        <v>1.49393</v>
      </c>
      <c r="I19" s="18">
        <v>1.4694700000000001</v>
      </c>
      <c r="J19" s="18">
        <v>1.44476</v>
      </c>
      <c r="K19" s="18">
        <v>1.4198200000000001</v>
      </c>
      <c r="L19" s="18">
        <v>1.3946400000000001</v>
      </c>
      <c r="M19" s="18">
        <v>1.3692599999999999</v>
      </c>
      <c r="N19" s="18">
        <v>1.34368</v>
      </c>
      <c r="O19" s="18">
        <v>1.31792</v>
      </c>
      <c r="P19" s="18">
        <v>1.292</v>
      </c>
      <c r="Q19" s="18">
        <v>1.2659400000000001</v>
      </c>
      <c r="R19" s="18">
        <v>1.2397400000000001</v>
      </c>
      <c r="S19" s="18">
        <v>1.2134400000000001</v>
      </c>
      <c r="T19" s="18">
        <v>1.18703</v>
      </c>
      <c r="U19" s="19">
        <v>1.1605300000000001</v>
      </c>
      <c r="W19" s="16">
        <v>90</v>
      </c>
      <c r="X19" s="18">
        <v>1.6794199999999999</v>
      </c>
      <c r="Y19" s="18">
        <v>1.70262</v>
      </c>
      <c r="Z19" s="18">
        <v>1.7264200000000001</v>
      </c>
      <c r="AA19" s="18">
        <v>1.75082</v>
      </c>
      <c r="AB19" s="18">
        <v>1.7758</v>
      </c>
      <c r="AC19" s="18">
        <v>1.80135</v>
      </c>
      <c r="AD19" s="18">
        <v>1.8267500000000001</v>
      </c>
      <c r="AE19" s="18">
        <v>1.85209</v>
      </c>
      <c r="AF19" s="18">
        <v>1.87791</v>
      </c>
      <c r="AG19" s="18">
        <v>1.90421</v>
      </c>
      <c r="AH19" s="18">
        <v>1.9309700000000001</v>
      </c>
      <c r="AI19" s="18">
        <v>1.9581999999999999</v>
      </c>
      <c r="AJ19" s="18">
        <v>1.98586</v>
      </c>
      <c r="AK19" s="18">
        <v>2.0139399999999998</v>
      </c>
      <c r="AL19" s="18">
        <v>2.04244</v>
      </c>
      <c r="AM19" s="18">
        <v>2.0713400000000002</v>
      </c>
      <c r="AN19" s="18">
        <v>2.1006200000000002</v>
      </c>
      <c r="AO19" s="18">
        <v>2.1302699999999999</v>
      </c>
      <c r="AP19" s="18">
        <v>2.1602700000000001</v>
      </c>
      <c r="AQ19" s="19">
        <v>2.1906099999999999</v>
      </c>
    </row>
    <row r="20" spans="1:43" x14ac:dyDescent="0.2">
      <c r="A20" s="16">
        <v>95</v>
      </c>
      <c r="B20" s="18">
        <v>1.64469</v>
      </c>
      <c r="C20" s="18">
        <v>1.6232500000000001</v>
      </c>
      <c r="D20" s="18">
        <v>1.6015200000000001</v>
      </c>
      <c r="E20" s="18">
        <v>1.57948</v>
      </c>
      <c r="F20" s="18">
        <v>1.55715</v>
      </c>
      <c r="G20" s="18">
        <v>1.5345599999999999</v>
      </c>
      <c r="H20" s="18">
        <v>1.5117100000000001</v>
      </c>
      <c r="I20" s="18">
        <v>1.48861</v>
      </c>
      <c r="J20" s="18">
        <v>1.4652700000000001</v>
      </c>
      <c r="K20" s="18">
        <v>1.44171</v>
      </c>
      <c r="L20" s="18">
        <v>1.4179299999999999</v>
      </c>
      <c r="M20" s="18">
        <v>1.39395</v>
      </c>
      <c r="N20" s="18">
        <v>1.3697999999999999</v>
      </c>
      <c r="O20" s="18">
        <v>1.3454600000000001</v>
      </c>
      <c r="P20" s="18">
        <v>1.3209599999999999</v>
      </c>
      <c r="Q20" s="18">
        <v>1.2963199999999999</v>
      </c>
      <c r="R20" s="18">
        <v>1.27155</v>
      </c>
      <c r="S20" s="18">
        <v>1.2466600000000001</v>
      </c>
      <c r="T20" s="18">
        <v>1.22166</v>
      </c>
      <c r="U20" s="19">
        <v>1.1965699999999999</v>
      </c>
      <c r="W20" s="16">
        <v>95</v>
      </c>
      <c r="X20" s="18">
        <v>1.6871700000000001</v>
      </c>
      <c r="Y20" s="18">
        <v>1.7091000000000001</v>
      </c>
      <c r="Z20" s="18">
        <v>1.73156</v>
      </c>
      <c r="AA20" s="18">
        <v>1.7545500000000001</v>
      </c>
      <c r="AB20" s="18">
        <v>1.77807</v>
      </c>
      <c r="AC20" s="18">
        <v>1.8021</v>
      </c>
      <c r="AD20" s="18">
        <v>1.8262499999999999</v>
      </c>
      <c r="AE20" s="18">
        <v>1.8501000000000001</v>
      </c>
      <c r="AF20" s="18">
        <v>1.87439</v>
      </c>
      <c r="AG20" s="18">
        <v>1.8991100000000001</v>
      </c>
      <c r="AH20" s="18">
        <v>1.9242600000000001</v>
      </c>
      <c r="AI20" s="18">
        <v>1.9498200000000001</v>
      </c>
      <c r="AJ20" s="18">
        <v>1.9757800000000001</v>
      </c>
      <c r="AK20" s="18">
        <v>2.0021300000000002</v>
      </c>
      <c r="AL20" s="18">
        <v>2.0288599999999999</v>
      </c>
      <c r="AM20" s="18">
        <v>2.0559599999999998</v>
      </c>
      <c r="AN20" s="18">
        <v>2.0834100000000002</v>
      </c>
      <c r="AO20" s="18">
        <v>2.1112000000000002</v>
      </c>
      <c r="AP20" s="18">
        <v>2.13931</v>
      </c>
      <c r="AQ20" s="19">
        <v>2.1677399999999998</v>
      </c>
    </row>
    <row r="21" spans="1:43" x14ac:dyDescent="0.2">
      <c r="A21" s="16">
        <v>100</v>
      </c>
      <c r="B21" s="18">
        <v>1.65404</v>
      </c>
      <c r="C21" s="18">
        <v>1.6336900000000001</v>
      </c>
      <c r="D21" s="18">
        <v>1.6130599999999999</v>
      </c>
      <c r="E21" s="18">
        <v>1.59216</v>
      </c>
      <c r="F21" s="18">
        <v>1.571</v>
      </c>
      <c r="G21" s="18">
        <v>1.54958</v>
      </c>
      <c r="H21" s="18">
        <v>1.52793</v>
      </c>
      <c r="I21" s="18">
        <v>1.50604</v>
      </c>
      <c r="J21" s="18">
        <v>1.48394</v>
      </c>
      <c r="K21" s="18">
        <v>1.4616199999999999</v>
      </c>
      <c r="L21" s="18">
        <v>1.4391</v>
      </c>
      <c r="M21" s="18">
        <v>1.41639</v>
      </c>
      <c r="N21" s="18">
        <v>1.3935</v>
      </c>
      <c r="O21" s="18">
        <v>1.3704499999999999</v>
      </c>
      <c r="P21" s="18">
        <v>1.34724</v>
      </c>
      <c r="Q21" s="18">
        <v>1.3239000000000001</v>
      </c>
      <c r="R21" s="18">
        <v>1.3004100000000001</v>
      </c>
      <c r="S21" s="18">
        <v>1.2767999999999999</v>
      </c>
      <c r="T21" s="18">
        <v>1.2531000000000001</v>
      </c>
      <c r="U21" s="19">
        <v>1.2292799999999999</v>
      </c>
      <c r="W21" s="16">
        <v>100</v>
      </c>
      <c r="X21" s="18">
        <v>1.6943900000000001</v>
      </c>
      <c r="Y21" s="18">
        <v>1.7151700000000001</v>
      </c>
      <c r="Z21" s="18">
        <v>1.7364299999999999</v>
      </c>
      <c r="AA21" s="18">
        <v>1.7581800000000001</v>
      </c>
      <c r="AB21" s="18">
        <v>1.7803899999999999</v>
      </c>
      <c r="AC21" s="18">
        <v>1.8030600000000001</v>
      </c>
      <c r="AD21" s="18">
        <v>1.8260700000000001</v>
      </c>
      <c r="AE21" s="18">
        <v>1.84859</v>
      </c>
      <c r="AF21" s="18">
        <v>1.8715200000000001</v>
      </c>
      <c r="AG21" s="18">
        <v>1.8948400000000001</v>
      </c>
      <c r="AH21" s="18">
        <v>1.91855</v>
      </c>
      <c r="AI21" s="18">
        <v>1.9426300000000001</v>
      </c>
      <c r="AJ21" s="18">
        <v>1.96709</v>
      </c>
      <c r="AK21" s="18">
        <v>1.9919</v>
      </c>
      <c r="AL21" s="18">
        <v>2.0170599999999999</v>
      </c>
      <c r="AM21" s="18">
        <v>2.0425499999999999</v>
      </c>
      <c r="AN21" s="18">
        <v>2.0683600000000002</v>
      </c>
      <c r="AO21" s="18">
        <v>2.0945</v>
      </c>
      <c r="AP21" s="18">
        <v>2.1209500000000001</v>
      </c>
      <c r="AQ21" s="19">
        <v>2.1476799999999998</v>
      </c>
    </row>
    <row r="22" spans="1:43" x14ac:dyDescent="0.2">
      <c r="A22" s="16">
        <v>105</v>
      </c>
      <c r="B22" s="18">
        <v>1.6627099999999999</v>
      </c>
      <c r="C22" s="18">
        <v>1.64334</v>
      </c>
      <c r="D22" s="18">
        <v>1.62371</v>
      </c>
      <c r="E22" s="18">
        <v>1.6038300000000001</v>
      </c>
      <c r="F22" s="18">
        <v>1.58372</v>
      </c>
      <c r="G22" s="18">
        <v>1.5633600000000001</v>
      </c>
      <c r="H22" s="18">
        <v>1.5427900000000001</v>
      </c>
      <c r="I22" s="18">
        <v>1.522</v>
      </c>
      <c r="J22" s="18">
        <v>1.50101</v>
      </c>
      <c r="K22" s="18">
        <v>1.4798100000000001</v>
      </c>
      <c r="L22" s="18">
        <v>1.4584299999999999</v>
      </c>
      <c r="M22" s="18">
        <v>1.4368700000000001</v>
      </c>
      <c r="N22" s="18">
        <v>1.4151400000000001</v>
      </c>
      <c r="O22" s="18">
        <v>1.3932500000000001</v>
      </c>
      <c r="P22" s="18">
        <v>1.3712</v>
      </c>
      <c r="Q22" s="18">
        <v>1.34903</v>
      </c>
      <c r="R22" s="18">
        <v>1.3267199999999999</v>
      </c>
      <c r="S22" s="18">
        <v>1.3042800000000001</v>
      </c>
      <c r="T22" s="18">
        <v>1.2817400000000001</v>
      </c>
      <c r="U22" s="19">
        <v>1.2591000000000001</v>
      </c>
      <c r="W22" s="16">
        <v>105</v>
      </c>
      <c r="X22" s="18">
        <v>1.7011099999999999</v>
      </c>
      <c r="Y22" s="18">
        <v>1.7208699999999999</v>
      </c>
      <c r="Z22" s="18">
        <v>1.7410600000000001</v>
      </c>
      <c r="AA22" s="18">
        <v>1.7616799999999999</v>
      </c>
      <c r="AB22" s="18">
        <v>1.7827299999999999</v>
      </c>
      <c r="AC22" s="18">
        <v>1.80419</v>
      </c>
      <c r="AD22" s="18">
        <v>1.82606</v>
      </c>
      <c r="AE22" s="18">
        <v>1.8474900000000001</v>
      </c>
      <c r="AF22" s="18">
        <v>1.8691899999999999</v>
      </c>
      <c r="AG22" s="18">
        <v>1.8912599999999999</v>
      </c>
      <c r="AH22" s="18">
        <v>1.91368</v>
      </c>
      <c r="AI22" s="18">
        <v>1.9364399999999999</v>
      </c>
      <c r="AJ22" s="18">
        <v>1.9595400000000001</v>
      </c>
      <c r="AK22" s="18">
        <v>1.98298</v>
      </c>
      <c r="AL22" s="18">
        <v>2.0067200000000001</v>
      </c>
      <c r="AM22" s="18">
        <v>2.0307900000000001</v>
      </c>
      <c r="AN22" s="18">
        <v>2.0551499999999998</v>
      </c>
      <c r="AO22" s="18">
        <v>2.0798100000000002</v>
      </c>
      <c r="AP22" s="18">
        <v>2.1047500000000001</v>
      </c>
      <c r="AQ22" s="19">
        <v>2.1299700000000001</v>
      </c>
    </row>
    <row r="23" spans="1:43" x14ac:dyDescent="0.2">
      <c r="A23" s="16">
        <v>110</v>
      </c>
      <c r="B23" s="18">
        <v>1.67076</v>
      </c>
      <c r="C23" s="18">
        <v>1.65228</v>
      </c>
      <c r="D23" s="18">
        <v>1.63357</v>
      </c>
      <c r="E23" s="18">
        <v>1.6146199999999999</v>
      </c>
      <c r="F23" s="18">
        <v>1.59545</v>
      </c>
      <c r="G23" s="18">
        <v>1.57606</v>
      </c>
      <c r="H23" s="18">
        <v>1.55647</v>
      </c>
      <c r="I23" s="18">
        <v>1.53667</v>
      </c>
      <c r="J23" s="18">
        <v>1.51668</v>
      </c>
      <c r="K23" s="18">
        <v>1.49651</v>
      </c>
      <c r="L23" s="18">
        <v>1.47617</v>
      </c>
      <c r="M23" s="18">
        <v>1.45564</v>
      </c>
      <c r="N23" s="18">
        <v>1.43496</v>
      </c>
      <c r="O23" s="18">
        <v>1.41412</v>
      </c>
      <c r="P23" s="18">
        <v>1.3931500000000001</v>
      </c>
      <c r="Q23" s="18">
        <v>1.3720300000000001</v>
      </c>
      <c r="R23" s="18">
        <v>1.3507899999999999</v>
      </c>
      <c r="S23" s="18">
        <v>1.3294299999999999</v>
      </c>
      <c r="T23" s="18">
        <v>1.30796</v>
      </c>
      <c r="U23" s="19">
        <v>1.2863899999999999</v>
      </c>
      <c r="W23" s="16">
        <v>110</v>
      </c>
      <c r="X23" s="18">
        <v>1.7074100000000001</v>
      </c>
      <c r="Y23" s="18">
        <v>1.7262299999999999</v>
      </c>
      <c r="Z23" s="18">
        <v>1.7454499999999999</v>
      </c>
      <c r="AA23" s="18">
        <v>1.7650600000000001</v>
      </c>
      <c r="AB23" s="18">
        <v>1.7850600000000001</v>
      </c>
      <c r="AC23" s="18">
        <v>1.8054300000000001</v>
      </c>
      <c r="AD23" s="18">
        <v>1.8261799999999999</v>
      </c>
      <c r="AE23" s="18">
        <v>1.8466899999999999</v>
      </c>
      <c r="AF23" s="18">
        <v>1.8673</v>
      </c>
      <c r="AG23" s="18">
        <v>1.8882399999999999</v>
      </c>
      <c r="AH23" s="18">
        <v>1.9095</v>
      </c>
      <c r="AI23" s="18">
        <v>1.9310799999999999</v>
      </c>
      <c r="AJ23" s="18">
        <v>1.9529700000000001</v>
      </c>
      <c r="AK23" s="18">
        <v>1.97516</v>
      </c>
      <c r="AL23" s="18">
        <v>1.9976499999999999</v>
      </c>
      <c r="AM23" s="18">
        <v>2.0204200000000001</v>
      </c>
      <c r="AN23" s="18">
        <v>2.0434800000000002</v>
      </c>
      <c r="AO23" s="18">
        <v>2.0668099999999998</v>
      </c>
      <c r="AP23" s="18">
        <v>2.0903999999999998</v>
      </c>
      <c r="AQ23" s="19">
        <v>2.1142599999999998</v>
      </c>
    </row>
    <row r="24" spans="1:43" x14ac:dyDescent="0.2">
      <c r="A24" s="16">
        <v>115</v>
      </c>
      <c r="B24" s="18">
        <v>1.67828</v>
      </c>
      <c r="C24" s="18">
        <v>1.6606099999999999</v>
      </c>
      <c r="D24" s="18">
        <v>1.64272</v>
      </c>
      <c r="E24" s="18">
        <v>1.62462</v>
      </c>
      <c r="F24" s="18">
        <v>1.60632</v>
      </c>
      <c r="G24" s="18">
        <v>1.5878099999999999</v>
      </c>
      <c r="H24" s="18">
        <v>1.56911</v>
      </c>
      <c r="I24" s="18">
        <v>1.5502199999999999</v>
      </c>
      <c r="J24" s="18">
        <v>1.53115</v>
      </c>
      <c r="K24" s="18">
        <v>1.5119</v>
      </c>
      <c r="L24" s="18">
        <v>1.4924999999999999</v>
      </c>
      <c r="M24" s="18">
        <v>1.4729300000000001</v>
      </c>
      <c r="N24" s="18">
        <v>1.4532</v>
      </c>
      <c r="O24" s="18">
        <v>1.43333</v>
      </c>
      <c r="P24" s="18">
        <v>1.4133199999999999</v>
      </c>
      <c r="Q24" s="18">
        <v>1.3931800000000001</v>
      </c>
      <c r="R24" s="18">
        <v>1.3729100000000001</v>
      </c>
      <c r="S24" s="18">
        <v>1.3525400000000001</v>
      </c>
      <c r="T24" s="18">
        <v>1.33205</v>
      </c>
      <c r="U24" s="19">
        <v>1.3114600000000001</v>
      </c>
      <c r="W24" s="16">
        <v>115</v>
      </c>
      <c r="X24" s="18">
        <v>1.71333</v>
      </c>
      <c r="Y24" s="18">
        <v>1.73129</v>
      </c>
      <c r="Z24" s="18">
        <v>1.74963</v>
      </c>
      <c r="AA24" s="18">
        <v>1.7683199999999999</v>
      </c>
      <c r="AB24" s="18">
        <v>1.7873699999999999</v>
      </c>
      <c r="AC24" s="18">
        <v>1.8067599999999999</v>
      </c>
      <c r="AD24" s="18">
        <v>1.8265</v>
      </c>
      <c r="AE24" s="18">
        <v>1.84616</v>
      </c>
      <c r="AF24" s="18">
        <v>1.8657699999999999</v>
      </c>
      <c r="AG24" s="18">
        <v>1.8856900000000001</v>
      </c>
      <c r="AH24" s="18">
        <v>1.90591</v>
      </c>
      <c r="AI24" s="18">
        <v>1.92641</v>
      </c>
      <c r="AJ24" s="18">
        <v>1.9472100000000001</v>
      </c>
      <c r="AK24" s="18">
        <v>1.96828</v>
      </c>
      <c r="AL24" s="18">
        <v>1.98963</v>
      </c>
      <c r="AM24" s="18">
        <v>2.0112399999999999</v>
      </c>
      <c r="AN24" s="18">
        <v>2.0331199999999998</v>
      </c>
      <c r="AO24" s="18">
        <v>2.05525</v>
      </c>
      <c r="AP24" s="18">
        <v>2.0776300000000001</v>
      </c>
      <c r="AQ24" s="19">
        <v>2.1002399999999999</v>
      </c>
    </row>
    <row r="25" spans="1:43" x14ac:dyDescent="0.2">
      <c r="A25" s="16">
        <v>120</v>
      </c>
      <c r="B25" s="18">
        <v>1.6853100000000001</v>
      </c>
      <c r="C25" s="18">
        <v>1.66839</v>
      </c>
      <c r="D25" s="18">
        <v>1.65126</v>
      </c>
      <c r="E25" s="18">
        <v>1.6339399999999999</v>
      </c>
      <c r="F25" s="18">
        <v>1.61642</v>
      </c>
      <c r="G25" s="18">
        <v>1.5987199999999999</v>
      </c>
      <c r="H25" s="18">
        <v>1.58083</v>
      </c>
      <c r="I25" s="18">
        <v>1.5627599999999999</v>
      </c>
      <c r="J25" s="18">
        <v>1.54454</v>
      </c>
      <c r="K25" s="18">
        <v>1.5261499999999999</v>
      </c>
      <c r="L25" s="18">
        <v>1.50759</v>
      </c>
      <c r="M25" s="18">
        <v>1.48889</v>
      </c>
      <c r="N25" s="18">
        <v>1.47004</v>
      </c>
      <c r="O25" s="18">
        <v>1.45106</v>
      </c>
      <c r="P25" s="18">
        <v>1.4319299999999999</v>
      </c>
      <c r="Q25" s="18">
        <v>1.41269</v>
      </c>
      <c r="R25" s="18">
        <v>1.3933199999999999</v>
      </c>
      <c r="S25" s="18">
        <v>1.37385</v>
      </c>
      <c r="T25" s="18">
        <v>1.35425</v>
      </c>
      <c r="U25" s="19">
        <v>1.33457</v>
      </c>
      <c r="W25" s="16">
        <v>120</v>
      </c>
      <c r="X25" s="18">
        <v>1.71889</v>
      </c>
      <c r="Y25" s="18">
        <v>1.7360800000000001</v>
      </c>
      <c r="Z25" s="18">
        <v>1.7536099999999999</v>
      </c>
      <c r="AA25" s="18">
        <v>1.77146</v>
      </c>
      <c r="AB25" s="18">
        <v>1.7896399999999999</v>
      </c>
      <c r="AC25" s="18">
        <v>1.8081499999999999</v>
      </c>
      <c r="AD25" s="18">
        <v>1.8269599999999999</v>
      </c>
      <c r="AE25" s="18">
        <v>1.8458399999999999</v>
      </c>
      <c r="AF25" s="18">
        <v>1.8645499999999999</v>
      </c>
      <c r="AG25" s="18">
        <v>1.88354</v>
      </c>
      <c r="AH25" s="18">
        <v>1.9028099999999999</v>
      </c>
      <c r="AI25" s="18">
        <v>1.9223399999999999</v>
      </c>
      <c r="AJ25" s="18">
        <v>1.94215</v>
      </c>
      <c r="AK25" s="18">
        <v>1.96221</v>
      </c>
      <c r="AL25" s="18">
        <v>1.9825200000000001</v>
      </c>
      <c r="AM25" s="18">
        <v>2.0030800000000002</v>
      </c>
      <c r="AN25" s="18">
        <v>2.0238800000000001</v>
      </c>
      <c r="AO25" s="18">
        <v>2.0449299999999999</v>
      </c>
      <c r="AP25" s="18">
        <v>2.0661999999999998</v>
      </c>
      <c r="AQ25" s="19">
        <v>2.0876999999999999</v>
      </c>
    </row>
    <row r="26" spans="1:43" x14ac:dyDescent="0.2">
      <c r="A26" s="16">
        <v>125</v>
      </c>
      <c r="B26" s="18">
        <v>1.69191</v>
      </c>
      <c r="C26" s="18">
        <v>1.67567</v>
      </c>
      <c r="D26" s="18">
        <v>1.65924</v>
      </c>
      <c r="E26" s="18">
        <v>1.64263</v>
      </c>
      <c r="F26" s="18">
        <v>1.62584</v>
      </c>
      <c r="G26" s="18">
        <v>1.60887</v>
      </c>
      <c r="H26" s="18">
        <v>1.5917300000000001</v>
      </c>
      <c r="I26" s="18">
        <v>1.57443</v>
      </c>
      <c r="J26" s="18">
        <v>1.55697</v>
      </c>
      <c r="K26" s="18">
        <v>1.5393600000000001</v>
      </c>
      <c r="L26" s="18">
        <v>1.5216000000000001</v>
      </c>
      <c r="M26" s="18">
        <v>1.50369</v>
      </c>
      <c r="N26" s="18">
        <v>1.4856499999999999</v>
      </c>
      <c r="O26" s="18">
        <v>1.4674700000000001</v>
      </c>
      <c r="P26" s="18">
        <v>1.44916</v>
      </c>
      <c r="Q26" s="18">
        <v>1.4307399999999999</v>
      </c>
      <c r="R26" s="18">
        <v>1.4121999999999999</v>
      </c>
      <c r="S26" s="18">
        <v>1.3935500000000001</v>
      </c>
      <c r="T26" s="18">
        <v>1.3748</v>
      </c>
      <c r="U26" s="19">
        <v>1.35595</v>
      </c>
      <c r="W26" s="16">
        <v>125</v>
      </c>
      <c r="X26" s="18">
        <v>1.7241299999999999</v>
      </c>
      <c r="Y26" s="18">
        <v>1.74061</v>
      </c>
      <c r="Z26" s="18">
        <v>1.7574000000000001</v>
      </c>
      <c r="AA26" s="18">
        <v>1.7745</v>
      </c>
      <c r="AB26" s="18">
        <v>1.79189</v>
      </c>
      <c r="AC26" s="18">
        <v>1.80958</v>
      </c>
      <c r="AD26" s="18">
        <v>1.82755</v>
      </c>
      <c r="AE26" s="18">
        <v>1.84571</v>
      </c>
      <c r="AF26" s="18">
        <v>1.8635900000000001</v>
      </c>
      <c r="AG26" s="18">
        <v>1.8817299999999999</v>
      </c>
      <c r="AH26" s="18">
        <v>1.9001300000000001</v>
      </c>
      <c r="AI26" s="18">
        <v>1.9187799999999999</v>
      </c>
      <c r="AJ26" s="18">
        <v>1.9376800000000001</v>
      </c>
      <c r="AK26" s="18">
        <v>1.95682</v>
      </c>
      <c r="AL26" s="18">
        <v>1.9761899999999999</v>
      </c>
      <c r="AM26" s="18">
        <v>1.99579</v>
      </c>
      <c r="AN26" s="18">
        <v>2.0156200000000002</v>
      </c>
      <c r="AO26" s="18">
        <v>2.0356800000000002</v>
      </c>
      <c r="AP26" s="18">
        <v>2.0559400000000001</v>
      </c>
      <c r="AQ26" s="19">
        <v>2.0764200000000002</v>
      </c>
    </row>
    <row r="27" spans="1:43" x14ac:dyDescent="0.2">
      <c r="A27" s="16">
        <v>130</v>
      </c>
      <c r="B27" s="18">
        <v>1.69811</v>
      </c>
      <c r="C27" s="18">
        <v>1.6825000000000001</v>
      </c>
      <c r="D27" s="18">
        <v>1.66672</v>
      </c>
      <c r="E27" s="18">
        <v>1.65076</v>
      </c>
      <c r="F27" s="18">
        <v>1.6346400000000001</v>
      </c>
      <c r="G27" s="18">
        <v>1.61836</v>
      </c>
      <c r="H27" s="18">
        <v>1.6019099999999999</v>
      </c>
      <c r="I27" s="18">
        <v>1.58531</v>
      </c>
      <c r="J27" s="18">
        <v>1.56856</v>
      </c>
      <c r="K27" s="18">
        <v>1.55166</v>
      </c>
      <c r="L27" s="18">
        <v>1.5346200000000001</v>
      </c>
      <c r="M27" s="18">
        <v>1.51745</v>
      </c>
      <c r="N27" s="18">
        <v>1.5001500000000001</v>
      </c>
      <c r="O27" s="18">
        <v>1.48272</v>
      </c>
      <c r="P27" s="18">
        <v>1.46516</v>
      </c>
      <c r="Q27" s="18">
        <v>1.4475</v>
      </c>
      <c r="R27" s="18">
        <v>1.4297200000000001</v>
      </c>
      <c r="S27" s="18">
        <v>1.41184</v>
      </c>
      <c r="T27" s="18">
        <v>1.3938600000000001</v>
      </c>
      <c r="U27" s="19">
        <v>1.3757699999999999</v>
      </c>
      <c r="W27" s="16">
        <v>130</v>
      </c>
      <c r="X27" s="18">
        <v>1.72909</v>
      </c>
      <c r="Y27" s="18">
        <v>1.74492</v>
      </c>
      <c r="Z27" s="18">
        <v>1.7610300000000001</v>
      </c>
      <c r="AA27" s="18">
        <v>1.7774300000000001</v>
      </c>
      <c r="AB27" s="18">
        <v>1.79409</v>
      </c>
      <c r="AC27" s="18">
        <v>1.8110299999999999</v>
      </c>
      <c r="AD27" s="18">
        <v>1.82823</v>
      </c>
      <c r="AE27" s="18">
        <v>1.8456900000000001</v>
      </c>
      <c r="AF27" s="18">
        <v>1.8628499999999999</v>
      </c>
      <c r="AG27" s="18">
        <v>1.8802099999999999</v>
      </c>
      <c r="AH27" s="18">
        <v>1.8978200000000001</v>
      </c>
      <c r="AI27" s="18">
        <v>1.9156500000000001</v>
      </c>
      <c r="AJ27" s="18">
        <v>1.9337200000000001</v>
      </c>
      <c r="AK27" s="18">
        <v>1.95201</v>
      </c>
      <c r="AL27" s="18">
        <v>1.9705299999999999</v>
      </c>
      <c r="AM27" s="18">
        <v>1.98925</v>
      </c>
      <c r="AN27" s="18">
        <v>2.0082</v>
      </c>
      <c r="AO27" s="18">
        <v>2.0273400000000001</v>
      </c>
      <c r="AP27" s="18">
        <v>2.0466899999999999</v>
      </c>
      <c r="AQ27" s="19">
        <v>2.06623</v>
      </c>
    </row>
    <row r="28" spans="1:43" x14ac:dyDescent="0.2">
      <c r="A28" s="16">
        <v>135</v>
      </c>
      <c r="B28" s="18">
        <v>1.70397</v>
      </c>
      <c r="C28" s="18">
        <v>1.6889400000000001</v>
      </c>
      <c r="D28" s="18">
        <v>1.6737500000000001</v>
      </c>
      <c r="E28" s="18">
        <v>1.6584000000000001</v>
      </c>
      <c r="F28" s="18">
        <v>1.6429</v>
      </c>
      <c r="G28" s="18">
        <v>1.62723</v>
      </c>
      <c r="H28" s="18">
        <v>1.6114200000000001</v>
      </c>
      <c r="I28" s="18">
        <v>1.5954699999999999</v>
      </c>
      <c r="J28" s="18">
        <v>1.5793699999999999</v>
      </c>
      <c r="K28" s="18">
        <v>1.56315</v>
      </c>
      <c r="L28" s="18">
        <v>1.54677</v>
      </c>
      <c r="M28" s="18">
        <v>1.5302800000000001</v>
      </c>
      <c r="N28" s="18">
        <v>1.5136700000000001</v>
      </c>
      <c r="O28" s="18">
        <v>1.49692</v>
      </c>
      <c r="P28" s="18">
        <v>1.48007</v>
      </c>
      <c r="Q28" s="18">
        <v>1.4631000000000001</v>
      </c>
      <c r="R28" s="18">
        <v>1.44604</v>
      </c>
      <c r="S28" s="18">
        <v>1.42885</v>
      </c>
      <c r="T28" s="18">
        <v>1.4115800000000001</v>
      </c>
      <c r="U28" s="19">
        <v>1.39422</v>
      </c>
      <c r="W28" s="16">
        <v>135</v>
      </c>
      <c r="X28" s="18">
        <v>1.7337899999999999</v>
      </c>
      <c r="Y28" s="18">
        <v>1.74902</v>
      </c>
      <c r="Z28" s="18">
        <v>1.7645</v>
      </c>
      <c r="AA28" s="18">
        <v>1.78024</v>
      </c>
      <c r="AB28" s="18">
        <v>1.7962400000000001</v>
      </c>
      <c r="AC28" s="18">
        <v>1.8125</v>
      </c>
      <c r="AD28" s="18">
        <v>1.8289899999999999</v>
      </c>
      <c r="AE28" s="18">
        <v>1.8457300000000001</v>
      </c>
      <c r="AF28" s="18">
        <v>1.8622799999999999</v>
      </c>
      <c r="AG28" s="18">
        <v>1.87893</v>
      </c>
      <c r="AH28" s="18">
        <v>1.89581</v>
      </c>
      <c r="AI28" s="18">
        <v>1.9129100000000001</v>
      </c>
      <c r="AJ28" s="18">
        <v>1.93022</v>
      </c>
      <c r="AK28" s="18">
        <v>1.94773</v>
      </c>
      <c r="AL28" s="18">
        <v>1.9654499999999999</v>
      </c>
      <c r="AM28" s="18">
        <v>1.9833700000000001</v>
      </c>
      <c r="AN28" s="18">
        <v>2.0015000000000001</v>
      </c>
      <c r="AO28" s="18">
        <v>2.0198100000000001</v>
      </c>
      <c r="AP28" s="18">
        <v>2.0383200000000001</v>
      </c>
      <c r="AQ28" s="19">
        <v>2.05701</v>
      </c>
    </row>
    <row r="29" spans="1:43" x14ac:dyDescent="0.2">
      <c r="A29" s="16">
        <v>140</v>
      </c>
      <c r="B29" s="18">
        <v>1.7095</v>
      </c>
      <c r="C29" s="18">
        <v>1.6950099999999999</v>
      </c>
      <c r="D29" s="18">
        <v>1.68038</v>
      </c>
      <c r="E29" s="18">
        <v>1.6655899999999999</v>
      </c>
      <c r="F29" s="18">
        <v>1.65066</v>
      </c>
      <c r="G29" s="18">
        <v>1.63557</v>
      </c>
      <c r="H29" s="18">
        <v>1.62036</v>
      </c>
      <c r="I29" s="18">
        <v>1.605</v>
      </c>
      <c r="J29" s="18">
        <v>1.58951</v>
      </c>
      <c r="K29" s="18">
        <v>1.57389</v>
      </c>
      <c r="L29" s="18">
        <v>1.5581499999999999</v>
      </c>
      <c r="M29" s="18">
        <v>1.5422800000000001</v>
      </c>
      <c r="N29" s="18">
        <v>1.5262899999999999</v>
      </c>
      <c r="O29" s="18">
        <v>1.5102</v>
      </c>
      <c r="P29" s="18">
        <v>1.4939899999999999</v>
      </c>
      <c r="Q29" s="18">
        <v>1.47767</v>
      </c>
      <c r="R29" s="18">
        <v>1.4612499999999999</v>
      </c>
      <c r="S29" s="18">
        <v>1.4447300000000001</v>
      </c>
      <c r="T29" s="18">
        <v>1.4281299999999999</v>
      </c>
      <c r="U29" s="19">
        <v>1.41143</v>
      </c>
      <c r="W29" s="16">
        <v>140</v>
      </c>
      <c r="X29" s="18">
        <v>1.73824</v>
      </c>
      <c r="Y29" s="18">
        <v>1.75291</v>
      </c>
      <c r="Z29" s="18">
        <v>1.7678199999999999</v>
      </c>
      <c r="AA29" s="18">
        <v>1.7829699999999999</v>
      </c>
      <c r="AB29" s="18">
        <v>1.79836</v>
      </c>
      <c r="AC29" s="18">
        <v>1.8139700000000001</v>
      </c>
      <c r="AD29" s="18">
        <v>1.8298099999999999</v>
      </c>
      <c r="AE29" s="18">
        <v>1.84589</v>
      </c>
      <c r="AF29" s="18">
        <v>1.86188</v>
      </c>
      <c r="AG29" s="18">
        <v>1.8778699999999999</v>
      </c>
      <c r="AH29" s="18">
        <v>1.89408</v>
      </c>
      <c r="AI29" s="18">
        <v>1.91048</v>
      </c>
      <c r="AJ29" s="18">
        <v>1.92709</v>
      </c>
      <c r="AK29" s="18">
        <v>1.9438899999999999</v>
      </c>
      <c r="AL29" s="18">
        <v>1.96089</v>
      </c>
      <c r="AM29" s="18">
        <v>1.9780800000000001</v>
      </c>
      <c r="AN29" s="18">
        <v>1.9954400000000001</v>
      </c>
      <c r="AO29" s="18">
        <v>2.0129899999999998</v>
      </c>
      <c r="AP29" s="18">
        <v>2.0307300000000001</v>
      </c>
      <c r="AQ29" s="19">
        <v>2.0486399999999998</v>
      </c>
    </row>
    <row r="30" spans="1:43" x14ac:dyDescent="0.2">
      <c r="A30" s="16">
        <v>145</v>
      </c>
      <c r="B30" s="18">
        <v>1.7147300000000001</v>
      </c>
      <c r="C30" s="18">
        <v>1.70075</v>
      </c>
      <c r="D30" s="18">
        <v>1.6866300000000001</v>
      </c>
      <c r="E30" s="18">
        <v>1.6723600000000001</v>
      </c>
      <c r="F30" s="18">
        <v>1.6579600000000001</v>
      </c>
      <c r="G30" s="18">
        <v>1.6434299999999999</v>
      </c>
      <c r="H30" s="18">
        <v>1.6287499999999999</v>
      </c>
      <c r="I30" s="18">
        <v>1.61395</v>
      </c>
      <c r="J30" s="18">
        <v>1.5990200000000001</v>
      </c>
      <c r="K30" s="18">
        <v>1.5839799999999999</v>
      </c>
      <c r="L30" s="18">
        <v>1.56881</v>
      </c>
      <c r="M30" s="18">
        <v>1.55352</v>
      </c>
      <c r="N30" s="18">
        <v>1.53813</v>
      </c>
      <c r="O30" s="18">
        <v>1.5226299999999999</v>
      </c>
      <c r="P30" s="18">
        <v>1.50702</v>
      </c>
      <c r="Q30" s="18">
        <v>1.4913099999999999</v>
      </c>
      <c r="R30" s="18">
        <v>1.4755</v>
      </c>
      <c r="S30" s="18">
        <v>1.4595899999999999</v>
      </c>
      <c r="T30" s="18">
        <v>1.4435899999999999</v>
      </c>
      <c r="U30" s="19">
        <v>1.4275100000000001</v>
      </c>
      <c r="W30" s="16">
        <v>145</v>
      </c>
      <c r="X30" s="18">
        <v>1.74247</v>
      </c>
      <c r="Y30" s="18">
        <v>1.7566299999999999</v>
      </c>
      <c r="Z30" s="18">
        <v>1.7709999999999999</v>
      </c>
      <c r="AA30" s="18">
        <v>1.78559</v>
      </c>
      <c r="AB30" s="18">
        <v>1.8004</v>
      </c>
      <c r="AC30" s="18">
        <v>1.8154399999999999</v>
      </c>
      <c r="AD30" s="18">
        <v>1.8306899999999999</v>
      </c>
      <c r="AE30" s="18">
        <v>1.84615</v>
      </c>
      <c r="AF30" s="18">
        <v>1.8615999999999999</v>
      </c>
      <c r="AG30" s="18">
        <v>1.8769899999999999</v>
      </c>
      <c r="AH30" s="18">
        <v>1.8925700000000001</v>
      </c>
      <c r="AI30" s="18">
        <v>1.9083399999999999</v>
      </c>
      <c r="AJ30" s="18">
        <v>1.9242999999999999</v>
      </c>
      <c r="AK30" s="18">
        <v>1.9404399999999999</v>
      </c>
      <c r="AL30" s="18">
        <v>1.9567699999999999</v>
      </c>
      <c r="AM30" s="18">
        <v>1.9732700000000001</v>
      </c>
      <c r="AN30" s="18">
        <v>1.9899500000000001</v>
      </c>
      <c r="AO30" s="18">
        <v>2.0068000000000001</v>
      </c>
      <c r="AP30" s="18">
        <v>2.0238200000000002</v>
      </c>
      <c r="AQ30" s="19">
        <v>2.0409999999999999</v>
      </c>
    </row>
    <row r="31" spans="1:43" x14ac:dyDescent="0.2">
      <c r="A31" s="16">
        <v>150</v>
      </c>
      <c r="B31" s="18">
        <v>1.7197</v>
      </c>
      <c r="C31" s="18">
        <v>1.7061900000000001</v>
      </c>
      <c r="D31" s="18">
        <v>1.69255</v>
      </c>
      <c r="E31" s="18">
        <v>1.6787700000000001</v>
      </c>
      <c r="F31" s="18">
        <v>1.66486</v>
      </c>
      <c r="G31" s="18">
        <v>1.65082</v>
      </c>
      <c r="H31" s="18">
        <v>1.63666</v>
      </c>
      <c r="I31" s="18">
        <v>1.6223799999999999</v>
      </c>
      <c r="J31" s="18">
        <v>1.60799</v>
      </c>
      <c r="K31" s="18">
        <v>1.5934600000000001</v>
      </c>
      <c r="L31" s="18">
        <v>1.57883</v>
      </c>
      <c r="M31" s="18">
        <v>1.56409</v>
      </c>
      <c r="N31" s="18">
        <v>1.54925</v>
      </c>
      <c r="O31" s="18">
        <v>1.5343</v>
      </c>
      <c r="P31" s="18">
        <v>1.51925</v>
      </c>
      <c r="Q31" s="18">
        <v>1.5041</v>
      </c>
      <c r="R31" s="18">
        <v>1.48885</v>
      </c>
      <c r="S31" s="18">
        <v>1.4735199999999999</v>
      </c>
      <c r="T31" s="18">
        <v>1.4580900000000001</v>
      </c>
      <c r="U31" s="19">
        <v>1.44259</v>
      </c>
      <c r="W31" s="16">
        <v>150</v>
      </c>
      <c r="X31" s="18">
        <v>1.7465200000000001</v>
      </c>
      <c r="Y31" s="18">
        <v>1.7601800000000001</v>
      </c>
      <c r="Z31" s="18">
        <v>1.77406</v>
      </c>
      <c r="AA31" s="18">
        <v>1.7881400000000001</v>
      </c>
      <c r="AB31" s="18">
        <v>1.8024199999999999</v>
      </c>
      <c r="AC31" s="18">
        <v>1.8169</v>
      </c>
      <c r="AD31" s="18">
        <v>1.8315900000000001</v>
      </c>
      <c r="AE31" s="18">
        <v>1.8464799999999999</v>
      </c>
      <c r="AF31" s="18">
        <v>1.86144</v>
      </c>
      <c r="AG31" s="18">
        <v>1.8762700000000001</v>
      </c>
      <c r="AH31" s="18">
        <v>1.89127</v>
      </c>
      <c r="AI31" s="18">
        <v>1.90645</v>
      </c>
      <c r="AJ31" s="18">
        <v>1.9218200000000001</v>
      </c>
      <c r="AK31" s="18">
        <v>1.9373499999999999</v>
      </c>
      <c r="AL31" s="18">
        <v>1.95305</v>
      </c>
      <c r="AM31" s="18">
        <v>1.96892</v>
      </c>
      <c r="AN31" s="18">
        <v>1.9849600000000001</v>
      </c>
      <c r="AO31" s="18">
        <v>2.00116</v>
      </c>
      <c r="AP31" s="18">
        <v>2.0175100000000001</v>
      </c>
      <c r="AQ31" s="19">
        <v>2.0340199999999999</v>
      </c>
    </row>
    <row r="32" spans="1:43" x14ac:dyDescent="0.2">
      <c r="A32" s="16">
        <v>155</v>
      </c>
      <c r="B32" s="18">
        <v>1.7244200000000001</v>
      </c>
      <c r="C32" s="18">
        <v>1.7113499999999999</v>
      </c>
      <c r="D32" s="18">
        <v>1.69815</v>
      </c>
      <c r="E32" s="18">
        <v>1.68483</v>
      </c>
      <c r="F32" s="18">
        <v>1.6713899999999999</v>
      </c>
      <c r="G32" s="18">
        <v>1.6578200000000001</v>
      </c>
      <c r="H32" s="18">
        <v>1.6441300000000001</v>
      </c>
      <c r="I32" s="18">
        <v>1.6303399999999999</v>
      </c>
      <c r="J32" s="18">
        <v>1.61643</v>
      </c>
      <c r="K32" s="18">
        <v>1.6024099999999999</v>
      </c>
      <c r="L32" s="18">
        <v>1.5882700000000001</v>
      </c>
      <c r="M32" s="18">
        <v>1.5740400000000001</v>
      </c>
      <c r="N32" s="18">
        <v>1.5597099999999999</v>
      </c>
      <c r="O32" s="18">
        <v>1.5452699999999999</v>
      </c>
      <c r="P32" s="18">
        <v>1.53074</v>
      </c>
      <c r="Q32" s="18">
        <v>1.5161199999999999</v>
      </c>
      <c r="R32" s="18">
        <v>1.50139</v>
      </c>
      <c r="S32" s="18">
        <v>1.4865900000000001</v>
      </c>
      <c r="T32" s="18">
        <v>1.4717100000000001</v>
      </c>
      <c r="U32" s="19">
        <v>1.4567399999999999</v>
      </c>
      <c r="W32" s="16">
        <v>155</v>
      </c>
      <c r="X32" s="18">
        <v>1.7503599999999999</v>
      </c>
      <c r="Y32" s="18">
        <v>1.7635799999999999</v>
      </c>
      <c r="Z32" s="18">
        <v>1.77698</v>
      </c>
      <c r="AA32" s="18">
        <v>1.7905800000000001</v>
      </c>
      <c r="AB32" s="18">
        <v>1.80437</v>
      </c>
      <c r="AC32" s="18">
        <v>1.81836</v>
      </c>
      <c r="AD32" s="18">
        <v>1.83253</v>
      </c>
      <c r="AE32" s="18">
        <v>1.8468800000000001</v>
      </c>
      <c r="AF32" s="18">
        <v>1.86138</v>
      </c>
      <c r="AG32" s="18">
        <v>1.87568</v>
      </c>
      <c r="AH32" s="18">
        <v>1.89015</v>
      </c>
      <c r="AI32" s="18">
        <v>1.9047799999999999</v>
      </c>
      <c r="AJ32" s="18">
        <v>1.9195899999999999</v>
      </c>
      <c r="AK32" s="18">
        <v>1.93455</v>
      </c>
      <c r="AL32" s="18">
        <v>1.9496800000000001</v>
      </c>
      <c r="AM32" s="18">
        <v>1.9649700000000001</v>
      </c>
      <c r="AN32" s="18">
        <v>1.9803999999999999</v>
      </c>
      <c r="AO32" s="18">
        <v>1.996</v>
      </c>
      <c r="AP32" s="18">
        <v>2.0117400000000001</v>
      </c>
      <c r="AQ32" s="19">
        <v>2.0276299999999998</v>
      </c>
    </row>
    <row r="33" spans="1:43" x14ac:dyDescent="0.2">
      <c r="A33" s="16">
        <v>160</v>
      </c>
      <c r="B33" s="18">
        <v>1.7289000000000001</v>
      </c>
      <c r="C33" s="18">
        <v>1.7162500000000001</v>
      </c>
      <c r="D33" s="18">
        <v>1.7034800000000001</v>
      </c>
      <c r="E33" s="18">
        <v>1.69058</v>
      </c>
      <c r="F33" s="18">
        <v>1.6775599999999999</v>
      </c>
      <c r="G33" s="18">
        <v>1.6644399999999999</v>
      </c>
      <c r="H33" s="18">
        <v>1.6512100000000001</v>
      </c>
      <c r="I33" s="18">
        <v>1.6378600000000001</v>
      </c>
      <c r="J33" s="18">
        <v>1.6244099999999999</v>
      </c>
      <c r="K33" s="18">
        <v>1.61084</v>
      </c>
      <c r="L33" s="18">
        <v>1.59718</v>
      </c>
      <c r="M33" s="18">
        <v>1.5834299999999999</v>
      </c>
      <c r="N33" s="18">
        <v>1.5695699999999999</v>
      </c>
      <c r="O33" s="18">
        <v>1.55562</v>
      </c>
      <c r="P33" s="18">
        <v>1.54158</v>
      </c>
      <c r="Q33" s="18">
        <v>1.5274399999999999</v>
      </c>
      <c r="R33" s="18">
        <v>1.51322</v>
      </c>
      <c r="S33" s="18">
        <v>1.49892</v>
      </c>
      <c r="T33" s="18">
        <v>1.4845200000000001</v>
      </c>
      <c r="U33" s="19">
        <v>1.4700599999999999</v>
      </c>
      <c r="W33" s="16">
        <v>160</v>
      </c>
      <c r="X33" s="18">
        <v>1.7540500000000001</v>
      </c>
      <c r="Y33" s="18">
        <v>1.7668299999999999</v>
      </c>
      <c r="Z33" s="18">
        <v>1.7798</v>
      </c>
      <c r="AA33" s="18">
        <v>1.7929600000000001</v>
      </c>
      <c r="AB33" s="18">
        <v>1.80629</v>
      </c>
      <c r="AC33" s="18">
        <v>1.8198000000000001</v>
      </c>
      <c r="AD33" s="18">
        <v>1.83348</v>
      </c>
      <c r="AE33" s="18">
        <v>1.84734</v>
      </c>
      <c r="AF33" s="18">
        <v>1.86138</v>
      </c>
      <c r="AG33" s="18">
        <v>1.8752</v>
      </c>
      <c r="AH33" s="18">
        <v>1.8891800000000001</v>
      </c>
      <c r="AI33" s="18">
        <v>1.9033100000000001</v>
      </c>
      <c r="AJ33" s="18">
        <v>1.9175899999999999</v>
      </c>
      <c r="AK33" s="18">
        <v>1.93204</v>
      </c>
      <c r="AL33" s="18">
        <v>1.94662</v>
      </c>
      <c r="AM33" s="18">
        <v>1.96136</v>
      </c>
      <c r="AN33" s="18">
        <v>1.97624</v>
      </c>
      <c r="AO33" s="18">
        <v>1.9912700000000001</v>
      </c>
      <c r="AP33" s="18">
        <v>2.00644</v>
      </c>
      <c r="AQ33" s="19">
        <v>2.0217499999999999</v>
      </c>
    </row>
    <row r="34" spans="1:43" x14ac:dyDescent="0.2">
      <c r="A34" s="16">
        <v>165</v>
      </c>
      <c r="B34" s="18">
        <v>1.73319</v>
      </c>
      <c r="C34" s="18">
        <v>1.72092</v>
      </c>
      <c r="D34" s="18">
        <v>1.7085399999999999</v>
      </c>
      <c r="E34" s="18">
        <v>1.69604</v>
      </c>
      <c r="F34" s="18">
        <v>1.68344</v>
      </c>
      <c r="G34" s="18">
        <v>1.67073</v>
      </c>
      <c r="H34" s="18">
        <v>1.65791</v>
      </c>
      <c r="I34" s="18">
        <v>1.6449800000000001</v>
      </c>
      <c r="J34" s="18">
        <v>1.63195</v>
      </c>
      <c r="K34" s="18">
        <v>1.61883</v>
      </c>
      <c r="L34" s="18">
        <v>1.60561</v>
      </c>
      <c r="M34" s="18">
        <v>1.5923</v>
      </c>
      <c r="N34" s="18">
        <v>1.5788899999999999</v>
      </c>
      <c r="O34" s="18">
        <v>1.5653900000000001</v>
      </c>
      <c r="P34" s="18">
        <v>1.5518000000000001</v>
      </c>
      <c r="Q34" s="18">
        <v>1.53813</v>
      </c>
      <c r="R34" s="18">
        <v>1.52437</v>
      </c>
      <c r="S34" s="18">
        <v>1.5105299999999999</v>
      </c>
      <c r="T34" s="18">
        <v>1.49661</v>
      </c>
      <c r="U34" s="19">
        <v>1.48262</v>
      </c>
      <c r="W34" s="16">
        <v>165</v>
      </c>
      <c r="X34" s="18">
        <v>1.75756</v>
      </c>
      <c r="Y34" s="18">
        <v>1.7699499999999999</v>
      </c>
      <c r="Z34" s="18">
        <v>1.78251</v>
      </c>
      <c r="AA34" s="18">
        <v>1.79525</v>
      </c>
      <c r="AB34" s="18">
        <v>1.8081499999999999</v>
      </c>
      <c r="AC34" s="18">
        <v>1.8212200000000001</v>
      </c>
      <c r="AD34" s="18">
        <v>1.8344499999999999</v>
      </c>
      <c r="AE34" s="18">
        <v>1.84785</v>
      </c>
      <c r="AF34" s="18">
        <v>1.86141</v>
      </c>
      <c r="AG34" s="18">
        <v>1.8748400000000001</v>
      </c>
      <c r="AH34" s="18">
        <v>1.88835</v>
      </c>
      <c r="AI34" s="18">
        <v>1.9019999999999999</v>
      </c>
      <c r="AJ34" s="18">
        <v>1.91581</v>
      </c>
      <c r="AK34" s="18">
        <v>1.9297500000000001</v>
      </c>
      <c r="AL34" s="18">
        <v>1.9438299999999999</v>
      </c>
      <c r="AM34" s="18">
        <v>1.9580599999999999</v>
      </c>
      <c r="AN34" s="18">
        <v>1.97244</v>
      </c>
      <c r="AO34" s="18">
        <v>1.9869399999999999</v>
      </c>
      <c r="AP34" s="18">
        <v>2.0015800000000001</v>
      </c>
      <c r="AQ34" s="19">
        <v>2.0163500000000001</v>
      </c>
    </row>
    <row r="35" spans="1:43" x14ac:dyDescent="0.2">
      <c r="A35" s="16">
        <v>170</v>
      </c>
      <c r="B35" s="18">
        <v>1.7372799999999999</v>
      </c>
      <c r="C35" s="18">
        <v>1.7253700000000001</v>
      </c>
      <c r="D35" s="18">
        <v>1.71336</v>
      </c>
      <c r="E35" s="18">
        <v>1.7012400000000001</v>
      </c>
      <c r="F35" s="18">
        <v>1.68902</v>
      </c>
      <c r="G35" s="18">
        <v>1.67669</v>
      </c>
      <c r="H35" s="18">
        <v>1.6642699999999999</v>
      </c>
      <c r="I35" s="18">
        <v>1.65174</v>
      </c>
      <c r="J35" s="18">
        <v>1.6391199999999999</v>
      </c>
      <c r="K35" s="18">
        <v>1.6264099999999999</v>
      </c>
      <c r="L35" s="18">
        <v>1.6135900000000001</v>
      </c>
      <c r="M35" s="18">
        <v>1.6006899999999999</v>
      </c>
      <c r="N35" s="18">
        <v>1.5876999999999999</v>
      </c>
      <c r="O35" s="18">
        <v>1.57464</v>
      </c>
      <c r="P35" s="18">
        <v>1.5614699999999999</v>
      </c>
      <c r="Q35" s="18">
        <v>1.54823</v>
      </c>
      <c r="R35" s="18">
        <v>1.53491</v>
      </c>
      <c r="S35" s="18">
        <v>1.5215099999999999</v>
      </c>
      <c r="T35" s="18">
        <v>1.50803</v>
      </c>
      <c r="U35" s="19">
        <v>1.4944900000000001</v>
      </c>
      <c r="W35" s="16">
        <v>170</v>
      </c>
      <c r="X35" s="18">
        <v>1.7609300000000001</v>
      </c>
      <c r="Y35" s="18">
        <v>1.77295</v>
      </c>
      <c r="Z35" s="18">
        <v>1.78512</v>
      </c>
      <c r="AA35" s="18">
        <v>1.7974699999999999</v>
      </c>
      <c r="AB35" s="18">
        <v>1.8099700000000001</v>
      </c>
      <c r="AC35" s="18">
        <v>1.8226199999999999</v>
      </c>
      <c r="AD35" s="18">
        <v>1.8354299999999999</v>
      </c>
      <c r="AE35" s="18">
        <v>1.84839</v>
      </c>
      <c r="AF35" s="18">
        <v>1.86151</v>
      </c>
      <c r="AG35" s="18">
        <v>1.87456</v>
      </c>
      <c r="AH35" s="18">
        <v>1.88764</v>
      </c>
      <c r="AI35" s="18">
        <v>1.9008499999999999</v>
      </c>
      <c r="AJ35" s="18">
        <v>1.9141900000000001</v>
      </c>
      <c r="AK35" s="18">
        <v>1.9276800000000001</v>
      </c>
      <c r="AL35" s="18">
        <v>1.9413</v>
      </c>
      <c r="AM35" s="18">
        <v>1.95506</v>
      </c>
      <c r="AN35" s="18">
        <v>1.9689399999999999</v>
      </c>
      <c r="AO35" s="18">
        <v>1.9829600000000001</v>
      </c>
      <c r="AP35" s="18">
        <v>1.9971000000000001</v>
      </c>
      <c r="AQ35" s="19">
        <v>2.0113599999999998</v>
      </c>
    </row>
    <row r="36" spans="1:43" x14ac:dyDescent="0.2">
      <c r="A36" s="16">
        <v>175</v>
      </c>
      <c r="B36" s="18">
        <v>1.74119</v>
      </c>
      <c r="C36" s="18">
        <v>1.72963</v>
      </c>
      <c r="D36" s="18">
        <v>1.7179599999999999</v>
      </c>
      <c r="E36" s="18">
        <v>1.7061999999999999</v>
      </c>
      <c r="F36" s="18">
        <v>1.6943299999999999</v>
      </c>
      <c r="G36" s="18">
        <v>1.6823699999999999</v>
      </c>
      <c r="H36" s="18">
        <v>1.67031</v>
      </c>
      <c r="I36" s="18">
        <v>1.6581699999999999</v>
      </c>
      <c r="J36" s="18">
        <v>1.6459299999999999</v>
      </c>
      <c r="K36" s="18">
        <v>1.6335900000000001</v>
      </c>
      <c r="L36" s="18">
        <v>1.62117</v>
      </c>
      <c r="M36" s="18">
        <v>1.60867</v>
      </c>
      <c r="N36" s="18">
        <v>1.5960700000000001</v>
      </c>
      <c r="O36" s="18">
        <v>1.5833900000000001</v>
      </c>
      <c r="P36" s="18">
        <v>1.57064</v>
      </c>
      <c r="Q36" s="18">
        <v>1.5578000000000001</v>
      </c>
      <c r="R36" s="18">
        <v>1.5448900000000001</v>
      </c>
      <c r="S36" s="18">
        <v>1.5319</v>
      </c>
      <c r="T36" s="18">
        <v>1.51885</v>
      </c>
      <c r="U36" s="19">
        <v>1.5057199999999999</v>
      </c>
      <c r="W36" s="16">
        <v>175</v>
      </c>
      <c r="X36" s="18">
        <v>1.76416</v>
      </c>
      <c r="Y36" s="18">
        <v>1.77583</v>
      </c>
      <c r="Z36" s="18">
        <v>1.78765</v>
      </c>
      <c r="AA36" s="18">
        <v>1.7996099999999999</v>
      </c>
      <c r="AB36" s="18">
        <v>1.8117399999999999</v>
      </c>
      <c r="AC36" s="18">
        <v>1.8240000000000001</v>
      </c>
      <c r="AD36" s="18">
        <v>1.8364100000000001</v>
      </c>
      <c r="AE36" s="18">
        <v>1.8489800000000001</v>
      </c>
      <c r="AF36" s="18">
        <v>1.86168</v>
      </c>
      <c r="AG36" s="18">
        <v>1.8743700000000001</v>
      </c>
      <c r="AH36" s="18">
        <v>1.88703</v>
      </c>
      <c r="AI36" s="18">
        <v>1.8998200000000001</v>
      </c>
      <c r="AJ36" s="18">
        <v>1.91275</v>
      </c>
      <c r="AK36" s="18">
        <v>1.9258</v>
      </c>
      <c r="AL36" s="18">
        <v>1.93899</v>
      </c>
      <c r="AM36" s="18">
        <v>1.9522900000000001</v>
      </c>
      <c r="AN36" s="18">
        <v>1.96573</v>
      </c>
      <c r="AO36" s="18">
        <v>1.9792799999999999</v>
      </c>
      <c r="AP36" s="18">
        <v>1.9929600000000001</v>
      </c>
      <c r="AQ36" s="19">
        <v>2.0067499999999998</v>
      </c>
    </row>
    <row r="37" spans="1:43" x14ac:dyDescent="0.2">
      <c r="A37" s="16">
        <v>180</v>
      </c>
      <c r="B37" s="18">
        <v>1.7449300000000001</v>
      </c>
      <c r="C37" s="18">
        <v>1.73369</v>
      </c>
      <c r="D37" s="18">
        <v>1.7223599999999999</v>
      </c>
      <c r="E37" s="18">
        <v>1.71092</v>
      </c>
      <c r="F37" s="18">
        <v>1.6994</v>
      </c>
      <c r="G37" s="18">
        <v>1.6877899999999999</v>
      </c>
      <c r="H37" s="18">
        <v>1.67608</v>
      </c>
      <c r="I37" s="18">
        <v>1.66428</v>
      </c>
      <c r="J37" s="18">
        <v>1.65239</v>
      </c>
      <c r="K37" s="18">
        <v>1.6404300000000001</v>
      </c>
      <c r="L37" s="18">
        <v>1.6283700000000001</v>
      </c>
      <c r="M37" s="18">
        <v>1.6162300000000001</v>
      </c>
      <c r="N37" s="18">
        <v>1.6040099999999999</v>
      </c>
      <c r="O37" s="18">
        <v>1.59171</v>
      </c>
      <c r="P37" s="18">
        <v>1.57934</v>
      </c>
      <c r="Q37" s="18">
        <v>1.5668800000000001</v>
      </c>
      <c r="R37" s="18">
        <v>1.55436</v>
      </c>
      <c r="S37" s="18">
        <v>1.54176</v>
      </c>
      <c r="T37" s="18">
        <v>1.5290999999999999</v>
      </c>
      <c r="U37" s="19">
        <v>1.5163599999999999</v>
      </c>
      <c r="W37" s="16">
        <v>180</v>
      </c>
      <c r="X37" s="18">
        <v>1.7672600000000001</v>
      </c>
      <c r="Y37" s="18">
        <v>1.7786</v>
      </c>
      <c r="Z37" s="18">
        <v>1.7900700000000001</v>
      </c>
      <c r="AA37" s="18">
        <v>1.8017000000000001</v>
      </c>
      <c r="AB37" s="18">
        <v>1.8134600000000001</v>
      </c>
      <c r="AC37" s="18">
        <v>1.8253600000000001</v>
      </c>
      <c r="AD37" s="18">
        <v>1.8373999999999999</v>
      </c>
      <c r="AE37" s="18">
        <v>1.8495900000000001</v>
      </c>
      <c r="AF37" s="18">
        <v>1.8619000000000001</v>
      </c>
      <c r="AG37" s="18">
        <v>1.87425</v>
      </c>
      <c r="AH37" s="18">
        <v>1.88652</v>
      </c>
      <c r="AI37" s="18">
        <v>1.8989199999999999</v>
      </c>
      <c r="AJ37" s="18">
        <v>1.9114500000000001</v>
      </c>
      <c r="AK37" s="18">
        <v>1.9240999999999999</v>
      </c>
      <c r="AL37" s="18">
        <v>1.9368700000000001</v>
      </c>
      <c r="AM37" s="18">
        <v>1.9497599999999999</v>
      </c>
      <c r="AN37" s="18">
        <v>1.9627600000000001</v>
      </c>
      <c r="AO37" s="18">
        <v>1.9758800000000001</v>
      </c>
      <c r="AP37" s="18">
        <v>1.98912</v>
      </c>
      <c r="AQ37" s="19">
        <v>2.0024799999999998</v>
      </c>
    </row>
    <row r="38" spans="1:43" x14ac:dyDescent="0.2">
      <c r="A38" s="16">
        <v>185</v>
      </c>
      <c r="B38" s="18">
        <v>1.74851</v>
      </c>
      <c r="C38" s="18">
        <v>1.73759</v>
      </c>
      <c r="D38" s="18">
        <v>1.7265600000000001</v>
      </c>
      <c r="E38" s="18">
        <v>1.7154499999999999</v>
      </c>
      <c r="F38" s="18">
        <v>1.70424</v>
      </c>
      <c r="G38" s="18">
        <v>1.69295</v>
      </c>
      <c r="H38" s="18">
        <v>1.68157</v>
      </c>
      <c r="I38" s="18">
        <v>1.6700999999999999</v>
      </c>
      <c r="J38" s="18">
        <v>1.65856</v>
      </c>
      <c r="K38" s="18">
        <v>1.64693</v>
      </c>
      <c r="L38" s="18">
        <v>1.6352199999999999</v>
      </c>
      <c r="M38" s="18">
        <v>1.6234299999999999</v>
      </c>
      <c r="N38" s="18">
        <v>1.6115600000000001</v>
      </c>
      <c r="O38" s="18">
        <v>1.59962</v>
      </c>
      <c r="P38" s="18">
        <v>1.5875999999999999</v>
      </c>
      <c r="Q38" s="18">
        <v>1.57551</v>
      </c>
      <c r="R38" s="18">
        <v>1.56335</v>
      </c>
      <c r="S38" s="18">
        <v>1.5511200000000001</v>
      </c>
      <c r="T38" s="18">
        <v>1.5388200000000001</v>
      </c>
      <c r="U38" s="19">
        <v>1.5264599999999999</v>
      </c>
      <c r="W38" s="16">
        <v>185</v>
      </c>
      <c r="X38" s="18">
        <v>1.77024</v>
      </c>
      <c r="Y38" s="18">
        <v>1.7812699999999999</v>
      </c>
      <c r="Z38" s="18">
        <v>1.7924199999999999</v>
      </c>
      <c r="AA38" s="18">
        <v>1.8037099999999999</v>
      </c>
      <c r="AB38" s="18">
        <v>1.81514</v>
      </c>
      <c r="AC38" s="18">
        <v>1.8267</v>
      </c>
      <c r="AD38" s="18">
        <v>1.8383799999999999</v>
      </c>
      <c r="AE38" s="18">
        <v>1.8502099999999999</v>
      </c>
      <c r="AF38" s="18">
        <v>1.86215</v>
      </c>
      <c r="AG38" s="18">
        <v>1.87419</v>
      </c>
      <c r="AH38" s="18">
        <v>1.8861000000000001</v>
      </c>
      <c r="AI38" s="18">
        <v>1.8981300000000001</v>
      </c>
      <c r="AJ38" s="18">
        <v>1.91028</v>
      </c>
      <c r="AK38" s="18">
        <v>1.92255</v>
      </c>
      <c r="AL38" s="18">
        <v>1.93493</v>
      </c>
      <c r="AM38" s="18">
        <v>1.94743</v>
      </c>
      <c r="AN38" s="18">
        <v>1.9600299999999999</v>
      </c>
      <c r="AO38" s="18">
        <v>1.97275</v>
      </c>
      <c r="AP38" s="18">
        <v>1.9855799999999999</v>
      </c>
      <c r="AQ38" s="19">
        <v>1.9985200000000001</v>
      </c>
    </row>
    <row r="39" spans="1:43" x14ac:dyDescent="0.2">
      <c r="A39" s="16">
        <v>190</v>
      </c>
      <c r="B39" s="18">
        <v>1.75196</v>
      </c>
      <c r="C39" s="18">
        <v>1.74132</v>
      </c>
      <c r="D39" s="18">
        <v>1.7305900000000001</v>
      </c>
      <c r="E39" s="18">
        <v>1.71977</v>
      </c>
      <c r="F39" s="18">
        <v>1.7088699999999999</v>
      </c>
      <c r="G39" s="18">
        <v>1.6978899999999999</v>
      </c>
      <c r="H39" s="18">
        <v>1.68682</v>
      </c>
      <c r="I39" s="18">
        <v>1.67567</v>
      </c>
      <c r="J39" s="18">
        <v>1.6644399999999999</v>
      </c>
      <c r="K39" s="18">
        <v>1.65313</v>
      </c>
      <c r="L39" s="18">
        <v>1.64175</v>
      </c>
      <c r="M39" s="18">
        <v>1.63028</v>
      </c>
      <c r="N39" s="18">
        <v>1.6187499999999999</v>
      </c>
      <c r="O39" s="18">
        <v>1.60714</v>
      </c>
      <c r="P39" s="18">
        <v>1.5954699999999999</v>
      </c>
      <c r="Q39" s="18">
        <v>1.58372</v>
      </c>
      <c r="R39" s="18">
        <v>1.5719000000000001</v>
      </c>
      <c r="S39" s="18">
        <v>1.5600099999999999</v>
      </c>
      <c r="T39" s="18">
        <v>1.5480700000000001</v>
      </c>
      <c r="U39" s="19">
        <v>1.5360499999999999</v>
      </c>
      <c r="W39" s="16">
        <v>190</v>
      </c>
      <c r="X39" s="18">
        <v>1.77311</v>
      </c>
      <c r="Y39" s="18">
        <v>1.78383</v>
      </c>
      <c r="Z39" s="18">
        <v>1.7946800000000001</v>
      </c>
      <c r="AA39" s="18">
        <v>1.8056700000000001</v>
      </c>
      <c r="AB39" s="18">
        <v>1.8167800000000001</v>
      </c>
      <c r="AC39" s="18">
        <v>1.8280099999999999</v>
      </c>
      <c r="AD39" s="18">
        <v>1.8393699999999999</v>
      </c>
      <c r="AE39" s="18">
        <v>1.8508599999999999</v>
      </c>
      <c r="AF39" s="18">
        <v>1.86246</v>
      </c>
      <c r="AG39" s="18">
        <v>1.8741699999999999</v>
      </c>
      <c r="AH39" s="18">
        <v>1.88575</v>
      </c>
      <c r="AI39" s="18">
        <v>1.8974299999999999</v>
      </c>
      <c r="AJ39" s="18">
        <v>1.90923</v>
      </c>
      <c r="AK39" s="18">
        <v>1.9211400000000001</v>
      </c>
      <c r="AL39" s="18">
        <v>1.9331499999999999</v>
      </c>
      <c r="AM39" s="18">
        <v>1.94529</v>
      </c>
      <c r="AN39" s="18">
        <v>1.9575199999999999</v>
      </c>
      <c r="AO39" s="18">
        <v>1.9698500000000001</v>
      </c>
      <c r="AP39" s="18">
        <v>1.9823</v>
      </c>
      <c r="AQ39" s="19">
        <v>1.9948399999999999</v>
      </c>
    </row>
    <row r="40" spans="1:43" x14ac:dyDescent="0.2">
      <c r="A40" s="16">
        <v>195</v>
      </c>
      <c r="B40" s="18">
        <v>1.75526</v>
      </c>
      <c r="C40" s="18">
        <v>1.7448999999999999</v>
      </c>
      <c r="D40" s="18">
        <v>1.73445</v>
      </c>
      <c r="E40" s="18">
        <v>1.7239199999999999</v>
      </c>
      <c r="F40" s="18">
        <v>1.7133</v>
      </c>
      <c r="G40" s="18">
        <v>1.70261</v>
      </c>
      <c r="H40" s="18">
        <v>1.6918299999999999</v>
      </c>
      <c r="I40" s="18">
        <v>1.68099</v>
      </c>
      <c r="J40" s="18">
        <v>1.67005</v>
      </c>
      <c r="K40" s="18">
        <v>1.6590499999999999</v>
      </c>
      <c r="L40" s="18">
        <v>1.64798</v>
      </c>
      <c r="M40" s="18">
        <v>1.63683</v>
      </c>
      <c r="N40" s="18">
        <v>1.62561</v>
      </c>
      <c r="O40" s="18">
        <v>1.61432</v>
      </c>
      <c r="P40" s="18">
        <v>1.6029599999999999</v>
      </c>
      <c r="Q40" s="18">
        <v>1.59154</v>
      </c>
      <c r="R40" s="18">
        <v>1.58005</v>
      </c>
      <c r="S40" s="18">
        <v>1.5684899999999999</v>
      </c>
      <c r="T40" s="18">
        <v>1.55687</v>
      </c>
      <c r="U40" s="19">
        <v>1.5451999999999999</v>
      </c>
      <c r="W40" s="16">
        <v>195</v>
      </c>
      <c r="X40" s="18">
        <v>1.77586</v>
      </c>
      <c r="Y40" s="18">
        <v>1.7863199999999999</v>
      </c>
      <c r="Z40" s="18">
        <v>1.79688</v>
      </c>
      <c r="AA40" s="18">
        <v>1.8075699999999999</v>
      </c>
      <c r="AB40" s="18">
        <v>1.8183800000000001</v>
      </c>
      <c r="AC40" s="18">
        <v>1.8292999999999999</v>
      </c>
      <c r="AD40" s="18">
        <v>1.8403499999999999</v>
      </c>
      <c r="AE40" s="18">
        <v>1.85151</v>
      </c>
      <c r="AF40" s="18">
        <v>1.8627899999999999</v>
      </c>
      <c r="AG40" s="18">
        <v>1.87418</v>
      </c>
      <c r="AH40" s="18">
        <v>1.88547</v>
      </c>
      <c r="AI40" s="18">
        <v>1.89683</v>
      </c>
      <c r="AJ40" s="18">
        <v>1.90828</v>
      </c>
      <c r="AK40" s="18">
        <v>1.9198500000000001</v>
      </c>
      <c r="AL40" s="18">
        <v>1.9315199999999999</v>
      </c>
      <c r="AM40" s="18">
        <v>1.9433</v>
      </c>
      <c r="AN40" s="18">
        <v>1.9551799999999999</v>
      </c>
      <c r="AO40" s="18">
        <v>1.96716</v>
      </c>
      <c r="AP40" s="18">
        <v>1.97923</v>
      </c>
      <c r="AQ40" s="19">
        <v>1.9914099999999999</v>
      </c>
    </row>
    <row r="41" spans="1:43" x14ac:dyDescent="0.2">
      <c r="A41" s="16">
        <v>200</v>
      </c>
      <c r="B41" s="18">
        <v>1.75844</v>
      </c>
      <c r="C41" s="18">
        <v>1.7483299999999999</v>
      </c>
      <c r="D41" s="18">
        <v>1.7381500000000001</v>
      </c>
      <c r="E41" s="18">
        <v>1.7278899999999999</v>
      </c>
      <c r="F41" s="18">
        <v>1.7175499999999999</v>
      </c>
      <c r="G41" s="18">
        <v>1.70713</v>
      </c>
      <c r="H41" s="18">
        <v>1.6966300000000001</v>
      </c>
      <c r="I41" s="18">
        <v>1.68607</v>
      </c>
      <c r="J41" s="18">
        <v>1.67543</v>
      </c>
      <c r="K41" s="18">
        <v>1.6647099999999999</v>
      </c>
      <c r="L41" s="18">
        <v>1.65394</v>
      </c>
      <c r="M41" s="18">
        <v>1.6430800000000001</v>
      </c>
      <c r="N41" s="18">
        <v>1.6321600000000001</v>
      </c>
      <c r="O41" s="18">
        <v>1.62117</v>
      </c>
      <c r="P41" s="18">
        <v>1.6101099999999999</v>
      </c>
      <c r="Q41" s="18">
        <v>1.599</v>
      </c>
      <c r="R41" s="18">
        <v>1.5878099999999999</v>
      </c>
      <c r="S41" s="18">
        <v>1.57657</v>
      </c>
      <c r="T41" s="18">
        <v>1.5652699999999999</v>
      </c>
      <c r="U41" s="19">
        <v>1.5539000000000001</v>
      </c>
      <c r="W41" s="16">
        <v>200</v>
      </c>
      <c r="X41" s="18">
        <v>1.7785200000000001</v>
      </c>
      <c r="Y41" s="18">
        <v>1.78871</v>
      </c>
      <c r="Z41" s="18">
        <v>1.79901</v>
      </c>
      <c r="AA41" s="18">
        <v>1.80942</v>
      </c>
      <c r="AB41" s="18">
        <v>1.8199399999999999</v>
      </c>
      <c r="AC41" s="18">
        <v>1.83057</v>
      </c>
      <c r="AD41" s="18">
        <v>1.8413299999999999</v>
      </c>
      <c r="AE41" s="18">
        <v>1.85219</v>
      </c>
      <c r="AF41" s="18">
        <v>1.8631599999999999</v>
      </c>
      <c r="AG41" s="18">
        <v>1.8742300000000001</v>
      </c>
      <c r="AH41" s="18">
        <v>1.88541</v>
      </c>
      <c r="AI41" s="18">
        <v>1.8967099999999999</v>
      </c>
      <c r="AJ41" s="18">
        <v>1.9080999999999999</v>
      </c>
      <c r="AK41" s="18">
        <v>1.91961</v>
      </c>
      <c r="AL41" s="18">
        <v>1.9312199999999999</v>
      </c>
      <c r="AM41" s="18">
        <v>1.94292</v>
      </c>
      <c r="AN41" s="18">
        <v>1.9547300000000001</v>
      </c>
      <c r="AO41" s="18">
        <v>1.96665</v>
      </c>
      <c r="AP41" s="18">
        <v>1.97865</v>
      </c>
      <c r="AQ41" s="19">
        <v>1.99075</v>
      </c>
    </row>
    <row r="42" spans="1:43" x14ac:dyDescent="0.2">
      <c r="A42" s="16">
        <v>210</v>
      </c>
      <c r="B42" s="18">
        <v>1.7644500000000001</v>
      </c>
      <c r="C42" s="18">
        <v>1.7548299999999999</v>
      </c>
      <c r="D42" s="18">
        <v>1.7451300000000001</v>
      </c>
      <c r="E42" s="18">
        <v>1.7353700000000001</v>
      </c>
      <c r="F42" s="18">
        <v>1.7255400000000001</v>
      </c>
      <c r="G42" s="18">
        <v>1.71563</v>
      </c>
      <c r="H42" s="18">
        <v>1.70566</v>
      </c>
      <c r="I42" s="18">
        <v>1.6956100000000001</v>
      </c>
      <c r="J42" s="18">
        <v>1.6855</v>
      </c>
      <c r="K42" s="18">
        <v>1.6753199999999999</v>
      </c>
      <c r="L42" s="18">
        <v>1.6650799999999999</v>
      </c>
      <c r="M42" s="18">
        <v>1.6547799999999999</v>
      </c>
      <c r="N42" s="18">
        <v>1.6444099999999999</v>
      </c>
      <c r="O42" s="18">
        <v>1.63398</v>
      </c>
      <c r="P42" s="18">
        <v>1.62348</v>
      </c>
      <c r="Q42" s="18">
        <v>1.61293</v>
      </c>
      <c r="R42" s="18">
        <v>1.60232</v>
      </c>
      <c r="S42" s="18">
        <v>1.59165</v>
      </c>
      <c r="T42" s="18">
        <v>1.58094</v>
      </c>
      <c r="U42" s="19">
        <v>1.5701499999999999</v>
      </c>
      <c r="W42" s="16">
        <v>210</v>
      </c>
      <c r="X42" s="18">
        <v>1.7835799999999999</v>
      </c>
      <c r="Y42" s="18">
        <v>1.7932600000000001</v>
      </c>
      <c r="Z42" s="18">
        <v>1.80305</v>
      </c>
      <c r="AA42" s="18">
        <v>1.8129500000000001</v>
      </c>
      <c r="AB42" s="18">
        <v>1.82294</v>
      </c>
      <c r="AC42" s="18">
        <v>1.8330500000000001</v>
      </c>
      <c r="AD42" s="18">
        <v>1.8432500000000001</v>
      </c>
      <c r="AE42" s="18">
        <v>1.85355</v>
      </c>
      <c r="AF42" s="18">
        <v>1.8639399999999999</v>
      </c>
      <c r="AG42" s="18">
        <v>1.8744499999999999</v>
      </c>
      <c r="AH42" s="18">
        <v>1.8850499999999999</v>
      </c>
      <c r="AI42" s="18">
        <v>1.89574</v>
      </c>
      <c r="AJ42" s="18">
        <v>1.9065300000000001</v>
      </c>
      <c r="AK42" s="18">
        <v>1.9174199999999999</v>
      </c>
      <c r="AL42" s="18">
        <v>1.92839</v>
      </c>
      <c r="AM42" s="18">
        <v>1.93947</v>
      </c>
      <c r="AN42" s="18">
        <v>1.9506300000000001</v>
      </c>
      <c r="AO42" s="18">
        <v>1.9618800000000001</v>
      </c>
      <c r="AP42" s="18">
        <v>1.97323</v>
      </c>
      <c r="AQ42" s="19">
        <v>1.9846699999999999</v>
      </c>
    </row>
    <row r="43" spans="1:43" x14ac:dyDescent="0.2">
      <c r="A43" s="16">
        <v>220</v>
      </c>
      <c r="B43" s="18">
        <v>1.77003</v>
      </c>
      <c r="C43" s="18">
        <v>1.7608600000000001</v>
      </c>
      <c r="D43" s="18">
        <v>1.7516099999999999</v>
      </c>
      <c r="E43" s="18">
        <v>1.7422899999999999</v>
      </c>
      <c r="F43" s="18">
        <v>1.73292</v>
      </c>
      <c r="G43" s="18">
        <v>1.7234799999999999</v>
      </c>
      <c r="H43" s="18">
        <v>1.7139800000000001</v>
      </c>
      <c r="I43" s="18">
        <v>1.70441</v>
      </c>
      <c r="J43" s="18">
        <v>1.6947700000000001</v>
      </c>
      <c r="K43" s="18">
        <v>1.68509</v>
      </c>
      <c r="L43" s="18">
        <v>1.67533</v>
      </c>
      <c r="M43" s="18">
        <v>1.6655199999999999</v>
      </c>
      <c r="N43" s="18">
        <v>1.6556599999999999</v>
      </c>
      <c r="O43" s="18">
        <v>1.6457299999999999</v>
      </c>
      <c r="P43" s="18">
        <v>1.63575</v>
      </c>
      <c r="Q43" s="18">
        <v>1.62571</v>
      </c>
      <c r="R43" s="18">
        <v>1.6156200000000001</v>
      </c>
      <c r="S43" s="18">
        <v>1.60547</v>
      </c>
      <c r="T43" s="18">
        <v>1.59527</v>
      </c>
      <c r="U43" s="19">
        <v>1.5850299999999999</v>
      </c>
      <c r="W43" s="16">
        <v>220</v>
      </c>
      <c r="X43" s="18">
        <v>1.7882899999999999</v>
      </c>
      <c r="Y43" s="18">
        <v>1.7975300000000001</v>
      </c>
      <c r="Z43" s="18">
        <v>1.8068599999999999</v>
      </c>
      <c r="AA43" s="18">
        <v>1.8162799999999999</v>
      </c>
      <c r="AB43" s="18">
        <v>1.8258099999999999</v>
      </c>
      <c r="AC43" s="18">
        <v>1.8354299999999999</v>
      </c>
      <c r="AD43" s="18">
        <v>1.8451299999999999</v>
      </c>
      <c r="AE43" s="18">
        <v>1.8549199999999999</v>
      </c>
      <c r="AF43" s="18">
        <v>1.8648199999999999</v>
      </c>
      <c r="AG43" s="18">
        <v>1.87479</v>
      </c>
      <c r="AH43" s="18">
        <v>1.88486</v>
      </c>
      <c r="AI43" s="18">
        <v>1.8950199999999999</v>
      </c>
      <c r="AJ43" s="18">
        <v>1.90526</v>
      </c>
      <c r="AK43" s="18">
        <v>1.9155899999999999</v>
      </c>
      <c r="AL43" s="18">
        <v>1.92601</v>
      </c>
      <c r="AM43" s="18">
        <v>1.93651</v>
      </c>
      <c r="AN43" s="18">
        <v>1.9471000000000001</v>
      </c>
      <c r="AO43" s="18">
        <v>1.9577599999999999</v>
      </c>
      <c r="AP43" s="18">
        <v>1.96852</v>
      </c>
      <c r="AQ43" s="19">
        <v>1.9793499999999999</v>
      </c>
    </row>
    <row r="44" spans="1:43" x14ac:dyDescent="0.2">
      <c r="A44" s="16">
        <v>230</v>
      </c>
      <c r="B44" s="18">
        <v>1.77525</v>
      </c>
      <c r="C44" s="18">
        <v>1.76647</v>
      </c>
      <c r="D44" s="18">
        <v>1.75763</v>
      </c>
      <c r="E44" s="18">
        <v>1.7487299999999999</v>
      </c>
      <c r="F44" s="18">
        <v>1.73977</v>
      </c>
      <c r="G44" s="18">
        <v>1.73075</v>
      </c>
      <c r="H44" s="18">
        <v>1.7216800000000001</v>
      </c>
      <c r="I44" s="18">
        <v>1.71254</v>
      </c>
      <c r="J44" s="18">
        <v>1.7033499999999999</v>
      </c>
      <c r="K44" s="18">
        <v>1.6940999999999999</v>
      </c>
      <c r="L44" s="18">
        <v>1.68479</v>
      </c>
      <c r="M44" s="18">
        <v>1.67544</v>
      </c>
      <c r="N44" s="18">
        <v>1.6660200000000001</v>
      </c>
      <c r="O44" s="18">
        <v>1.65655</v>
      </c>
      <c r="P44" s="18">
        <v>1.64703</v>
      </c>
      <c r="Q44" s="18">
        <v>1.6374599999999999</v>
      </c>
      <c r="R44" s="18">
        <v>1.62784</v>
      </c>
      <c r="S44" s="18">
        <v>1.61816</v>
      </c>
      <c r="T44" s="18">
        <v>1.6084400000000001</v>
      </c>
      <c r="U44" s="19">
        <v>1.5986800000000001</v>
      </c>
      <c r="W44" s="16">
        <v>230</v>
      </c>
      <c r="X44" s="18">
        <v>1.7927</v>
      </c>
      <c r="Y44" s="18">
        <v>1.8015399999999999</v>
      </c>
      <c r="Z44" s="18">
        <v>1.8104499999999999</v>
      </c>
      <c r="AA44" s="18">
        <v>1.81945</v>
      </c>
      <c r="AB44" s="18">
        <v>1.8285400000000001</v>
      </c>
      <c r="AC44" s="18">
        <v>1.83771</v>
      </c>
      <c r="AD44" s="18">
        <v>1.84697</v>
      </c>
      <c r="AE44" s="18">
        <v>1.85632</v>
      </c>
      <c r="AF44" s="18">
        <v>1.86574</v>
      </c>
      <c r="AG44" s="18">
        <v>1.87524</v>
      </c>
      <c r="AH44" s="18">
        <v>1.88483</v>
      </c>
      <c r="AI44" s="18">
        <v>1.8945000000000001</v>
      </c>
      <c r="AJ44" s="18">
        <v>1.9042399999999999</v>
      </c>
      <c r="AK44" s="18">
        <v>1.9140699999999999</v>
      </c>
      <c r="AL44" s="18">
        <v>1.92398</v>
      </c>
      <c r="AM44" s="18">
        <v>1.93397</v>
      </c>
      <c r="AN44" s="18">
        <v>1.9440299999999999</v>
      </c>
      <c r="AO44" s="18">
        <v>1.95417</v>
      </c>
      <c r="AP44" s="18">
        <v>1.9643900000000001</v>
      </c>
      <c r="AQ44" s="19">
        <v>1.9746699999999999</v>
      </c>
    </row>
    <row r="45" spans="1:43" x14ac:dyDescent="0.2">
      <c r="A45" s="16">
        <v>240</v>
      </c>
      <c r="B45" s="18">
        <v>1.7801199999999999</v>
      </c>
      <c r="C45" s="18">
        <v>1.7717099999999999</v>
      </c>
      <c r="D45" s="18">
        <v>1.76325</v>
      </c>
      <c r="E45" s="18">
        <v>1.7547299999999999</v>
      </c>
      <c r="F45" s="18">
        <v>1.7461599999999999</v>
      </c>
      <c r="G45" s="18">
        <v>1.73752</v>
      </c>
      <c r="H45" s="18">
        <v>1.7288300000000001</v>
      </c>
      <c r="I45" s="18">
        <v>1.7200899999999999</v>
      </c>
      <c r="J45" s="18">
        <v>1.71129</v>
      </c>
      <c r="K45" s="18">
        <v>1.70245</v>
      </c>
      <c r="L45" s="18">
        <v>1.69356</v>
      </c>
      <c r="M45" s="18">
        <v>1.6846000000000001</v>
      </c>
      <c r="N45" s="18">
        <v>1.67561</v>
      </c>
      <c r="O45" s="18">
        <v>1.66656</v>
      </c>
      <c r="P45" s="18">
        <v>1.6574599999999999</v>
      </c>
      <c r="Q45" s="18">
        <v>1.64832</v>
      </c>
      <c r="R45" s="18">
        <v>1.63913</v>
      </c>
      <c r="S45" s="18">
        <v>1.62988</v>
      </c>
      <c r="T45" s="18">
        <v>1.6206</v>
      </c>
      <c r="U45" s="19">
        <v>1.61128</v>
      </c>
      <c r="W45" s="16">
        <v>240</v>
      </c>
      <c r="X45" s="18">
        <v>1.7968500000000001</v>
      </c>
      <c r="Y45" s="18">
        <v>1.8052999999999999</v>
      </c>
      <c r="Z45" s="18">
        <v>1.8138399999999999</v>
      </c>
      <c r="AA45" s="18">
        <v>1.82246</v>
      </c>
      <c r="AB45" s="18">
        <v>1.8311500000000001</v>
      </c>
      <c r="AC45" s="18">
        <v>1.83992</v>
      </c>
      <c r="AD45" s="18">
        <v>1.84876</v>
      </c>
      <c r="AE45" s="18">
        <v>1.8576900000000001</v>
      </c>
      <c r="AF45" s="18">
        <v>1.86669</v>
      </c>
      <c r="AG45" s="18">
        <v>1.8757600000000001</v>
      </c>
      <c r="AH45" s="18">
        <v>1.8849199999999999</v>
      </c>
      <c r="AI45" s="18">
        <v>1.89415</v>
      </c>
      <c r="AJ45" s="18">
        <v>1.9034500000000001</v>
      </c>
      <c r="AK45" s="18">
        <v>1.91282</v>
      </c>
      <c r="AL45" s="18">
        <v>1.9222600000000001</v>
      </c>
      <c r="AM45" s="18">
        <v>1.9317800000000001</v>
      </c>
      <c r="AN45" s="18">
        <v>1.94137</v>
      </c>
      <c r="AO45" s="18">
        <v>1.95102</v>
      </c>
      <c r="AP45" s="18">
        <v>1.96075</v>
      </c>
      <c r="AQ45" s="19">
        <v>1.97055</v>
      </c>
    </row>
    <row r="46" spans="1:43" x14ac:dyDescent="0.2">
      <c r="A46" s="16">
        <v>250</v>
      </c>
      <c r="B46" s="18">
        <v>1.7846900000000001</v>
      </c>
      <c r="C46" s="18">
        <v>1.7766200000000001</v>
      </c>
      <c r="D46" s="18">
        <v>1.76851</v>
      </c>
      <c r="E46" s="18">
        <v>1.76033</v>
      </c>
      <c r="F46" s="18">
        <v>1.7521100000000001</v>
      </c>
      <c r="G46" s="18">
        <v>1.74383</v>
      </c>
      <c r="H46" s="18">
        <v>1.7355</v>
      </c>
      <c r="I46" s="18">
        <v>1.7271300000000001</v>
      </c>
      <c r="J46" s="18">
        <v>1.7186999999999999</v>
      </c>
      <c r="K46" s="18">
        <v>1.7102200000000001</v>
      </c>
      <c r="L46" s="18">
        <v>1.7017</v>
      </c>
      <c r="M46" s="18">
        <v>1.69312</v>
      </c>
      <c r="N46" s="18">
        <v>1.68451</v>
      </c>
      <c r="O46" s="18">
        <v>1.67584</v>
      </c>
      <c r="P46" s="18">
        <v>1.6671400000000001</v>
      </c>
      <c r="Q46" s="18">
        <v>1.65838</v>
      </c>
      <c r="R46" s="18">
        <v>1.6495899999999999</v>
      </c>
      <c r="S46" s="18">
        <v>1.6407400000000001</v>
      </c>
      <c r="T46" s="18">
        <v>1.6318600000000001</v>
      </c>
      <c r="U46" s="19">
        <v>1.62293</v>
      </c>
      <c r="W46" s="16">
        <v>250</v>
      </c>
      <c r="X46" s="18">
        <v>1.8007500000000001</v>
      </c>
      <c r="Y46" s="18">
        <v>1.80887</v>
      </c>
      <c r="Z46" s="18">
        <v>1.8170599999999999</v>
      </c>
      <c r="AA46" s="18">
        <v>1.82531</v>
      </c>
      <c r="AB46" s="18">
        <v>1.8336399999999999</v>
      </c>
      <c r="AC46" s="18">
        <v>1.8420399999999999</v>
      </c>
      <c r="AD46" s="18">
        <v>1.8505100000000001</v>
      </c>
      <c r="AE46" s="18">
        <v>1.8590599999999999</v>
      </c>
      <c r="AF46" s="18">
        <v>1.86768</v>
      </c>
      <c r="AG46" s="18">
        <v>1.87636</v>
      </c>
      <c r="AH46" s="18">
        <v>1.8851100000000001</v>
      </c>
      <c r="AI46" s="18">
        <v>1.8939299999999999</v>
      </c>
      <c r="AJ46" s="18">
        <v>1.90282</v>
      </c>
      <c r="AK46" s="18">
        <v>1.91178</v>
      </c>
      <c r="AL46" s="18">
        <v>1.9208000000000001</v>
      </c>
      <c r="AM46" s="18">
        <v>1.9298900000000001</v>
      </c>
      <c r="AN46" s="18">
        <v>1.9390400000000001</v>
      </c>
      <c r="AO46" s="18">
        <v>1.9482699999999999</v>
      </c>
      <c r="AP46" s="18">
        <v>1.9575499999999999</v>
      </c>
      <c r="AQ46" s="19">
        <v>1.9669000000000001</v>
      </c>
    </row>
    <row r="47" spans="1:43" x14ac:dyDescent="0.2">
      <c r="A47" s="16">
        <v>260</v>
      </c>
      <c r="B47" s="18">
        <v>1.7889999999999999</v>
      </c>
      <c r="C47" s="18">
        <v>1.78125</v>
      </c>
      <c r="D47" s="18">
        <v>1.7734399999999999</v>
      </c>
      <c r="E47" s="18">
        <v>1.7655799999999999</v>
      </c>
      <c r="F47" s="18">
        <v>1.7576799999999999</v>
      </c>
      <c r="G47" s="18">
        <v>1.74973</v>
      </c>
      <c r="H47" s="18">
        <v>1.74173</v>
      </c>
      <c r="I47" s="18">
        <v>1.73369</v>
      </c>
      <c r="J47" s="18">
        <v>1.7256100000000001</v>
      </c>
      <c r="K47" s="18">
        <v>1.7174700000000001</v>
      </c>
      <c r="L47" s="18">
        <v>1.7092799999999999</v>
      </c>
      <c r="M47" s="18">
        <v>1.7010700000000001</v>
      </c>
      <c r="N47" s="18">
        <v>1.6928000000000001</v>
      </c>
      <c r="O47" s="18">
        <v>1.68449</v>
      </c>
      <c r="P47" s="18">
        <v>1.6761299999999999</v>
      </c>
      <c r="Q47" s="18">
        <v>1.66774</v>
      </c>
      <c r="R47" s="18">
        <v>1.6593</v>
      </c>
      <c r="S47" s="18">
        <v>1.65082</v>
      </c>
      <c r="T47" s="18">
        <v>1.6423099999999999</v>
      </c>
      <c r="U47" s="19">
        <v>1.63375</v>
      </c>
      <c r="W47" s="16">
        <v>260</v>
      </c>
      <c r="X47" s="18">
        <v>1.80444</v>
      </c>
      <c r="Y47" s="18">
        <v>1.81223</v>
      </c>
      <c r="Z47" s="18">
        <v>1.8201000000000001</v>
      </c>
      <c r="AA47" s="18">
        <v>1.82803</v>
      </c>
      <c r="AB47" s="18">
        <v>1.8360300000000001</v>
      </c>
      <c r="AC47" s="18">
        <v>1.84409</v>
      </c>
      <c r="AD47" s="18">
        <v>1.85222</v>
      </c>
      <c r="AE47" s="18">
        <v>1.8604099999999999</v>
      </c>
      <c r="AF47" s="18">
        <v>1.8686700000000001</v>
      </c>
      <c r="AG47" s="18">
        <v>1.8769899999999999</v>
      </c>
      <c r="AH47" s="18">
        <v>1.8853800000000001</v>
      </c>
      <c r="AI47" s="18">
        <v>1.8938299999999999</v>
      </c>
      <c r="AJ47" s="18">
        <v>1.9023399999999999</v>
      </c>
      <c r="AK47" s="18">
        <v>1.91092</v>
      </c>
      <c r="AL47" s="18">
        <v>1.9195599999999999</v>
      </c>
      <c r="AM47" s="18">
        <v>1.9282600000000001</v>
      </c>
      <c r="AN47" s="18">
        <v>1.93702</v>
      </c>
      <c r="AO47" s="18">
        <v>1.9458299999999999</v>
      </c>
      <c r="AP47" s="18">
        <v>1.9547099999999999</v>
      </c>
      <c r="AQ47" s="19">
        <v>1.96366</v>
      </c>
    </row>
    <row r="48" spans="1:43" x14ac:dyDescent="0.2">
      <c r="A48" s="16">
        <v>270</v>
      </c>
      <c r="B48" s="18">
        <v>1.7930600000000001</v>
      </c>
      <c r="C48" s="18">
        <v>1.7856000000000001</v>
      </c>
      <c r="D48" s="18">
        <v>1.7780800000000001</v>
      </c>
      <c r="E48" s="18">
        <v>1.7705200000000001</v>
      </c>
      <c r="F48" s="18">
        <v>1.76292</v>
      </c>
      <c r="G48" s="18">
        <v>1.75528</v>
      </c>
      <c r="H48" s="18">
        <v>1.7475799999999999</v>
      </c>
      <c r="I48" s="18">
        <v>1.7398400000000001</v>
      </c>
      <c r="J48" s="18">
        <v>1.73207</v>
      </c>
      <c r="K48" s="18">
        <v>1.7242500000000001</v>
      </c>
      <c r="L48" s="18">
        <v>1.71638</v>
      </c>
      <c r="M48" s="18">
        <v>1.7084900000000001</v>
      </c>
      <c r="N48" s="18">
        <v>1.7005399999999999</v>
      </c>
      <c r="O48" s="18">
        <v>1.6925600000000001</v>
      </c>
      <c r="P48" s="18">
        <v>1.6845300000000001</v>
      </c>
      <c r="Q48" s="18">
        <v>1.6764699999999999</v>
      </c>
      <c r="R48" s="18">
        <v>1.6683600000000001</v>
      </c>
      <c r="S48" s="18">
        <v>1.66022</v>
      </c>
      <c r="T48" s="18">
        <v>1.65204</v>
      </c>
      <c r="U48" s="19">
        <v>1.6438200000000001</v>
      </c>
      <c r="W48" s="16">
        <v>270</v>
      </c>
      <c r="X48" s="18">
        <v>1.80792</v>
      </c>
      <c r="Y48" s="18">
        <v>1.8154300000000001</v>
      </c>
      <c r="Z48" s="18">
        <v>1.823</v>
      </c>
      <c r="AA48" s="18">
        <v>1.8306199999999999</v>
      </c>
      <c r="AB48" s="18">
        <v>1.8383100000000001</v>
      </c>
      <c r="AC48" s="18">
        <v>1.84606</v>
      </c>
      <c r="AD48" s="18">
        <v>1.8538699999999999</v>
      </c>
      <c r="AE48" s="18">
        <v>1.86174</v>
      </c>
      <c r="AF48" s="18">
        <v>1.8696699999999999</v>
      </c>
      <c r="AG48" s="18">
        <v>1.87767</v>
      </c>
      <c r="AH48" s="18">
        <v>1.8857200000000001</v>
      </c>
      <c r="AI48" s="18">
        <v>1.8938200000000001</v>
      </c>
      <c r="AJ48" s="18">
        <v>1.9019999999999999</v>
      </c>
      <c r="AK48" s="18">
        <v>1.9102300000000001</v>
      </c>
      <c r="AL48" s="18">
        <v>1.9185099999999999</v>
      </c>
      <c r="AM48" s="18">
        <v>1.9268400000000001</v>
      </c>
      <c r="AN48" s="18">
        <v>1.9352400000000001</v>
      </c>
      <c r="AO48" s="18">
        <v>1.9436899999999999</v>
      </c>
      <c r="AP48" s="18">
        <v>1.9521999999999999</v>
      </c>
      <c r="AQ48" s="19">
        <v>1.9607699999999999</v>
      </c>
    </row>
    <row r="49" spans="1:43" x14ac:dyDescent="0.2">
      <c r="A49" s="16">
        <v>280</v>
      </c>
      <c r="B49" s="18">
        <v>1.7968999999999999</v>
      </c>
      <c r="C49" s="18">
        <v>1.7897000000000001</v>
      </c>
      <c r="D49" s="18">
        <v>1.7824500000000001</v>
      </c>
      <c r="E49" s="18">
        <v>1.7751699999999999</v>
      </c>
      <c r="F49" s="18">
        <v>1.7678400000000001</v>
      </c>
      <c r="G49" s="18">
        <v>1.76048</v>
      </c>
      <c r="H49" s="18">
        <v>1.7530699999999999</v>
      </c>
      <c r="I49" s="18">
        <v>1.74563</v>
      </c>
      <c r="J49" s="18">
        <v>1.73814</v>
      </c>
      <c r="K49" s="18">
        <v>1.73061</v>
      </c>
      <c r="L49" s="18">
        <v>1.7230399999999999</v>
      </c>
      <c r="M49" s="18">
        <v>1.71543</v>
      </c>
      <c r="N49" s="18">
        <v>1.7077800000000001</v>
      </c>
      <c r="O49" s="18">
        <v>1.70011</v>
      </c>
      <c r="P49" s="18">
        <v>1.69238</v>
      </c>
      <c r="Q49" s="18">
        <v>1.6846300000000001</v>
      </c>
      <c r="R49" s="18">
        <v>1.67682</v>
      </c>
      <c r="S49" s="18">
        <v>1.669</v>
      </c>
      <c r="T49" s="18">
        <v>1.66113</v>
      </c>
      <c r="U49" s="19">
        <v>1.65323</v>
      </c>
      <c r="W49" s="16">
        <v>280</v>
      </c>
      <c r="X49" s="18">
        <v>1.8112299999999999</v>
      </c>
      <c r="Y49" s="18">
        <v>1.81846</v>
      </c>
      <c r="Z49" s="18">
        <v>1.82575</v>
      </c>
      <c r="AA49" s="18">
        <v>1.8330900000000001</v>
      </c>
      <c r="AB49" s="18">
        <v>1.8405100000000001</v>
      </c>
      <c r="AC49" s="18">
        <v>1.8479699999999999</v>
      </c>
      <c r="AD49" s="18">
        <v>1.8554900000000001</v>
      </c>
      <c r="AE49" s="18">
        <v>1.8630500000000001</v>
      </c>
      <c r="AF49" s="18">
        <v>1.8706799999999999</v>
      </c>
      <c r="AG49" s="18">
        <v>1.8783700000000001</v>
      </c>
      <c r="AH49" s="18">
        <v>1.88611</v>
      </c>
      <c r="AI49" s="18">
        <v>1.8938999999999999</v>
      </c>
      <c r="AJ49" s="18">
        <v>1.9017500000000001</v>
      </c>
      <c r="AK49" s="18">
        <v>1.9096500000000001</v>
      </c>
      <c r="AL49" s="18">
        <v>1.91761</v>
      </c>
      <c r="AM49" s="18">
        <v>1.9256200000000001</v>
      </c>
      <c r="AN49" s="18">
        <v>1.9336800000000001</v>
      </c>
      <c r="AO49" s="18">
        <v>1.9418</v>
      </c>
      <c r="AP49" s="18">
        <v>1.9499599999999999</v>
      </c>
      <c r="AQ49" s="19">
        <v>1.9581900000000001</v>
      </c>
    </row>
    <row r="50" spans="1:43" x14ac:dyDescent="0.2">
      <c r="A50" s="16">
        <v>290</v>
      </c>
      <c r="B50" s="18">
        <v>1.80053</v>
      </c>
      <c r="C50" s="18">
        <v>1.79358</v>
      </c>
      <c r="D50" s="18">
        <v>1.7866</v>
      </c>
      <c r="E50" s="18">
        <v>1.77956</v>
      </c>
      <c r="F50" s="18">
        <v>1.7725</v>
      </c>
      <c r="G50" s="18">
        <v>1.76539</v>
      </c>
      <c r="H50" s="18">
        <v>1.7582500000000001</v>
      </c>
      <c r="I50" s="18">
        <v>1.7510600000000001</v>
      </c>
      <c r="J50" s="18">
        <v>1.7438400000000001</v>
      </c>
      <c r="K50" s="18">
        <v>1.7365900000000001</v>
      </c>
      <c r="L50" s="18">
        <v>1.72929</v>
      </c>
      <c r="M50" s="18">
        <v>1.7219599999999999</v>
      </c>
      <c r="N50" s="18">
        <v>1.7145900000000001</v>
      </c>
      <c r="O50" s="18">
        <v>1.7071799999999999</v>
      </c>
      <c r="P50" s="18">
        <v>1.6997500000000001</v>
      </c>
      <c r="Q50" s="18">
        <v>1.6922699999999999</v>
      </c>
      <c r="R50" s="18">
        <v>1.6847700000000001</v>
      </c>
      <c r="S50" s="18">
        <v>1.6772199999999999</v>
      </c>
      <c r="T50" s="18">
        <v>1.66964</v>
      </c>
      <c r="U50" s="19">
        <v>1.66204</v>
      </c>
      <c r="W50" s="16">
        <v>290</v>
      </c>
      <c r="X50" s="18">
        <v>1.81436</v>
      </c>
      <c r="Y50" s="18">
        <v>1.82134</v>
      </c>
      <c r="Z50" s="18">
        <v>1.8283799999999999</v>
      </c>
      <c r="AA50" s="18">
        <v>1.8354600000000001</v>
      </c>
      <c r="AB50" s="18">
        <v>1.8426100000000001</v>
      </c>
      <c r="AC50" s="18">
        <v>1.8498000000000001</v>
      </c>
      <c r="AD50" s="18">
        <v>1.85704</v>
      </c>
      <c r="AE50" s="18">
        <v>1.8643400000000001</v>
      </c>
      <c r="AF50" s="18">
        <v>1.8716900000000001</v>
      </c>
      <c r="AG50" s="18">
        <v>1.8790899999999999</v>
      </c>
      <c r="AH50" s="18">
        <v>1.8865499999999999</v>
      </c>
      <c r="AI50" s="18">
        <v>1.89405</v>
      </c>
      <c r="AJ50" s="18">
        <v>1.90161</v>
      </c>
      <c r="AK50" s="18">
        <v>1.9092100000000001</v>
      </c>
      <c r="AL50" s="18">
        <v>1.91686</v>
      </c>
      <c r="AM50" s="18">
        <v>1.92456</v>
      </c>
      <c r="AN50" s="18">
        <v>1.93232</v>
      </c>
      <c r="AO50" s="18">
        <v>1.9401200000000001</v>
      </c>
      <c r="AP50" s="18">
        <v>1.94798</v>
      </c>
      <c r="AQ50" s="19">
        <v>1.95587</v>
      </c>
    </row>
    <row r="51" spans="1:43" x14ac:dyDescent="0.2">
      <c r="A51" s="16">
        <v>300</v>
      </c>
      <c r="B51" s="18">
        <v>1.8039799999999999</v>
      </c>
      <c r="C51" s="18">
        <v>1.7972600000000001</v>
      </c>
      <c r="D51" s="18">
        <v>1.79051</v>
      </c>
      <c r="E51" s="18">
        <v>1.7837099999999999</v>
      </c>
      <c r="F51" s="18">
        <v>1.7768900000000001</v>
      </c>
      <c r="G51" s="18">
        <v>1.77003</v>
      </c>
      <c r="H51" s="18">
        <v>1.7631300000000001</v>
      </c>
      <c r="I51" s="18">
        <v>1.7561899999999999</v>
      </c>
      <c r="J51" s="18">
        <v>1.7492099999999999</v>
      </c>
      <c r="K51" s="18">
        <v>1.7422200000000001</v>
      </c>
      <c r="L51" s="18">
        <v>1.7351799999999999</v>
      </c>
      <c r="M51" s="18">
        <v>1.7281</v>
      </c>
      <c r="N51" s="18">
        <v>1.72099</v>
      </c>
      <c r="O51" s="18">
        <v>1.7138500000000001</v>
      </c>
      <c r="P51" s="18">
        <v>1.7066699999999999</v>
      </c>
      <c r="Q51" s="18">
        <v>1.69946</v>
      </c>
      <c r="R51" s="18">
        <v>1.69221</v>
      </c>
      <c r="S51" s="18">
        <v>1.6849400000000001</v>
      </c>
      <c r="T51" s="18">
        <v>1.67764</v>
      </c>
      <c r="U51" s="19">
        <v>1.6702999999999999</v>
      </c>
      <c r="W51" s="16">
        <v>300</v>
      </c>
      <c r="X51" s="18">
        <v>1.81735</v>
      </c>
      <c r="Y51" s="18">
        <v>1.8241000000000001</v>
      </c>
      <c r="Z51" s="18">
        <v>1.8308800000000001</v>
      </c>
      <c r="AA51" s="18">
        <v>1.8377300000000001</v>
      </c>
      <c r="AB51" s="18">
        <v>1.84463</v>
      </c>
      <c r="AC51" s="18">
        <v>1.8515699999999999</v>
      </c>
      <c r="AD51" s="18">
        <v>1.85856</v>
      </c>
      <c r="AE51" s="18">
        <v>1.8655999999999999</v>
      </c>
      <c r="AF51" s="18">
        <v>1.87269</v>
      </c>
      <c r="AG51" s="18">
        <v>1.8798299999999999</v>
      </c>
      <c r="AH51" s="18">
        <v>1.8870199999999999</v>
      </c>
      <c r="AI51" s="18">
        <v>1.89425</v>
      </c>
      <c r="AJ51" s="18">
        <v>1.9015200000000001</v>
      </c>
      <c r="AK51" s="18">
        <v>1.9088499999999999</v>
      </c>
      <c r="AL51" s="18">
        <v>1.9162300000000001</v>
      </c>
      <c r="AM51" s="18">
        <v>1.9236500000000001</v>
      </c>
      <c r="AN51" s="18">
        <v>1.9311100000000001</v>
      </c>
      <c r="AO51" s="18">
        <v>1.9386300000000001</v>
      </c>
      <c r="AP51" s="18">
        <v>1.9461900000000001</v>
      </c>
      <c r="AQ51" s="19">
        <v>1.9537899999999999</v>
      </c>
    </row>
    <row r="52" spans="1:43" x14ac:dyDescent="0.2">
      <c r="A52" s="16">
        <v>310</v>
      </c>
      <c r="B52" s="18">
        <v>1.80725</v>
      </c>
      <c r="C52" s="18">
        <v>1.8007599999999999</v>
      </c>
      <c r="D52" s="18">
        <v>1.7942199999999999</v>
      </c>
      <c r="E52" s="18">
        <v>1.78766</v>
      </c>
      <c r="F52" s="18">
        <v>1.78105</v>
      </c>
      <c r="G52" s="18">
        <v>1.77441</v>
      </c>
      <c r="H52" s="18">
        <v>1.7677400000000001</v>
      </c>
      <c r="I52" s="18">
        <v>1.7610399999999999</v>
      </c>
      <c r="J52" s="18">
        <v>1.7543</v>
      </c>
      <c r="K52" s="18">
        <v>1.74753</v>
      </c>
      <c r="L52" s="18">
        <v>1.74072</v>
      </c>
      <c r="M52" s="18">
        <v>1.7338899999999999</v>
      </c>
      <c r="N52" s="18">
        <v>1.7270300000000001</v>
      </c>
      <c r="O52" s="18">
        <v>1.7201200000000001</v>
      </c>
      <c r="P52" s="18">
        <v>1.71319</v>
      </c>
      <c r="Q52" s="18">
        <v>1.7062200000000001</v>
      </c>
      <c r="R52" s="18">
        <v>1.69923</v>
      </c>
      <c r="S52" s="18">
        <v>1.69221</v>
      </c>
      <c r="T52" s="18">
        <v>1.68516</v>
      </c>
      <c r="U52" s="19">
        <v>1.67807</v>
      </c>
      <c r="W52" s="16">
        <v>310</v>
      </c>
      <c r="X52" s="18">
        <v>1.82019</v>
      </c>
      <c r="Y52" s="18">
        <v>1.8267199999999999</v>
      </c>
      <c r="Z52" s="18">
        <v>1.8332900000000001</v>
      </c>
      <c r="AA52" s="18">
        <v>1.8399099999999999</v>
      </c>
      <c r="AB52" s="18">
        <v>1.84657</v>
      </c>
      <c r="AC52" s="18">
        <v>1.85328</v>
      </c>
      <c r="AD52" s="18">
        <v>1.8600300000000001</v>
      </c>
      <c r="AE52" s="18">
        <v>1.86683</v>
      </c>
      <c r="AF52" s="18">
        <v>1.87368</v>
      </c>
      <c r="AG52" s="18">
        <v>1.8805799999999999</v>
      </c>
      <c r="AH52" s="18">
        <v>1.88751</v>
      </c>
      <c r="AI52" s="18">
        <v>1.89449</v>
      </c>
      <c r="AJ52" s="18">
        <v>1.9015200000000001</v>
      </c>
      <c r="AK52" s="18">
        <v>1.90859</v>
      </c>
      <c r="AL52" s="18">
        <v>1.91571</v>
      </c>
      <c r="AM52" s="18">
        <v>1.92286</v>
      </c>
      <c r="AN52" s="18">
        <v>1.9300600000000001</v>
      </c>
      <c r="AO52" s="18">
        <v>1.9373100000000001</v>
      </c>
      <c r="AP52" s="18">
        <v>1.94459</v>
      </c>
      <c r="AQ52" s="19">
        <v>1.9519200000000001</v>
      </c>
    </row>
    <row r="53" spans="1:43" x14ac:dyDescent="0.2">
      <c r="A53" s="16">
        <v>320</v>
      </c>
      <c r="B53" s="18">
        <v>1.81037</v>
      </c>
      <c r="C53" s="18">
        <v>1.8040799999999999</v>
      </c>
      <c r="D53" s="18">
        <v>1.79775</v>
      </c>
      <c r="E53" s="18">
        <v>1.79139</v>
      </c>
      <c r="F53" s="18">
        <v>1.7849999999999999</v>
      </c>
      <c r="G53" s="18">
        <v>1.77857</v>
      </c>
      <c r="H53" s="18">
        <v>1.7721100000000001</v>
      </c>
      <c r="I53" s="18">
        <v>1.76563</v>
      </c>
      <c r="J53" s="18">
        <v>1.75911</v>
      </c>
      <c r="K53" s="18">
        <v>1.7525599999999999</v>
      </c>
      <c r="L53" s="18">
        <v>1.7459800000000001</v>
      </c>
      <c r="M53" s="18">
        <v>1.7393700000000001</v>
      </c>
      <c r="N53" s="18">
        <v>1.73272</v>
      </c>
      <c r="O53" s="18">
        <v>1.7260500000000001</v>
      </c>
      <c r="P53" s="18">
        <v>1.7193499999999999</v>
      </c>
      <c r="Q53" s="18">
        <v>1.71262</v>
      </c>
      <c r="R53" s="18">
        <v>1.7058500000000001</v>
      </c>
      <c r="S53" s="18">
        <v>1.69906</v>
      </c>
      <c r="T53" s="18">
        <v>1.69225</v>
      </c>
      <c r="U53" s="19">
        <v>1.6854</v>
      </c>
      <c r="W53" s="16">
        <v>320</v>
      </c>
      <c r="X53" s="18">
        <v>1.82291</v>
      </c>
      <c r="Y53" s="18">
        <v>1.8292200000000001</v>
      </c>
      <c r="Z53" s="18">
        <v>1.8355900000000001</v>
      </c>
      <c r="AA53" s="18">
        <v>1.84199</v>
      </c>
      <c r="AB53" s="18">
        <v>1.8484400000000001</v>
      </c>
      <c r="AC53" s="18">
        <v>1.85494</v>
      </c>
      <c r="AD53" s="18">
        <v>1.86147</v>
      </c>
      <c r="AE53" s="18">
        <v>1.8680399999999999</v>
      </c>
      <c r="AF53" s="18">
        <v>1.87466</v>
      </c>
      <c r="AG53" s="18">
        <v>1.8813299999999999</v>
      </c>
      <c r="AH53" s="18">
        <v>1.8880399999999999</v>
      </c>
      <c r="AI53" s="18">
        <v>1.8947799999999999</v>
      </c>
      <c r="AJ53" s="18">
        <v>1.9015599999999999</v>
      </c>
      <c r="AK53" s="18">
        <v>1.9084000000000001</v>
      </c>
      <c r="AL53" s="18">
        <v>1.91527</v>
      </c>
      <c r="AM53" s="18">
        <v>1.92218</v>
      </c>
      <c r="AN53" s="18">
        <v>1.92913</v>
      </c>
      <c r="AO53" s="18">
        <v>1.9361299999999999</v>
      </c>
      <c r="AP53" s="18">
        <v>1.94316</v>
      </c>
      <c r="AQ53" s="19">
        <v>1.95024</v>
      </c>
    </row>
    <row r="54" spans="1:43" x14ac:dyDescent="0.2">
      <c r="A54" s="16">
        <v>330</v>
      </c>
      <c r="B54" s="18">
        <v>1.81335</v>
      </c>
      <c r="C54" s="18">
        <v>1.80724</v>
      </c>
      <c r="D54" s="18">
        <v>1.80111</v>
      </c>
      <c r="E54" s="18">
        <v>1.79495</v>
      </c>
      <c r="F54" s="18">
        <v>1.7887599999999999</v>
      </c>
      <c r="G54" s="18">
        <v>1.7825200000000001</v>
      </c>
      <c r="H54" s="18">
        <v>1.77627</v>
      </c>
      <c r="I54" s="18">
        <v>1.76999</v>
      </c>
      <c r="J54" s="18">
        <v>1.7636700000000001</v>
      </c>
      <c r="K54" s="18">
        <v>1.7573300000000001</v>
      </c>
      <c r="L54" s="18">
        <v>1.75095</v>
      </c>
      <c r="M54" s="18">
        <v>1.74455</v>
      </c>
      <c r="N54" s="18">
        <v>1.7381200000000001</v>
      </c>
      <c r="O54" s="18">
        <v>1.7316499999999999</v>
      </c>
      <c r="P54" s="18">
        <v>1.7251700000000001</v>
      </c>
      <c r="Q54" s="18">
        <v>1.71865</v>
      </c>
      <c r="R54" s="18">
        <v>1.7121</v>
      </c>
      <c r="S54" s="18">
        <v>1.7055400000000001</v>
      </c>
      <c r="T54" s="18">
        <v>1.6989300000000001</v>
      </c>
      <c r="U54" s="19">
        <v>1.69231</v>
      </c>
      <c r="W54" s="16">
        <v>330</v>
      </c>
      <c r="X54" s="18">
        <v>1.8254999999999999</v>
      </c>
      <c r="Y54" s="18">
        <v>1.83162</v>
      </c>
      <c r="Z54" s="18">
        <v>1.83779</v>
      </c>
      <c r="AA54" s="18">
        <v>1.8440000000000001</v>
      </c>
      <c r="AB54" s="18">
        <v>1.8502400000000001</v>
      </c>
      <c r="AC54" s="18">
        <v>1.85653</v>
      </c>
      <c r="AD54" s="18">
        <v>1.86286</v>
      </c>
      <c r="AE54" s="18">
        <v>1.8692299999999999</v>
      </c>
      <c r="AF54" s="18">
        <v>1.8756299999999999</v>
      </c>
      <c r="AG54" s="18">
        <v>1.88209</v>
      </c>
      <c r="AH54" s="18">
        <v>1.8885700000000001</v>
      </c>
      <c r="AI54" s="18">
        <v>1.8951</v>
      </c>
      <c r="AJ54" s="18">
        <v>1.90167</v>
      </c>
      <c r="AK54" s="18">
        <v>1.9082699999999999</v>
      </c>
      <c r="AL54" s="18">
        <v>1.91492</v>
      </c>
      <c r="AM54" s="18">
        <v>1.9215899999999999</v>
      </c>
      <c r="AN54" s="18">
        <v>1.92832</v>
      </c>
      <c r="AO54" s="18">
        <v>1.9350700000000001</v>
      </c>
      <c r="AP54" s="18">
        <v>1.94187</v>
      </c>
      <c r="AQ54" s="19">
        <v>1.9487000000000001</v>
      </c>
    </row>
    <row r="55" spans="1:43" x14ac:dyDescent="0.2">
      <c r="A55" s="16">
        <v>340</v>
      </c>
      <c r="B55" s="18">
        <v>1.8161799999999999</v>
      </c>
      <c r="C55" s="18">
        <v>1.81026</v>
      </c>
      <c r="D55" s="18">
        <v>1.8043199999999999</v>
      </c>
      <c r="E55" s="18">
        <v>1.79834</v>
      </c>
      <c r="F55" s="18">
        <v>1.79233</v>
      </c>
      <c r="G55" s="18">
        <v>1.7862899999999999</v>
      </c>
      <c r="H55" s="18">
        <v>1.7802199999999999</v>
      </c>
      <c r="I55" s="18">
        <v>1.77413</v>
      </c>
      <c r="J55" s="18">
        <v>1.768</v>
      </c>
      <c r="K55" s="18">
        <v>1.7618499999999999</v>
      </c>
      <c r="L55" s="18">
        <v>1.7556700000000001</v>
      </c>
      <c r="M55" s="18">
        <v>1.7494700000000001</v>
      </c>
      <c r="N55" s="18">
        <v>1.7432300000000001</v>
      </c>
      <c r="O55" s="18">
        <v>1.7369699999999999</v>
      </c>
      <c r="P55" s="18">
        <v>1.73068</v>
      </c>
      <c r="Q55" s="18">
        <v>1.72437</v>
      </c>
      <c r="R55" s="18">
        <v>1.7180299999999999</v>
      </c>
      <c r="S55" s="18">
        <v>1.71166</v>
      </c>
      <c r="T55" s="18">
        <v>1.7052700000000001</v>
      </c>
      <c r="U55" s="19">
        <v>1.69885</v>
      </c>
      <c r="W55" s="16">
        <v>340</v>
      </c>
      <c r="X55" s="18">
        <v>1.82799</v>
      </c>
      <c r="Y55" s="18">
        <v>1.83392</v>
      </c>
      <c r="Z55" s="18">
        <v>1.8399000000000001</v>
      </c>
      <c r="AA55" s="18">
        <v>1.84592</v>
      </c>
      <c r="AB55" s="18">
        <v>1.85198</v>
      </c>
      <c r="AC55" s="18">
        <v>1.85808</v>
      </c>
      <c r="AD55" s="18">
        <v>1.8642000000000001</v>
      </c>
      <c r="AE55" s="18">
        <v>1.8703799999999999</v>
      </c>
      <c r="AF55" s="18">
        <v>1.87659</v>
      </c>
      <c r="AG55" s="18">
        <v>1.8828400000000001</v>
      </c>
      <c r="AH55" s="18">
        <v>1.88913</v>
      </c>
      <c r="AI55" s="18">
        <v>1.8954500000000001</v>
      </c>
      <c r="AJ55" s="18">
        <v>1.9017999999999999</v>
      </c>
      <c r="AK55" s="18">
        <v>1.9081900000000001</v>
      </c>
      <c r="AL55" s="18">
        <v>1.9146300000000001</v>
      </c>
      <c r="AM55" s="18">
        <v>1.92109</v>
      </c>
      <c r="AN55" s="18">
        <v>1.9276</v>
      </c>
      <c r="AO55" s="18">
        <v>1.93414</v>
      </c>
      <c r="AP55" s="18">
        <v>1.94072</v>
      </c>
      <c r="AQ55" s="19">
        <v>1.9473199999999999</v>
      </c>
    </row>
    <row r="56" spans="1:43" x14ac:dyDescent="0.2">
      <c r="A56" s="16">
        <v>350</v>
      </c>
      <c r="B56" s="18">
        <v>1.8189</v>
      </c>
      <c r="C56" s="18">
        <v>1.81315</v>
      </c>
      <c r="D56" s="18">
        <v>1.8073699999999999</v>
      </c>
      <c r="E56" s="18">
        <v>1.8015699999999999</v>
      </c>
      <c r="F56" s="18">
        <v>1.79573</v>
      </c>
      <c r="G56" s="18">
        <v>1.7898700000000001</v>
      </c>
      <c r="H56" s="18">
        <v>1.7839799999999999</v>
      </c>
      <c r="I56" s="18">
        <v>1.77806</v>
      </c>
      <c r="J56" s="18">
        <v>1.7721100000000001</v>
      </c>
      <c r="K56" s="18">
        <v>1.7661500000000001</v>
      </c>
      <c r="L56" s="18">
        <v>1.7601500000000001</v>
      </c>
      <c r="M56" s="18">
        <v>1.75414</v>
      </c>
      <c r="N56" s="18">
        <v>1.7480800000000001</v>
      </c>
      <c r="O56" s="18">
        <v>1.7420100000000001</v>
      </c>
      <c r="P56" s="18">
        <v>1.7359199999999999</v>
      </c>
      <c r="Q56" s="18">
        <v>1.7297899999999999</v>
      </c>
      <c r="R56" s="18">
        <v>1.7236400000000001</v>
      </c>
      <c r="S56" s="18">
        <v>1.7174700000000001</v>
      </c>
      <c r="T56" s="18">
        <v>1.7112700000000001</v>
      </c>
      <c r="U56" s="19">
        <v>1.70505</v>
      </c>
      <c r="W56" s="16">
        <v>350</v>
      </c>
      <c r="X56" s="18">
        <v>1.83036</v>
      </c>
      <c r="Y56" s="18">
        <v>1.83613</v>
      </c>
      <c r="Z56" s="18">
        <v>1.8419300000000001</v>
      </c>
      <c r="AA56" s="18">
        <v>1.84778</v>
      </c>
      <c r="AB56" s="18">
        <v>1.8536600000000001</v>
      </c>
      <c r="AC56" s="18">
        <v>1.8595699999999999</v>
      </c>
      <c r="AD56" s="18">
        <v>1.8655299999999999</v>
      </c>
      <c r="AE56" s="18">
        <v>1.87151</v>
      </c>
      <c r="AF56" s="18">
        <v>1.8775299999999999</v>
      </c>
      <c r="AG56" s="18">
        <v>1.8835900000000001</v>
      </c>
      <c r="AH56" s="18">
        <v>1.8896900000000001</v>
      </c>
      <c r="AI56" s="18">
        <v>1.89581</v>
      </c>
      <c r="AJ56" s="18">
        <v>1.90198</v>
      </c>
      <c r="AK56" s="18">
        <v>1.90818</v>
      </c>
      <c r="AL56" s="18">
        <v>1.9144099999999999</v>
      </c>
      <c r="AM56" s="18">
        <v>1.9206799999999999</v>
      </c>
      <c r="AN56" s="18">
        <v>1.9269799999999999</v>
      </c>
      <c r="AO56" s="18">
        <v>1.9333100000000001</v>
      </c>
      <c r="AP56" s="18">
        <v>1.93967</v>
      </c>
      <c r="AQ56" s="19">
        <v>1.94608</v>
      </c>
    </row>
    <row r="57" spans="1:43" x14ac:dyDescent="0.2">
      <c r="A57" s="16">
        <v>360</v>
      </c>
      <c r="B57" s="18">
        <v>1.8214999999999999</v>
      </c>
      <c r="C57" s="18">
        <v>1.8159099999999999</v>
      </c>
      <c r="D57" s="18">
        <v>1.81029</v>
      </c>
      <c r="E57" s="18">
        <v>1.8046500000000001</v>
      </c>
      <c r="F57" s="18">
        <v>1.79898</v>
      </c>
      <c r="G57" s="18">
        <v>1.79328</v>
      </c>
      <c r="H57" s="18">
        <v>1.78756</v>
      </c>
      <c r="I57" s="18">
        <v>1.78182</v>
      </c>
      <c r="J57" s="18">
        <v>1.7760400000000001</v>
      </c>
      <c r="K57" s="18">
        <v>1.7702500000000001</v>
      </c>
      <c r="L57" s="18">
        <v>1.7644200000000001</v>
      </c>
      <c r="M57" s="18">
        <v>1.75858</v>
      </c>
      <c r="N57" s="18">
        <v>1.7526999999999999</v>
      </c>
      <c r="O57" s="18">
        <v>1.74681</v>
      </c>
      <c r="P57" s="18">
        <v>1.74089</v>
      </c>
      <c r="Q57" s="18">
        <v>1.7349399999999999</v>
      </c>
      <c r="R57" s="18">
        <v>1.72898</v>
      </c>
      <c r="S57" s="18">
        <v>1.72299</v>
      </c>
      <c r="T57" s="18">
        <v>1.7169700000000001</v>
      </c>
      <c r="U57" s="19">
        <v>1.7109399999999999</v>
      </c>
      <c r="W57" s="16">
        <v>360</v>
      </c>
      <c r="X57" s="18">
        <v>1.83264</v>
      </c>
      <c r="Y57" s="18">
        <v>1.8382499999999999</v>
      </c>
      <c r="Z57" s="18">
        <v>1.84389</v>
      </c>
      <c r="AA57" s="18">
        <v>1.8495699999999999</v>
      </c>
      <c r="AB57" s="18">
        <v>1.85527</v>
      </c>
      <c r="AC57" s="18">
        <v>1.8610199999999999</v>
      </c>
      <c r="AD57" s="18">
        <v>1.8668100000000001</v>
      </c>
      <c r="AE57" s="18">
        <v>1.8726100000000001</v>
      </c>
      <c r="AF57" s="18">
        <v>1.87846</v>
      </c>
      <c r="AG57" s="18">
        <v>1.8843399999999999</v>
      </c>
      <c r="AH57" s="18">
        <v>1.8902600000000001</v>
      </c>
      <c r="AI57" s="18">
        <v>1.8962000000000001</v>
      </c>
      <c r="AJ57" s="18">
        <v>1.90218</v>
      </c>
      <c r="AK57" s="18">
        <v>1.9081900000000001</v>
      </c>
      <c r="AL57" s="18">
        <v>1.9142399999999999</v>
      </c>
      <c r="AM57" s="18">
        <v>1.92032</v>
      </c>
      <c r="AN57" s="18">
        <v>1.9264300000000001</v>
      </c>
      <c r="AO57" s="18">
        <v>1.9325699999999999</v>
      </c>
      <c r="AP57" s="18">
        <v>1.9387399999999999</v>
      </c>
      <c r="AQ57" s="19">
        <v>1.9449399999999999</v>
      </c>
    </row>
    <row r="58" spans="1:43" x14ac:dyDescent="0.2">
      <c r="A58" s="16">
        <v>370</v>
      </c>
      <c r="B58" s="18">
        <v>1.82399</v>
      </c>
      <c r="C58" s="18">
        <v>1.8185500000000001</v>
      </c>
      <c r="D58" s="18">
        <v>1.8130900000000001</v>
      </c>
      <c r="E58" s="18">
        <v>1.8076000000000001</v>
      </c>
      <c r="F58" s="18">
        <v>1.80209</v>
      </c>
      <c r="G58" s="18">
        <v>1.7965500000000001</v>
      </c>
      <c r="H58" s="18">
        <v>1.79098</v>
      </c>
      <c r="I58" s="18">
        <v>1.7854000000000001</v>
      </c>
      <c r="J58" s="18">
        <v>1.7797799999999999</v>
      </c>
      <c r="K58" s="18">
        <v>1.7741499999999999</v>
      </c>
      <c r="L58" s="18">
        <v>1.7684899999999999</v>
      </c>
      <c r="M58" s="18">
        <v>1.76281</v>
      </c>
      <c r="N58" s="18">
        <v>1.7571099999999999</v>
      </c>
      <c r="O58" s="18">
        <v>1.7513700000000001</v>
      </c>
      <c r="P58" s="18">
        <v>1.7456199999999999</v>
      </c>
      <c r="Q58" s="18">
        <v>1.7398499999999999</v>
      </c>
      <c r="R58" s="18">
        <v>1.7340599999999999</v>
      </c>
      <c r="S58" s="18">
        <v>1.72824</v>
      </c>
      <c r="T58" s="18">
        <v>1.7223999999999999</v>
      </c>
      <c r="U58" s="19">
        <v>1.7165299999999999</v>
      </c>
      <c r="W58" s="16">
        <v>370</v>
      </c>
      <c r="X58" s="18">
        <v>1.83483</v>
      </c>
      <c r="Y58" s="18">
        <v>1.84029</v>
      </c>
      <c r="Z58" s="18">
        <v>1.8457699999999999</v>
      </c>
      <c r="AA58" s="18">
        <v>1.8512900000000001</v>
      </c>
      <c r="AB58" s="18">
        <v>1.8568499999999999</v>
      </c>
      <c r="AC58" s="18">
        <v>1.86242</v>
      </c>
      <c r="AD58" s="18">
        <v>1.86805</v>
      </c>
      <c r="AE58" s="18">
        <v>1.8736900000000001</v>
      </c>
      <c r="AF58" s="18">
        <v>1.8793800000000001</v>
      </c>
      <c r="AG58" s="18">
        <v>1.8850899999999999</v>
      </c>
      <c r="AH58" s="18">
        <v>1.89083</v>
      </c>
      <c r="AI58" s="18">
        <v>1.8966000000000001</v>
      </c>
      <c r="AJ58" s="18">
        <v>1.9024099999999999</v>
      </c>
      <c r="AK58" s="18">
        <v>1.90825</v>
      </c>
      <c r="AL58" s="18">
        <v>1.91412</v>
      </c>
      <c r="AM58" s="18">
        <v>1.9200200000000001</v>
      </c>
      <c r="AN58" s="18">
        <v>1.9259500000000001</v>
      </c>
      <c r="AO58" s="18">
        <v>1.93191</v>
      </c>
      <c r="AP58" s="18">
        <v>1.9378899999999999</v>
      </c>
      <c r="AQ58" s="19">
        <v>1.9439200000000001</v>
      </c>
    </row>
    <row r="59" spans="1:43" x14ac:dyDescent="0.2">
      <c r="A59" s="16">
        <v>380</v>
      </c>
      <c r="B59" s="18">
        <v>1.82639</v>
      </c>
      <c r="C59" s="18">
        <v>1.8210900000000001</v>
      </c>
      <c r="D59" s="18">
        <v>1.8157700000000001</v>
      </c>
      <c r="E59" s="18">
        <v>1.81043</v>
      </c>
      <c r="F59" s="18">
        <v>1.8050600000000001</v>
      </c>
      <c r="G59" s="18">
        <v>1.7996700000000001</v>
      </c>
      <c r="H59" s="18">
        <v>1.79426</v>
      </c>
      <c r="I59" s="18">
        <v>1.7888299999999999</v>
      </c>
      <c r="J59" s="18">
        <v>1.7833600000000001</v>
      </c>
      <c r="K59" s="18">
        <v>1.7778799999999999</v>
      </c>
      <c r="L59" s="18">
        <v>1.7723800000000001</v>
      </c>
      <c r="M59" s="18">
        <v>1.76685</v>
      </c>
      <c r="N59" s="18">
        <v>1.7613000000000001</v>
      </c>
      <c r="O59" s="18">
        <v>1.75573</v>
      </c>
      <c r="P59" s="18">
        <v>1.75014</v>
      </c>
      <c r="Q59" s="18">
        <v>1.7445200000000001</v>
      </c>
      <c r="R59" s="18">
        <v>1.73889</v>
      </c>
      <c r="S59" s="18">
        <v>1.73323</v>
      </c>
      <c r="T59" s="18">
        <v>1.7275499999999999</v>
      </c>
      <c r="U59" s="19">
        <v>1.7218599999999999</v>
      </c>
      <c r="W59" s="16">
        <v>380</v>
      </c>
      <c r="X59" s="18">
        <v>1.83694</v>
      </c>
      <c r="Y59" s="18">
        <v>1.8422499999999999</v>
      </c>
      <c r="Z59" s="18">
        <v>1.84758</v>
      </c>
      <c r="AA59" s="18">
        <v>1.8529599999999999</v>
      </c>
      <c r="AB59" s="18">
        <v>1.85836</v>
      </c>
      <c r="AC59" s="18">
        <v>1.8637900000000001</v>
      </c>
      <c r="AD59" s="18">
        <v>1.8692500000000001</v>
      </c>
      <c r="AE59" s="18">
        <v>1.8747499999999999</v>
      </c>
      <c r="AF59" s="18">
        <v>1.8802700000000001</v>
      </c>
      <c r="AG59" s="18">
        <v>1.8858200000000001</v>
      </c>
      <c r="AH59" s="18">
        <v>1.89141</v>
      </c>
      <c r="AI59" s="18">
        <v>1.8970199999999999</v>
      </c>
      <c r="AJ59" s="18">
        <v>1.90266</v>
      </c>
      <c r="AK59" s="18">
        <v>1.9083399999999999</v>
      </c>
      <c r="AL59" s="18">
        <v>1.91404</v>
      </c>
      <c r="AM59" s="18">
        <v>1.91977</v>
      </c>
      <c r="AN59" s="18">
        <v>1.92553</v>
      </c>
      <c r="AO59" s="18">
        <v>1.9313199999999999</v>
      </c>
      <c r="AP59" s="18">
        <v>1.9371400000000001</v>
      </c>
      <c r="AQ59" s="19">
        <v>1.9429799999999999</v>
      </c>
    </row>
    <row r="60" spans="1:43" x14ac:dyDescent="0.2">
      <c r="A60" s="16">
        <v>390</v>
      </c>
      <c r="B60" s="18">
        <v>1.8286800000000001</v>
      </c>
      <c r="C60" s="18">
        <v>1.82352</v>
      </c>
      <c r="D60" s="18">
        <v>1.8183400000000001</v>
      </c>
      <c r="E60" s="18">
        <v>1.81314</v>
      </c>
      <c r="F60" s="18">
        <v>1.8079099999999999</v>
      </c>
      <c r="G60" s="18">
        <v>1.8026599999999999</v>
      </c>
      <c r="H60" s="18">
        <v>1.79739</v>
      </c>
      <c r="I60" s="18">
        <v>1.7921</v>
      </c>
      <c r="J60" s="18">
        <v>1.78678</v>
      </c>
      <c r="K60" s="18">
        <v>1.78145</v>
      </c>
      <c r="L60" s="18">
        <v>1.7760899999999999</v>
      </c>
      <c r="M60" s="18">
        <v>1.77071</v>
      </c>
      <c r="N60" s="18">
        <v>1.76532</v>
      </c>
      <c r="O60" s="18">
        <v>1.75989</v>
      </c>
      <c r="P60" s="18">
        <v>1.7544500000000001</v>
      </c>
      <c r="Q60" s="18">
        <v>1.74898</v>
      </c>
      <c r="R60" s="18">
        <v>1.7435099999999999</v>
      </c>
      <c r="S60" s="18">
        <v>1.738</v>
      </c>
      <c r="T60" s="18">
        <v>1.73248</v>
      </c>
      <c r="U60" s="19">
        <v>1.7269300000000001</v>
      </c>
      <c r="W60" s="16">
        <v>390</v>
      </c>
      <c r="X60" s="18">
        <v>1.8389599999999999</v>
      </c>
      <c r="Y60" s="18">
        <v>1.84413</v>
      </c>
      <c r="Z60" s="18">
        <v>1.8493299999999999</v>
      </c>
      <c r="AA60" s="18">
        <v>1.8545700000000001</v>
      </c>
      <c r="AB60" s="18">
        <v>1.85982</v>
      </c>
      <c r="AC60" s="18">
        <v>1.8651199999999999</v>
      </c>
      <c r="AD60" s="18">
        <v>1.87043</v>
      </c>
      <c r="AE60" s="18">
        <v>1.87578</v>
      </c>
      <c r="AF60" s="18">
        <v>1.8811500000000001</v>
      </c>
      <c r="AG60" s="18">
        <v>1.88656</v>
      </c>
      <c r="AH60" s="18">
        <v>1.8919999999999999</v>
      </c>
      <c r="AI60" s="18">
        <v>1.8974599999999999</v>
      </c>
      <c r="AJ60" s="18">
        <v>1.9029400000000001</v>
      </c>
      <c r="AK60" s="18">
        <v>1.90846</v>
      </c>
      <c r="AL60" s="18">
        <v>1.91401</v>
      </c>
      <c r="AM60" s="18">
        <v>1.91957</v>
      </c>
      <c r="AN60" s="18">
        <v>1.92517</v>
      </c>
      <c r="AO60" s="18">
        <v>1.9308000000000001</v>
      </c>
      <c r="AP60" s="18">
        <v>1.9364600000000001</v>
      </c>
      <c r="AQ60" s="19">
        <v>1.9421299999999999</v>
      </c>
    </row>
    <row r="61" spans="1:43" x14ac:dyDescent="0.2">
      <c r="A61" s="16">
        <v>400</v>
      </c>
      <c r="B61" s="18">
        <v>1.8308899999999999</v>
      </c>
      <c r="C61" s="18">
        <v>1.82586</v>
      </c>
      <c r="D61" s="18">
        <v>1.82081</v>
      </c>
      <c r="E61" s="18">
        <v>1.8157399999999999</v>
      </c>
      <c r="F61" s="18">
        <v>1.81064</v>
      </c>
      <c r="G61" s="18">
        <v>1.8055300000000001</v>
      </c>
      <c r="H61" s="18">
        <v>1.8003899999999999</v>
      </c>
      <c r="I61" s="18">
        <v>1.7952399999999999</v>
      </c>
      <c r="J61" s="18">
        <v>1.79006</v>
      </c>
      <c r="K61" s="18">
        <v>1.7848599999999999</v>
      </c>
      <c r="L61" s="18">
        <v>1.7796400000000001</v>
      </c>
      <c r="M61" s="18">
        <v>1.7744</v>
      </c>
      <c r="N61" s="18">
        <v>1.76915</v>
      </c>
      <c r="O61" s="18">
        <v>1.76387</v>
      </c>
      <c r="P61" s="18">
        <v>1.7585599999999999</v>
      </c>
      <c r="Q61" s="18">
        <v>1.7532399999999999</v>
      </c>
      <c r="R61" s="18">
        <v>1.7479100000000001</v>
      </c>
      <c r="S61" s="18">
        <v>1.74255</v>
      </c>
      <c r="T61" s="18">
        <v>1.7371700000000001</v>
      </c>
      <c r="U61" s="19">
        <v>1.73177</v>
      </c>
      <c r="W61" s="16">
        <v>400</v>
      </c>
      <c r="X61" s="18">
        <v>1.84091</v>
      </c>
      <c r="Y61" s="18">
        <v>1.84596</v>
      </c>
      <c r="Z61" s="18">
        <v>1.85103</v>
      </c>
      <c r="AA61" s="18">
        <v>1.85612</v>
      </c>
      <c r="AB61" s="18">
        <v>1.86124</v>
      </c>
      <c r="AC61" s="18">
        <v>1.8664000000000001</v>
      </c>
      <c r="AD61" s="18">
        <v>1.87158</v>
      </c>
      <c r="AE61" s="18">
        <v>1.8767799999999999</v>
      </c>
      <c r="AF61" s="18">
        <v>1.88202</v>
      </c>
      <c r="AG61" s="18">
        <v>1.8872800000000001</v>
      </c>
      <c r="AH61" s="18">
        <v>1.8925799999999999</v>
      </c>
      <c r="AI61" s="18">
        <v>1.8978900000000001</v>
      </c>
      <c r="AJ61" s="18">
        <v>1.90323</v>
      </c>
      <c r="AK61" s="18">
        <v>1.9086000000000001</v>
      </c>
      <c r="AL61" s="18">
        <v>1.9139999999999999</v>
      </c>
      <c r="AM61" s="18">
        <v>1.9194199999999999</v>
      </c>
      <c r="AN61" s="18">
        <v>1.92486</v>
      </c>
      <c r="AO61" s="18">
        <v>1.9303399999999999</v>
      </c>
      <c r="AP61" s="18">
        <v>1.93584</v>
      </c>
      <c r="AQ61" s="19">
        <v>1.94136</v>
      </c>
    </row>
    <row r="62" spans="1:43" x14ac:dyDescent="0.2">
      <c r="A62" s="16">
        <v>410</v>
      </c>
      <c r="B62" s="18">
        <v>1.83301</v>
      </c>
      <c r="C62" s="18">
        <v>1.8281099999999999</v>
      </c>
      <c r="D62" s="18">
        <v>1.82318</v>
      </c>
      <c r="E62" s="18">
        <v>1.8182400000000001</v>
      </c>
      <c r="F62" s="18">
        <v>1.8132699999999999</v>
      </c>
      <c r="G62" s="18">
        <v>1.8082800000000001</v>
      </c>
      <c r="H62" s="18">
        <v>1.8032699999999999</v>
      </c>
      <c r="I62" s="18">
        <v>1.7982499999999999</v>
      </c>
      <c r="J62" s="18">
        <v>1.7931999999999999</v>
      </c>
      <c r="K62" s="18">
        <v>1.7881400000000001</v>
      </c>
      <c r="L62" s="18">
        <v>1.78305</v>
      </c>
      <c r="M62" s="18">
        <v>1.7779400000000001</v>
      </c>
      <c r="N62" s="18">
        <v>1.77281</v>
      </c>
      <c r="O62" s="18">
        <v>1.7676700000000001</v>
      </c>
      <c r="P62" s="18">
        <v>1.7625</v>
      </c>
      <c r="Q62" s="18">
        <v>1.75732</v>
      </c>
      <c r="R62" s="18">
        <v>1.7521199999999999</v>
      </c>
      <c r="S62" s="18">
        <v>1.7468999999999999</v>
      </c>
      <c r="T62" s="18">
        <v>1.74166</v>
      </c>
      <c r="U62" s="19">
        <v>1.7363999999999999</v>
      </c>
      <c r="W62" s="16">
        <v>410</v>
      </c>
      <c r="X62" s="18">
        <v>1.8427899999999999</v>
      </c>
      <c r="Y62" s="18">
        <v>1.84771</v>
      </c>
      <c r="Z62" s="18">
        <v>1.8526499999999999</v>
      </c>
      <c r="AA62" s="18">
        <v>1.8576299999999999</v>
      </c>
      <c r="AB62" s="18">
        <v>1.86263</v>
      </c>
      <c r="AC62" s="18">
        <v>1.86765</v>
      </c>
      <c r="AD62" s="18">
        <v>1.87269</v>
      </c>
      <c r="AE62" s="18">
        <v>1.8777699999999999</v>
      </c>
      <c r="AF62" s="18">
        <v>1.88287</v>
      </c>
      <c r="AG62" s="18">
        <v>1.8879999999999999</v>
      </c>
      <c r="AH62" s="18">
        <v>1.8931500000000001</v>
      </c>
      <c r="AI62" s="18">
        <v>1.8983300000000001</v>
      </c>
      <c r="AJ62" s="18">
        <v>1.90354</v>
      </c>
      <c r="AK62" s="18">
        <v>1.9087700000000001</v>
      </c>
      <c r="AL62" s="18">
        <v>1.91401</v>
      </c>
      <c r="AM62" s="18">
        <v>1.9193</v>
      </c>
      <c r="AN62" s="18">
        <v>1.9246000000000001</v>
      </c>
      <c r="AO62" s="18">
        <v>1.9299299999999999</v>
      </c>
      <c r="AP62" s="18">
        <v>1.9352799999999999</v>
      </c>
      <c r="AQ62" s="19">
        <v>1.9406600000000001</v>
      </c>
    </row>
    <row r="63" spans="1:43" x14ac:dyDescent="0.2">
      <c r="A63" s="16">
        <v>420</v>
      </c>
      <c r="B63" s="18">
        <v>1.83507</v>
      </c>
      <c r="C63" s="18">
        <v>1.8302799999999999</v>
      </c>
      <c r="D63" s="18">
        <v>1.8254600000000001</v>
      </c>
      <c r="E63" s="18">
        <v>1.82064</v>
      </c>
      <c r="F63" s="18">
        <v>1.81579</v>
      </c>
      <c r="G63" s="18">
        <v>1.8109299999999999</v>
      </c>
      <c r="H63" s="18">
        <v>1.8060400000000001</v>
      </c>
      <c r="I63" s="18">
        <v>1.80114</v>
      </c>
      <c r="J63" s="18">
        <v>1.7962100000000001</v>
      </c>
      <c r="K63" s="18">
        <v>1.7912699999999999</v>
      </c>
      <c r="L63" s="18">
        <v>1.7863100000000001</v>
      </c>
      <c r="M63" s="18">
        <v>1.7813300000000001</v>
      </c>
      <c r="N63" s="18">
        <v>1.77633</v>
      </c>
      <c r="O63" s="18">
        <v>1.77132</v>
      </c>
      <c r="P63" s="18">
        <v>1.7662800000000001</v>
      </c>
      <c r="Q63" s="18">
        <v>1.76122</v>
      </c>
      <c r="R63" s="18">
        <v>1.7561500000000001</v>
      </c>
      <c r="S63" s="18">
        <v>1.7510699999999999</v>
      </c>
      <c r="T63" s="18">
        <v>1.74596</v>
      </c>
      <c r="U63" s="19">
        <v>1.7408300000000001</v>
      </c>
      <c r="W63" s="16">
        <v>420</v>
      </c>
      <c r="X63" s="18">
        <v>1.8446100000000001</v>
      </c>
      <c r="Y63" s="18">
        <v>1.84941</v>
      </c>
      <c r="Z63" s="18">
        <v>1.85423</v>
      </c>
      <c r="AA63" s="18">
        <v>1.8590800000000001</v>
      </c>
      <c r="AB63" s="18">
        <v>1.8639600000000001</v>
      </c>
      <c r="AC63" s="18">
        <v>1.86886</v>
      </c>
      <c r="AD63" s="18">
        <v>1.8737900000000001</v>
      </c>
      <c r="AE63" s="18">
        <v>1.8787400000000001</v>
      </c>
      <c r="AF63" s="18">
        <v>1.88371</v>
      </c>
      <c r="AG63" s="18">
        <v>1.8887100000000001</v>
      </c>
      <c r="AH63" s="18">
        <v>1.8937299999999999</v>
      </c>
      <c r="AI63" s="18">
        <v>1.8987799999999999</v>
      </c>
      <c r="AJ63" s="18">
        <v>1.90385</v>
      </c>
      <c r="AK63" s="18">
        <v>1.9089499999999999</v>
      </c>
      <c r="AL63" s="18">
        <v>1.9140699999999999</v>
      </c>
      <c r="AM63" s="18">
        <v>1.9192199999999999</v>
      </c>
      <c r="AN63" s="18">
        <v>1.92438</v>
      </c>
      <c r="AO63" s="18">
        <v>1.92957</v>
      </c>
      <c r="AP63" s="18">
        <v>1.9347799999999999</v>
      </c>
      <c r="AQ63" s="19">
        <v>1.9400299999999999</v>
      </c>
    </row>
    <row r="64" spans="1:43" x14ac:dyDescent="0.2">
      <c r="A64" s="16">
        <v>430</v>
      </c>
      <c r="B64" s="18">
        <v>1.83704</v>
      </c>
      <c r="C64" s="18">
        <v>1.83236</v>
      </c>
      <c r="D64" s="18">
        <v>1.8276699999999999</v>
      </c>
      <c r="E64" s="18">
        <v>1.8229599999999999</v>
      </c>
      <c r="F64" s="18">
        <v>1.81823</v>
      </c>
      <c r="G64" s="18">
        <v>1.81348</v>
      </c>
      <c r="H64" s="18">
        <v>1.80871</v>
      </c>
      <c r="I64" s="18">
        <v>1.80392</v>
      </c>
      <c r="J64" s="18">
        <v>1.79911</v>
      </c>
      <c r="K64" s="18">
        <v>1.7942899999999999</v>
      </c>
      <c r="L64" s="18">
        <v>1.7894399999999999</v>
      </c>
      <c r="M64" s="18">
        <v>1.7845800000000001</v>
      </c>
      <c r="N64" s="18">
        <v>1.7797099999999999</v>
      </c>
      <c r="O64" s="18">
        <v>1.77481</v>
      </c>
      <c r="P64" s="18">
        <v>1.7699</v>
      </c>
      <c r="Q64" s="18">
        <v>1.7649699999999999</v>
      </c>
      <c r="R64" s="18">
        <v>1.7600199999999999</v>
      </c>
      <c r="S64" s="18">
        <v>1.7550600000000001</v>
      </c>
      <c r="T64" s="18">
        <v>1.75007</v>
      </c>
      <c r="U64" s="19">
        <v>1.74508</v>
      </c>
      <c r="W64" s="16">
        <v>430</v>
      </c>
      <c r="X64" s="18">
        <v>1.84636</v>
      </c>
      <c r="Y64" s="18">
        <v>1.8510500000000001</v>
      </c>
      <c r="Z64" s="18">
        <v>1.8557600000000001</v>
      </c>
      <c r="AA64" s="18">
        <v>1.8605</v>
      </c>
      <c r="AB64" s="18">
        <v>1.8652500000000001</v>
      </c>
      <c r="AC64" s="18">
        <v>1.8700399999999999</v>
      </c>
      <c r="AD64" s="18">
        <v>1.8748400000000001</v>
      </c>
      <c r="AE64" s="18">
        <v>1.87967</v>
      </c>
      <c r="AF64" s="18">
        <v>1.88453</v>
      </c>
      <c r="AG64" s="18">
        <v>1.88941</v>
      </c>
      <c r="AH64" s="18">
        <v>1.8943099999999999</v>
      </c>
      <c r="AI64" s="18">
        <v>1.89923</v>
      </c>
      <c r="AJ64" s="18">
        <v>1.9041699999999999</v>
      </c>
      <c r="AK64" s="18">
        <v>1.9091499999999999</v>
      </c>
      <c r="AL64" s="18">
        <v>1.91414</v>
      </c>
      <c r="AM64" s="18">
        <v>1.9191499999999999</v>
      </c>
      <c r="AN64" s="18">
        <v>1.9241999999999999</v>
      </c>
      <c r="AO64" s="18">
        <v>1.9292499999999999</v>
      </c>
      <c r="AP64" s="18">
        <v>1.9343300000000001</v>
      </c>
      <c r="AQ64" s="19">
        <v>1.9394400000000001</v>
      </c>
    </row>
    <row r="65" spans="1:43" x14ac:dyDescent="0.2">
      <c r="A65" s="16">
        <v>440</v>
      </c>
      <c r="B65" s="18">
        <v>1.8389500000000001</v>
      </c>
      <c r="C65" s="18">
        <v>1.8343799999999999</v>
      </c>
      <c r="D65" s="18">
        <v>1.82979</v>
      </c>
      <c r="E65" s="18">
        <v>1.82518</v>
      </c>
      <c r="F65" s="18">
        <v>1.82056</v>
      </c>
      <c r="G65" s="18">
        <v>1.81592</v>
      </c>
      <c r="H65" s="18">
        <v>1.8112600000000001</v>
      </c>
      <c r="I65" s="18">
        <v>1.8065899999999999</v>
      </c>
      <c r="J65" s="18">
        <v>1.80189</v>
      </c>
      <c r="K65" s="18">
        <v>1.79718</v>
      </c>
      <c r="L65" s="18">
        <v>1.7924500000000001</v>
      </c>
      <c r="M65" s="18">
        <v>1.7877000000000001</v>
      </c>
      <c r="N65" s="18">
        <v>1.78295</v>
      </c>
      <c r="O65" s="18">
        <v>1.77817</v>
      </c>
      <c r="P65" s="18">
        <v>1.7733699999999999</v>
      </c>
      <c r="Q65" s="18">
        <v>1.7685599999999999</v>
      </c>
      <c r="R65" s="18">
        <v>1.76373</v>
      </c>
      <c r="S65" s="18">
        <v>1.75888</v>
      </c>
      <c r="T65" s="18">
        <v>1.75403</v>
      </c>
      <c r="U65" s="19">
        <v>1.7491399999999999</v>
      </c>
      <c r="W65" s="16">
        <v>440</v>
      </c>
      <c r="X65" s="18">
        <v>1.84805</v>
      </c>
      <c r="Y65" s="18">
        <v>1.8526400000000001</v>
      </c>
      <c r="Z65" s="18">
        <v>1.85724</v>
      </c>
      <c r="AA65" s="18">
        <v>1.8618699999999999</v>
      </c>
      <c r="AB65" s="18">
        <v>1.8665099999999999</v>
      </c>
      <c r="AC65" s="18">
        <v>1.8711899999999999</v>
      </c>
      <c r="AD65" s="18">
        <v>1.87588</v>
      </c>
      <c r="AE65" s="18">
        <v>1.8806</v>
      </c>
      <c r="AF65" s="18">
        <v>1.88533</v>
      </c>
      <c r="AG65" s="18">
        <v>1.8900999999999999</v>
      </c>
      <c r="AH65" s="18">
        <v>1.8948799999999999</v>
      </c>
      <c r="AI65" s="18">
        <v>1.89968</v>
      </c>
      <c r="AJ65" s="18">
        <v>1.9045099999999999</v>
      </c>
      <c r="AK65" s="18">
        <v>1.90937</v>
      </c>
      <c r="AL65" s="18">
        <v>1.9142399999999999</v>
      </c>
      <c r="AM65" s="18">
        <v>1.91913</v>
      </c>
      <c r="AN65" s="18">
        <v>1.92404</v>
      </c>
      <c r="AO65" s="18">
        <v>1.9289799999999999</v>
      </c>
      <c r="AP65" s="18">
        <v>1.9339299999999999</v>
      </c>
      <c r="AQ65" s="19">
        <v>1.9389099999999999</v>
      </c>
    </row>
    <row r="66" spans="1:43" x14ac:dyDescent="0.2">
      <c r="A66" s="16">
        <v>450</v>
      </c>
      <c r="B66" s="18">
        <v>1.8407899999999999</v>
      </c>
      <c r="C66" s="18">
        <v>1.83632</v>
      </c>
      <c r="D66" s="18">
        <v>1.8318399999999999</v>
      </c>
      <c r="E66" s="18">
        <v>1.82734</v>
      </c>
      <c r="F66" s="18">
        <v>1.8228200000000001</v>
      </c>
      <c r="G66" s="18">
        <v>1.8182799999999999</v>
      </c>
      <c r="H66" s="18">
        <v>1.8137300000000001</v>
      </c>
      <c r="I66" s="18">
        <v>1.8091600000000001</v>
      </c>
      <c r="J66" s="18">
        <v>1.80457</v>
      </c>
      <c r="K66" s="18">
        <v>1.7999700000000001</v>
      </c>
      <c r="L66" s="18">
        <v>1.79535</v>
      </c>
      <c r="M66" s="18">
        <v>1.79071</v>
      </c>
      <c r="N66" s="18">
        <v>1.78607</v>
      </c>
      <c r="O66" s="18">
        <v>1.78139</v>
      </c>
      <c r="P66" s="18">
        <v>1.77671</v>
      </c>
      <c r="Q66" s="18">
        <v>1.7720100000000001</v>
      </c>
      <c r="R66" s="18">
        <v>1.7673000000000001</v>
      </c>
      <c r="S66" s="18">
        <v>1.7625599999999999</v>
      </c>
      <c r="T66" s="18">
        <v>1.7578100000000001</v>
      </c>
      <c r="U66" s="19">
        <v>1.75305</v>
      </c>
      <c r="W66" s="16">
        <v>450</v>
      </c>
      <c r="X66" s="18">
        <v>1.8496999999999999</v>
      </c>
      <c r="Y66" s="18">
        <v>1.8541799999999999</v>
      </c>
      <c r="Z66" s="18">
        <v>1.85867</v>
      </c>
      <c r="AA66" s="18">
        <v>1.8632</v>
      </c>
      <c r="AB66" s="18">
        <v>1.86774</v>
      </c>
      <c r="AC66" s="18">
        <v>1.8723000000000001</v>
      </c>
      <c r="AD66" s="18">
        <v>1.8768800000000001</v>
      </c>
      <c r="AE66" s="18">
        <v>1.8815</v>
      </c>
      <c r="AF66" s="18">
        <v>1.88612</v>
      </c>
      <c r="AG66" s="18">
        <v>1.8907700000000001</v>
      </c>
      <c r="AH66" s="18">
        <v>1.8954500000000001</v>
      </c>
      <c r="AI66" s="18">
        <v>1.9001399999999999</v>
      </c>
      <c r="AJ66" s="18">
        <v>1.9048499999999999</v>
      </c>
      <c r="AK66" s="18">
        <v>1.9095899999999999</v>
      </c>
      <c r="AL66" s="18">
        <v>1.9143399999999999</v>
      </c>
      <c r="AM66" s="18">
        <v>1.9191199999999999</v>
      </c>
      <c r="AN66" s="18">
        <v>1.9239200000000001</v>
      </c>
      <c r="AO66" s="18">
        <v>1.9287399999999999</v>
      </c>
      <c r="AP66" s="18">
        <v>1.9335800000000001</v>
      </c>
      <c r="AQ66" s="19">
        <v>1.9384399999999999</v>
      </c>
    </row>
    <row r="67" spans="1:43" x14ac:dyDescent="0.2">
      <c r="A67" s="16">
        <v>460</v>
      </c>
      <c r="B67" s="18">
        <v>1.84257</v>
      </c>
      <c r="C67" s="18">
        <v>1.8382000000000001</v>
      </c>
      <c r="D67" s="18">
        <v>1.8338099999999999</v>
      </c>
      <c r="E67" s="18">
        <v>1.82941</v>
      </c>
      <c r="F67" s="18">
        <v>1.8249899999999999</v>
      </c>
      <c r="G67" s="18">
        <v>1.82056</v>
      </c>
      <c r="H67" s="18">
        <v>1.8161099999999999</v>
      </c>
      <c r="I67" s="18">
        <v>1.8116300000000001</v>
      </c>
      <c r="J67" s="18">
        <v>1.8071600000000001</v>
      </c>
      <c r="K67" s="18">
        <v>1.8026500000000001</v>
      </c>
      <c r="L67" s="18">
        <v>1.79813</v>
      </c>
      <c r="M67" s="18">
        <v>1.7936099999999999</v>
      </c>
      <c r="N67" s="18">
        <v>1.7890600000000001</v>
      </c>
      <c r="O67" s="18">
        <v>1.7845</v>
      </c>
      <c r="P67" s="18">
        <v>1.7799199999999999</v>
      </c>
      <c r="Q67" s="18">
        <v>1.77532</v>
      </c>
      <c r="R67" s="18">
        <v>1.7707200000000001</v>
      </c>
      <c r="S67" s="18">
        <v>1.7661</v>
      </c>
      <c r="T67" s="18">
        <v>1.76145</v>
      </c>
      <c r="U67" s="19">
        <v>1.7567999999999999</v>
      </c>
      <c r="W67" s="16">
        <v>460</v>
      </c>
      <c r="X67" s="18">
        <v>1.85128</v>
      </c>
      <c r="Y67" s="18">
        <v>1.8556699999999999</v>
      </c>
      <c r="Z67" s="18">
        <v>1.8600699999999999</v>
      </c>
      <c r="AA67" s="18">
        <v>1.86449</v>
      </c>
      <c r="AB67" s="18">
        <v>1.86893</v>
      </c>
      <c r="AC67" s="18">
        <v>1.8733900000000001</v>
      </c>
      <c r="AD67" s="18">
        <v>1.8778699999999999</v>
      </c>
      <c r="AE67" s="18">
        <v>1.8823799999999999</v>
      </c>
      <c r="AF67" s="18">
        <v>1.8869</v>
      </c>
      <c r="AG67" s="18">
        <v>1.89144</v>
      </c>
      <c r="AH67" s="18">
        <v>1.89601</v>
      </c>
      <c r="AI67" s="18">
        <v>1.9006000000000001</v>
      </c>
      <c r="AJ67" s="18">
        <v>1.9052</v>
      </c>
      <c r="AK67" s="18">
        <v>1.9098299999999999</v>
      </c>
      <c r="AL67" s="18">
        <v>1.9144699999999999</v>
      </c>
      <c r="AM67" s="18">
        <v>1.9191400000000001</v>
      </c>
      <c r="AN67" s="18">
        <v>1.9238200000000001</v>
      </c>
      <c r="AO67" s="18">
        <v>1.9285300000000001</v>
      </c>
      <c r="AP67" s="18">
        <v>1.9332499999999999</v>
      </c>
      <c r="AQ67" s="19">
        <v>1.9379999999999999</v>
      </c>
    </row>
    <row r="68" spans="1:43" x14ac:dyDescent="0.2">
      <c r="A68" s="16">
        <v>470</v>
      </c>
      <c r="B68" s="18">
        <v>1.84429</v>
      </c>
      <c r="C68" s="18">
        <v>1.84002</v>
      </c>
      <c r="D68" s="18">
        <v>1.83572</v>
      </c>
      <c r="E68" s="18">
        <v>1.83142</v>
      </c>
      <c r="F68" s="18">
        <v>1.8270900000000001</v>
      </c>
      <c r="G68" s="18">
        <v>1.8227500000000001</v>
      </c>
      <c r="H68" s="18">
        <v>1.8184</v>
      </c>
      <c r="I68" s="18">
        <v>1.81403</v>
      </c>
      <c r="J68" s="18">
        <v>1.8096399999999999</v>
      </c>
      <c r="K68" s="18">
        <v>1.80524</v>
      </c>
      <c r="L68" s="18">
        <v>1.8008299999999999</v>
      </c>
      <c r="M68" s="18">
        <v>1.7964</v>
      </c>
      <c r="N68" s="18">
        <v>1.7919499999999999</v>
      </c>
      <c r="O68" s="18">
        <v>1.78749</v>
      </c>
      <c r="P68" s="18">
        <v>1.78301</v>
      </c>
      <c r="Q68" s="18">
        <v>1.7785200000000001</v>
      </c>
      <c r="R68" s="18">
        <v>1.7740100000000001</v>
      </c>
      <c r="S68" s="18">
        <v>1.76949</v>
      </c>
      <c r="T68" s="18">
        <v>1.7649600000000001</v>
      </c>
      <c r="U68" s="19">
        <v>1.76041</v>
      </c>
      <c r="W68" s="16">
        <v>470</v>
      </c>
      <c r="X68" s="18">
        <v>1.8528199999999999</v>
      </c>
      <c r="Y68" s="18">
        <v>1.85711</v>
      </c>
      <c r="Z68" s="18">
        <v>1.86141</v>
      </c>
      <c r="AA68" s="18">
        <v>1.86574</v>
      </c>
      <c r="AB68" s="18">
        <v>1.87009</v>
      </c>
      <c r="AC68" s="18">
        <v>1.8744499999999999</v>
      </c>
      <c r="AD68" s="18">
        <v>1.87883</v>
      </c>
      <c r="AE68" s="18">
        <v>1.88324</v>
      </c>
      <c r="AF68" s="18">
        <v>1.88767</v>
      </c>
      <c r="AG68" s="18">
        <v>1.89211</v>
      </c>
      <c r="AH68" s="18">
        <v>1.8965700000000001</v>
      </c>
      <c r="AI68" s="18">
        <v>1.9010499999999999</v>
      </c>
      <c r="AJ68" s="18">
        <v>1.9055599999999999</v>
      </c>
      <c r="AK68" s="18">
        <v>1.91008</v>
      </c>
      <c r="AL68" s="18">
        <v>1.9146099999999999</v>
      </c>
      <c r="AM68" s="18">
        <v>1.9191800000000001</v>
      </c>
      <c r="AN68" s="18">
        <v>1.9237599999999999</v>
      </c>
      <c r="AO68" s="18">
        <v>1.92835</v>
      </c>
      <c r="AP68" s="18">
        <v>1.93296</v>
      </c>
      <c r="AQ68" s="19">
        <v>1.9376</v>
      </c>
    </row>
    <row r="69" spans="1:43" x14ac:dyDescent="0.2">
      <c r="A69" s="16">
        <v>480</v>
      </c>
      <c r="B69" s="18">
        <v>1.84596</v>
      </c>
      <c r="C69" s="18">
        <v>1.8417699999999999</v>
      </c>
      <c r="D69" s="18">
        <v>1.8375699999999999</v>
      </c>
      <c r="E69" s="18">
        <v>1.8333600000000001</v>
      </c>
      <c r="F69" s="18">
        <v>1.8291200000000001</v>
      </c>
      <c r="G69" s="18">
        <v>1.8248800000000001</v>
      </c>
      <c r="H69" s="18">
        <v>1.8206100000000001</v>
      </c>
      <c r="I69" s="18">
        <v>1.8163400000000001</v>
      </c>
      <c r="J69" s="18">
        <v>1.8120499999999999</v>
      </c>
      <c r="K69" s="18">
        <v>1.8077399999999999</v>
      </c>
      <c r="L69" s="18">
        <v>1.80341</v>
      </c>
      <c r="M69" s="18">
        <v>1.79908</v>
      </c>
      <c r="N69" s="18">
        <v>1.7947299999999999</v>
      </c>
      <c r="O69" s="18">
        <v>1.79036</v>
      </c>
      <c r="P69" s="18">
        <v>1.78599</v>
      </c>
      <c r="Q69" s="18">
        <v>1.78159</v>
      </c>
      <c r="R69" s="18">
        <v>1.77719</v>
      </c>
      <c r="S69" s="18">
        <v>1.7727599999999999</v>
      </c>
      <c r="T69" s="18">
        <v>1.76833</v>
      </c>
      <c r="U69" s="19">
        <v>1.7638799999999999</v>
      </c>
      <c r="W69" s="16">
        <v>480</v>
      </c>
      <c r="X69" s="18">
        <v>1.8543099999999999</v>
      </c>
      <c r="Y69" s="18">
        <v>1.8585100000000001</v>
      </c>
      <c r="Z69" s="18">
        <v>1.8627199999999999</v>
      </c>
      <c r="AA69" s="18">
        <v>1.8669500000000001</v>
      </c>
      <c r="AB69" s="18">
        <v>1.87121</v>
      </c>
      <c r="AC69" s="18">
        <v>1.87548</v>
      </c>
      <c r="AD69" s="18">
        <v>1.8797699999999999</v>
      </c>
      <c r="AE69" s="18">
        <v>1.88408</v>
      </c>
      <c r="AF69" s="18">
        <v>1.8884099999999999</v>
      </c>
      <c r="AG69" s="18">
        <v>1.89276</v>
      </c>
      <c r="AH69" s="18">
        <v>1.8971199999999999</v>
      </c>
      <c r="AI69" s="18">
        <v>1.90151</v>
      </c>
      <c r="AJ69" s="18">
        <v>1.90591</v>
      </c>
      <c r="AK69" s="18">
        <v>1.9103399999999999</v>
      </c>
      <c r="AL69" s="18">
        <v>1.9147700000000001</v>
      </c>
      <c r="AM69" s="18">
        <v>1.91923</v>
      </c>
      <c r="AN69" s="18">
        <v>1.92371</v>
      </c>
      <c r="AO69" s="18">
        <v>1.9281999999999999</v>
      </c>
      <c r="AP69" s="18">
        <v>1.9327099999999999</v>
      </c>
      <c r="AQ69" s="19">
        <v>1.9372499999999999</v>
      </c>
    </row>
    <row r="70" spans="1:43" x14ac:dyDescent="0.2">
      <c r="A70" s="16">
        <v>490</v>
      </c>
      <c r="B70" s="18">
        <v>1.84758</v>
      </c>
      <c r="C70" s="18">
        <v>1.84348</v>
      </c>
      <c r="D70" s="18">
        <v>1.8393699999999999</v>
      </c>
      <c r="E70" s="18">
        <v>1.8352299999999999</v>
      </c>
      <c r="F70" s="18">
        <v>1.8310900000000001</v>
      </c>
      <c r="G70" s="18">
        <v>1.8269299999999999</v>
      </c>
      <c r="H70" s="18">
        <v>1.8227500000000001</v>
      </c>
      <c r="I70" s="18">
        <v>1.81857</v>
      </c>
      <c r="J70" s="18">
        <v>1.81437</v>
      </c>
      <c r="K70" s="18">
        <v>1.8101499999999999</v>
      </c>
      <c r="L70" s="18">
        <v>1.80592</v>
      </c>
      <c r="M70" s="18">
        <v>1.8016700000000001</v>
      </c>
      <c r="N70" s="18">
        <v>1.79741</v>
      </c>
      <c r="O70" s="18">
        <v>1.79314</v>
      </c>
      <c r="P70" s="18">
        <v>1.7888500000000001</v>
      </c>
      <c r="Q70" s="18">
        <v>1.7845599999999999</v>
      </c>
      <c r="R70" s="18">
        <v>1.78024</v>
      </c>
      <c r="S70" s="18">
        <v>1.7759199999999999</v>
      </c>
      <c r="T70" s="18">
        <v>1.7715700000000001</v>
      </c>
      <c r="U70" s="19">
        <v>1.76722</v>
      </c>
      <c r="W70" s="16">
        <v>490</v>
      </c>
      <c r="X70" s="18">
        <v>1.8557600000000001</v>
      </c>
      <c r="Y70" s="18">
        <v>1.8598699999999999</v>
      </c>
      <c r="Z70" s="18">
        <v>1.86399</v>
      </c>
      <c r="AA70" s="18">
        <v>1.8681399999999999</v>
      </c>
      <c r="AB70" s="18">
        <v>1.8723099999999999</v>
      </c>
      <c r="AC70" s="18">
        <v>1.87649</v>
      </c>
      <c r="AD70" s="18">
        <v>1.88069</v>
      </c>
      <c r="AE70" s="18">
        <v>1.8849100000000001</v>
      </c>
      <c r="AF70" s="18">
        <v>1.8891500000000001</v>
      </c>
      <c r="AG70" s="18">
        <v>1.8934</v>
      </c>
      <c r="AH70" s="18">
        <v>1.89767</v>
      </c>
      <c r="AI70" s="18">
        <v>1.9019699999999999</v>
      </c>
      <c r="AJ70" s="18">
        <v>1.90628</v>
      </c>
      <c r="AK70" s="18">
        <v>1.91059</v>
      </c>
      <c r="AL70" s="18">
        <v>1.9149400000000001</v>
      </c>
      <c r="AM70" s="18">
        <v>1.9193</v>
      </c>
      <c r="AN70" s="18">
        <v>1.9236800000000001</v>
      </c>
      <c r="AO70" s="18">
        <v>1.92807</v>
      </c>
      <c r="AP70" s="18">
        <v>1.93249</v>
      </c>
      <c r="AQ70" s="19">
        <v>1.93692</v>
      </c>
    </row>
    <row r="71" spans="1:43" x14ac:dyDescent="0.2">
      <c r="A71" s="16">
        <v>500</v>
      </c>
      <c r="B71" s="18">
        <v>1.84914</v>
      </c>
      <c r="C71" s="18">
        <v>1.8451299999999999</v>
      </c>
      <c r="D71" s="18">
        <v>1.8411</v>
      </c>
      <c r="E71" s="18">
        <v>1.8370500000000001</v>
      </c>
      <c r="F71" s="18">
        <v>1.8329800000000001</v>
      </c>
      <c r="G71" s="18">
        <v>1.8289200000000001</v>
      </c>
      <c r="H71" s="18">
        <v>1.8248200000000001</v>
      </c>
      <c r="I71" s="18">
        <v>1.8207199999999999</v>
      </c>
      <c r="J71" s="18">
        <v>1.8166100000000001</v>
      </c>
      <c r="K71" s="18">
        <v>1.81247</v>
      </c>
      <c r="L71" s="18">
        <v>1.8083400000000001</v>
      </c>
      <c r="M71" s="18">
        <v>1.8041700000000001</v>
      </c>
      <c r="N71" s="18">
        <v>1.8000100000000001</v>
      </c>
      <c r="O71" s="18">
        <v>1.79582</v>
      </c>
      <c r="P71" s="18">
        <v>1.7916300000000001</v>
      </c>
      <c r="Q71" s="18">
        <v>1.78742</v>
      </c>
      <c r="R71" s="18">
        <v>1.7831900000000001</v>
      </c>
      <c r="S71" s="18">
        <v>1.7789600000000001</v>
      </c>
      <c r="T71" s="18">
        <v>1.77471</v>
      </c>
      <c r="U71" s="19">
        <v>1.77044</v>
      </c>
      <c r="W71" s="16">
        <v>500</v>
      </c>
      <c r="X71" s="18">
        <v>1.8571599999999999</v>
      </c>
      <c r="Y71" s="18">
        <v>1.8611899999999999</v>
      </c>
      <c r="Z71" s="18">
        <v>1.8652299999999999</v>
      </c>
      <c r="AA71" s="18">
        <v>1.8692899999999999</v>
      </c>
      <c r="AB71" s="18">
        <v>1.87337</v>
      </c>
      <c r="AC71" s="18">
        <v>1.87747</v>
      </c>
      <c r="AD71" s="18">
        <v>1.88158</v>
      </c>
      <c r="AE71" s="18">
        <v>1.8857200000000001</v>
      </c>
      <c r="AF71" s="18">
        <v>1.8898600000000001</v>
      </c>
      <c r="AG71" s="18">
        <v>1.8940300000000001</v>
      </c>
      <c r="AH71" s="18">
        <v>1.89821</v>
      </c>
      <c r="AI71" s="18">
        <v>1.90242</v>
      </c>
      <c r="AJ71" s="18">
        <v>1.90663</v>
      </c>
      <c r="AK71" s="18">
        <v>1.9108700000000001</v>
      </c>
      <c r="AL71" s="18">
        <v>1.9151199999999999</v>
      </c>
      <c r="AM71" s="18">
        <v>1.9193800000000001</v>
      </c>
      <c r="AN71" s="18">
        <v>1.9236800000000001</v>
      </c>
      <c r="AO71" s="18">
        <v>1.92798</v>
      </c>
      <c r="AP71" s="18">
        <v>1.9322900000000001</v>
      </c>
      <c r="AQ71" s="19">
        <v>1.9366300000000001</v>
      </c>
    </row>
    <row r="72" spans="1:43" x14ac:dyDescent="0.2">
      <c r="A72" s="16">
        <v>550</v>
      </c>
      <c r="B72" s="18">
        <v>1.85632</v>
      </c>
      <c r="C72" s="18">
        <v>1.85267</v>
      </c>
      <c r="D72" s="18">
        <v>1.84901</v>
      </c>
      <c r="E72" s="18">
        <v>1.8453299999999999</v>
      </c>
      <c r="F72" s="18">
        <v>1.84165</v>
      </c>
      <c r="G72" s="18">
        <v>1.8379399999999999</v>
      </c>
      <c r="H72" s="18">
        <v>1.83423</v>
      </c>
      <c r="I72" s="18">
        <v>1.8305100000000001</v>
      </c>
      <c r="J72" s="18">
        <v>1.8267800000000001</v>
      </c>
      <c r="K72" s="18">
        <v>1.8230299999999999</v>
      </c>
      <c r="L72" s="18">
        <v>1.81928</v>
      </c>
      <c r="M72" s="18">
        <v>1.81551</v>
      </c>
      <c r="N72" s="18">
        <v>1.8117300000000001</v>
      </c>
      <c r="O72" s="18">
        <v>1.8079400000000001</v>
      </c>
      <c r="P72" s="18">
        <v>1.8041400000000001</v>
      </c>
      <c r="Q72" s="18">
        <v>1.80033</v>
      </c>
      <c r="R72" s="18">
        <v>1.7965100000000001</v>
      </c>
      <c r="S72" s="18">
        <v>1.7926800000000001</v>
      </c>
      <c r="T72" s="18">
        <v>1.7888299999999999</v>
      </c>
      <c r="U72" s="19">
        <v>1.7849699999999999</v>
      </c>
      <c r="W72" s="16">
        <v>550</v>
      </c>
      <c r="X72" s="18">
        <v>1.86361</v>
      </c>
      <c r="Y72" s="18">
        <v>1.86727</v>
      </c>
      <c r="Z72" s="18">
        <v>1.87094</v>
      </c>
      <c r="AA72" s="18">
        <v>1.87462</v>
      </c>
      <c r="AB72" s="18">
        <v>1.8783300000000001</v>
      </c>
      <c r="AC72" s="18">
        <v>1.8820399999999999</v>
      </c>
      <c r="AD72" s="18">
        <v>1.88578</v>
      </c>
      <c r="AE72" s="18">
        <v>1.8895200000000001</v>
      </c>
      <c r="AF72" s="18">
        <v>1.89327</v>
      </c>
      <c r="AG72" s="18">
        <v>1.8970499999999999</v>
      </c>
      <c r="AH72" s="18">
        <v>1.9008400000000001</v>
      </c>
      <c r="AI72" s="18">
        <v>1.9046400000000001</v>
      </c>
      <c r="AJ72" s="18">
        <v>1.90845</v>
      </c>
      <c r="AK72" s="18">
        <v>1.91228</v>
      </c>
      <c r="AL72" s="18">
        <v>1.9161300000000001</v>
      </c>
      <c r="AM72" s="18">
        <v>1.91998</v>
      </c>
      <c r="AN72" s="18">
        <v>1.9238599999999999</v>
      </c>
      <c r="AO72" s="18">
        <v>1.92774</v>
      </c>
      <c r="AP72" s="18">
        <v>1.93164</v>
      </c>
      <c r="AQ72" s="19">
        <v>1.9355500000000001</v>
      </c>
    </row>
    <row r="73" spans="1:43" x14ac:dyDescent="0.2">
      <c r="A73" s="16">
        <v>600</v>
      </c>
      <c r="B73" s="18">
        <v>1.8625700000000001</v>
      </c>
      <c r="C73" s="18">
        <v>1.8592200000000001</v>
      </c>
      <c r="D73" s="18">
        <v>1.8558699999999999</v>
      </c>
      <c r="E73" s="18">
        <v>1.8525</v>
      </c>
      <c r="F73" s="18">
        <v>1.8491299999999999</v>
      </c>
      <c r="G73" s="18">
        <v>1.8457399999999999</v>
      </c>
      <c r="H73" s="18">
        <v>1.8423499999999999</v>
      </c>
      <c r="I73" s="18">
        <v>1.83894</v>
      </c>
      <c r="J73" s="18">
        <v>1.83552</v>
      </c>
      <c r="K73" s="18">
        <v>1.8321000000000001</v>
      </c>
      <c r="L73" s="18">
        <v>1.82866</v>
      </c>
      <c r="M73" s="18">
        <v>1.8252200000000001</v>
      </c>
      <c r="N73" s="18">
        <v>1.8217699999999999</v>
      </c>
      <c r="O73" s="18">
        <v>1.8183</v>
      </c>
      <c r="P73" s="18">
        <v>1.8148299999999999</v>
      </c>
      <c r="Q73" s="18">
        <v>1.81134</v>
      </c>
      <c r="R73" s="18">
        <v>1.80785</v>
      </c>
      <c r="S73" s="18">
        <v>1.8043499999999999</v>
      </c>
      <c r="T73" s="18">
        <v>1.8008500000000001</v>
      </c>
      <c r="U73" s="19">
        <v>1.7973300000000001</v>
      </c>
      <c r="W73" s="16">
        <v>600</v>
      </c>
      <c r="X73" s="18">
        <v>1.8692500000000001</v>
      </c>
      <c r="Y73" s="18">
        <v>1.87259</v>
      </c>
      <c r="Z73" s="18">
        <v>1.8759600000000001</v>
      </c>
      <c r="AA73" s="18">
        <v>1.87934</v>
      </c>
      <c r="AB73" s="18">
        <v>1.88273</v>
      </c>
      <c r="AC73" s="18">
        <v>1.88612</v>
      </c>
      <c r="AD73" s="18">
        <v>1.88954</v>
      </c>
      <c r="AE73" s="18">
        <v>1.89296</v>
      </c>
      <c r="AF73" s="18">
        <v>1.8964000000000001</v>
      </c>
      <c r="AG73" s="18">
        <v>1.89984</v>
      </c>
      <c r="AH73" s="18">
        <v>1.9033100000000001</v>
      </c>
      <c r="AI73" s="18">
        <v>1.9067700000000001</v>
      </c>
      <c r="AJ73" s="18">
        <v>1.9102600000000001</v>
      </c>
      <c r="AK73" s="18">
        <v>1.9137500000000001</v>
      </c>
      <c r="AL73" s="18">
        <v>1.91727</v>
      </c>
      <c r="AM73" s="18">
        <v>1.9207799999999999</v>
      </c>
      <c r="AN73" s="18">
        <v>1.92431</v>
      </c>
      <c r="AO73" s="18">
        <v>1.9278599999999999</v>
      </c>
      <c r="AP73" s="18">
        <v>1.9314100000000001</v>
      </c>
      <c r="AQ73" s="19">
        <v>1.9349700000000001</v>
      </c>
    </row>
    <row r="74" spans="1:43" x14ac:dyDescent="0.2">
      <c r="A74" s="16">
        <v>650</v>
      </c>
      <c r="B74" s="18">
        <v>1.8680699999999999</v>
      </c>
      <c r="C74" s="18">
        <v>1.8649800000000001</v>
      </c>
      <c r="D74" s="18">
        <v>1.86189</v>
      </c>
      <c r="E74" s="18">
        <v>1.8587800000000001</v>
      </c>
      <c r="F74" s="18">
        <v>1.8556699999999999</v>
      </c>
      <c r="G74" s="18">
        <v>1.8525400000000001</v>
      </c>
      <c r="H74" s="18">
        <v>1.8494200000000001</v>
      </c>
      <c r="I74" s="18">
        <v>1.8462700000000001</v>
      </c>
      <c r="J74" s="18">
        <v>1.8431299999999999</v>
      </c>
      <c r="K74" s="18">
        <v>1.8399700000000001</v>
      </c>
      <c r="L74" s="18">
        <v>1.8368100000000001</v>
      </c>
      <c r="M74" s="18">
        <v>1.8336399999999999</v>
      </c>
      <c r="N74" s="18">
        <v>1.8304499999999999</v>
      </c>
      <c r="O74" s="18">
        <v>1.8272699999999999</v>
      </c>
      <c r="P74" s="18">
        <v>1.8240799999999999</v>
      </c>
      <c r="Q74" s="18">
        <v>1.82087</v>
      </c>
      <c r="R74" s="18">
        <v>1.8176600000000001</v>
      </c>
      <c r="S74" s="18">
        <v>1.8144400000000001</v>
      </c>
      <c r="T74" s="18">
        <v>1.8111999999999999</v>
      </c>
      <c r="U74" s="19">
        <v>1.8079700000000001</v>
      </c>
      <c r="W74" s="16">
        <v>650</v>
      </c>
      <c r="X74" s="18">
        <v>1.8742300000000001</v>
      </c>
      <c r="Y74" s="18">
        <v>1.8773299999999999</v>
      </c>
      <c r="Z74" s="18">
        <v>1.88043</v>
      </c>
      <c r="AA74" s="18">
        <v>1.88354</v>
      </c>
      <c r="AB74" s="18">
        <v>1.8866700000000001</v>
      </c>
      <c r="AC74" s="18">
        <v>1.8897999999999999</v>
      </c>
      <c r="AD74" s="18">
        <v>1.8929499999999999</v>
      </c>
      <c r="AE74" s="18">
        <v>1.8960999999999999</v>
      </c>
      <c r="AF74" s="18">
        <v>1.8992599999999999</v>
      </c>
      <c r="AG74" s="18">
        <v>1.9024399999999999</v>
      </c>
      <c r="AH74" s="18">
        <v>1.9056200000000001</v>
      </c>
      <c r="AI74" s="18">
        <v>1.90882</v>
      </c>
      <c r="AJ74" s="18">
        <v>1.9120200000000001</v>
      </c>
      <c r="AK74" s="18">
        <v>1.91523</v>
      </c>
      <c r="AL74" s="18">
        <v>1.9184600000000001</v>
      </c>
      <c r="AM74" s="18">
        <v>1.9216899999999999</v>
      </c>
      <c r="AN74" s="18">
        <v>1.9249400000000001</v>
      </c>
      <c r="AO74" s="18">
        <v>1.9281900000000001</v>
      </c>
      <c r="AP74" s="18">
        <v>1.9314499999999999</v>
      </c>
      <c r="AQ74" s="19">
        <v>1.9347300000000001</v>
      </c>
    </row>
    <row r="75" spans="1:43" x14ac:dyDescent="0.2">
      <c r="A75" s="16">
        <v>700</v>
      </c>
      <c r="B75" s="18">
        <v>1.87297</v>
      </c>
      <c r="C75" s="18">
        <v>1.8701000000000001</v>
      </c>
      <c r="D75" s="18">
        <v>1.8672200000000001</v>
      </c>
      <c r="E75" s="18">
        <v>1.86435</v>
      </c>
      <c r="F75" s="18">
        <v>1.86145</v>
      </c>
      <c r="G75" s="18">
        <v>1.85856</v>
      </c>
      <c r="H75" s="18">
        <v>1.8556600000000001</v>
      </c>
      <c r="I75" s="18">
        <v>1.8527400000000001</v>
      </c>
      <c r="J75" s="18">
        <v>1.84982</v>
      </c>
      <c r="K75" s="18">
        <v>1.8469</v>
      </c>
      <c r="L75" s="18">
        <v>1.8439700000000001</v>
      </c>
      <c r="M75" s="18">
        <v>1.8410200000000001</v>
      </c>
      <c r="N75" s="18">
        <v>1.8380799999999999</v>
      </c>
      <c r="O75" s="18">
        <v>1.8351299999999999</v>
      </c>
      <c r="P75" s="18">
        <v>1.8321700000000001</v>
      </c>
      <c r="Q75" s="18">
        <v>1.8291999999999999</v>
      </c>
      <c r="R75" s="18">
        <v>1.82622</v>
      </c>
      <c r="S75" s="18">
        <v>1.82324</v>
      </c>
      <c r="T75" s="18">
        <v>1.8202499999999999</v>
      </c>
      <c r="U75" s="19">
        <v>1.8172600000000001</v>
      </c>
      <c r="W75" s="16">
        <v>700</v>
      </c>
      <c r="X75" s="18">
        <v>1.87869</v>
      </c>
      <c r="Y75" s="18">
        <v>1.8815599999999999</v>
      </c>
      <c r="Z75" s="18">
        <v>1.88443</v>
      </c>
      <c r="AA75" s="18">
        <v>1.8873200000000001</v>
      </c>
      <c r="AB75" s="18">
        <v>1.89022</v>
      </c>
      <c r="AC75" s="18">
        <v>1.89313</v>
      </c>
      <c r="AD75" s="18">
        <v>1.8960399999999999</v>
      </c>
      <c r="AE75" s="18">
        <v>1.89897</v>
      </c>
      <c r="AF75" s="18">
        <v>1.9018999999999999</v>
      </c>
      <c r="AG75" s="18">
        <v>1.9048400000000001</v>
      </c>
      <c r="AH75" s="18">
        <v>1.9077900000000001</v>
      </c>
      <c r="AI75" s="18">
        <v>1.9107400000000001</v>
      </c>
      <c r="AJ75" s="18">
        <v>1.91371</v>
      </c>
      <c r="AK75" s="18">
        <v>1.91669</v>
      </c>
      <c r="AL75" s="18">
        <v>1.91967</v>
      </c>
      <c r="AM75" s="18">
        <v>1.9226700000000001</v>
      </c>
      <c r="AN75" s="18">
        <v>1.92567</v>
      </c>
      <c r="AO75" s="18">
        <v>1.9286799999999999</v>
      </c>
      <c r="AP75" s="18">
        <v>1.9316899999999999</v>
      </c>
      <c r="AQ75" s="19">
        <v>1.9347300000000001</v>
      </c>
    </row>
    <row r="76" spans="1:43" x14ac:dyDescent="0.2">
      <c r="A76" s="16">
        <v>750</v>
      </c>
      <c r="B76" s="18">
        <v>1.8773599999999999</v>
      </c>
      <c r="C76" s="18">
        <v>1.8746799999999999</v>
      </c>
      <c r="D76" s="18">
        <v>1.8720000000000001</v>
      </c>
      <c r="E76" s="18">
        <v>1.86931</v>
      </c>
      <c r="F76" s="18">
        <v>1.8666199999999999</v>
      </c>
      <c r="G76" s="18">
        <v>1.86391</v>
      </c>
      <c r="H76" s="18">
        <v>1.86121</v>
      </c>
      <c r="I76" s="18">
        <v>1.8585</v>
      </c>
      <c r="J76" s="18">
        <v>1.85578</v>
      </c>
      <c r="K76" s="18">
        <v>1.8530500000000001</v>
      </c>
      <c r="L76" s="18">
        <v>1.8503099999999999</v>
      </c>
      <c r="M76" s="18">
        <v>1.84758</v>
      </c>
      <c r="N76" s="18">
        <v>1.84483</v>
      </c>
      <c r="O76" s="18">
        <v>1.8420799999999999</v>
      </c>
      <c r="P76" s="18">
        <v>1.8393299999999999</v>
      </c>
      <c r="Q76" s="18">
        <v>1.83656</v>
      </c>
      <c r="R76" s="18">
        <v>1.83378</v>
      </c>
      <c r="S76" s="18">
        <v>1.8310200000000001</v>
      </c>
      <c r="T76" s="18">
        <v>1.82823</v>
      </c>
      <c r="U76" s="19">
        <v>1.82545</v>
      </c>
      <c r="W76" s="16">
        <v>750</v>
      </c>
      <c r="X76" s="18">
        <v>1.8827</v>
      </c>
      <c r="Y76" s="18">
        <v>1.88537</v>
      </c>
      <c r="Z76" s="18">
        <v>1.8880600000000001</v>
      </c>
      <c r="AA76" s="18">
        <v>1.89076</v>
      </c>
      <c r="AB76" s="18">
        <v>1.8934599999999999</v>
      </c>
      <c r="AC76" s="18">
        <v>1.8961600000000001</v>
      </c>
      <c r="AD76" s="18">
        <v>1.8988799999999999</v>
      </c>
      <c r="AE76" s="18">
        <v>1.90161</v>
      </c>
      <c r="AF76" s="18">
        <v>1.9043399999999999</v>
      </c>
      <c r="AG76" s="18">
        <v>1.9070800000000001</v>
      </c>
      <c r="AH76" s="18">
        <v>1.9098200000000001</v>
      </c>
      <c r="AI76" s="18">
        <v>1.9125799999999999</v>
      </c>
      <c r="AJ76" s="18">
        <v>1.91534</v>
      </c>
      <c r="AK76" s="18">
        <v>1.91811</v>
      </c>
      <c r="AL76" s="18">
        <v>1.9208799999999999</v>
      </c>
      <c r="AM76" s="18">
        <v>1.92367</v>
      </c>
      <c r="AN76" s="18">
        <v>1.9264699999999999</v>
      </c>
      <c r="AO76" s="18">
        <v>1.92927</v>
      </c>
      <c r="AP76" s="18">
        <v>1.93207</v>
      </c>
      <c r="AQ76" s="19">
        <v>1.93489</v>
      </c>
    </row>
    <row r="77" spans="1:43" x14ac:dyDescent="0.2">
      <c r="A77" s="16">
        <v>800</v>
      </c>
      <c r="B77" s="18">
        <v>1.8813200000000001</v>
      </c>
      <c r="C77" s="18">
        <v>1.8788199999999999</v>
      </c>
      <c r="D77" s="18">
        <v>1.8763000000000001</v>
      </c>
      <c r="E77" s="18">
        <v>1.8737900000000001</v>
      </c>
      <c r="F77" s="18">
        <v>1.8712599999999999</v>
      </c>
      <c r="G77" s="18">
        <v>1.86873</v>
      </c>
      <c r="H77" s="18">
        <v>1.86619</v>
      </c>
      <c r="I77" s="18">
        <v>1.86365</v>
      </c>
      <c r="J77" s="18">
        <v>1.8611</v>
      </c>
      <c r="K77" s="18">
        <v>1.8585499999999999</v>
      </c>
      <c r="L77" s="18">
        <v>1.85599</v>
      </c>
      <c r="M77" s="18">
        <v>1.8534299999999999</v>
      </c>
      <c r="N77" s="18">
        <v>1.8508599999999999</v>
      </c>
      <c r="O77" s="18">
        <v>1.84829</v>
      </c>
      <c r="P77" s="18">
        <v>1.84571</v>
      </c>
      <c r="Q77" s="18">
        <v>1.8431200000000001</v>
      </c>
      <c r="R77" s="18">
        <v>1.84053</v>
      </c>
      <c r="S77" s="18">
        <v>1.8379399999999999</v>
      </c>
      <c r="T77" s="18">
        <v>1.8353299999999999</v>
      </c>
      <c r="U77" s="19">
        <v>1.83273</v>
      </c>
      <c r="W77" s="16">
        <v>800</v>
      </c>
      <c r="X77" s="18">
        <v>1.8863300000000001</v>
      </c>
      <c r="Y77" s="18">
        <v>1.8888400000000001</v>
      </c>
      <c r="Z77" s="18">
        <v>1.8913500000000001</v>
      </c>
      <c r="AA77" s="18">
        <v>1.89388</v>
      </c>
      <c r="AB77" s="18">
        <v>1.8964099999999999</v>
      </c>
      <c r="AC77" s="18">
        <v>1.8989400000000001</v>
      </c>
      <c r="AD77" s="18">
        <v>1.9014899999999999</v>
      </c>
      <c r="AE77" s="18">
        <v>1.90404</v>
      </c>
      <c r="AF77" s="18">
        <v>1.9066000000000001</v>
      </c>
      <c r="AG77" s="18">
        <v>1.90916</v>
      </c>
      <c r="AH77" s="18">
        <v>1.91174</v>
      </c>
      <c r="AI77" s="18">
        <v>1.91431</v>
      </c>
      <c r="AJ77" s="18">
        <v>1.9169</v>
      </c>
      <c r="AK77" s="18">
        <v>1.9194800000000001</v>
      </c>
      <c r="AL77" s="18">
        <v>1.92208</v>
      </c>
      <c r="AM77" s="18">
        <v>1.9246799999999999</v>
      </c>
      <c r="AN77" s="18">
        <v>1.9273</v>
      </c>
      <c r="AO77" s="18">
        <v>1.92991</v>
      </c>
      <c r="AP77" s="18">
        <v>1.9325300000000001</v>
      </c>
      <c r="AQ77" s="19">
        <v>1.93516</v>
      </c>
    </row>
    <row r="78" spans="1:43" x14ac:dyDescent="0.2">
      <c r="A78" s="16">
        <v>850</v>
      </c>
      <c r="B78" s="18">
        <v>1.8849400000000001</v>
      </c>
      <c r="C78" s="18">
        <v>1.8825799999999999</v>
      </c>
      <c r="D78" s="18">
        <v>1.8802099999999999</v>
      </c>
      <c r="E78" s="18">
        <v>1.87784</v>
      </c>
      <c r="F78" s="18">
        <v>1.8754599999999999</v>
      </c>
      <c r="G78" s="18">
        <v>1.8730800000000001</v>
      </c>
      <c r="H78" s="18">
        <v>1.8707</v>
      </c>
      <c r="I78" s="18">
        <v>1.8683099999999999</v>
      </c>
      <c r="J78" s="18">
        <v>1.86591</v>
      </c>
      <c r="K78" s="18">
        <v>1.86351</v>
      </c>
      <c r="L78" s="18">
        <v>1.86111</v>
      </c>
      <c r="M78" s="18">
        <v>1.8587</v>
      </c>
      <c r="N78" s="18">
        <v>1.85629</v>
      </c>
      <c r="O78" s="18">
        <v>1.8538699999999999</v>
      </c>
      <c r="P78" s="18">
        <v>1.85144</v>
      </c>
      <c r="Q78" s="18">
        <v>1.84901</v>
      </c>
      <c r="R78" s="18">
        <v>1.84657</v>
      </c>
      <c r="S78" s="18">
        <v>1.8441399999999999</v>
      </c>
      <c r="T78" s="18">
        <v>1.8416999999999999</v>
      </c>
      <c r="U78" s="19">
        <v>1.8392500000000001</v>
      </c>
      <c r="W78" s="16">
        <v>850</v>
      </c>
      <c r="X78" s="18">
        <v>1.88964</v>
      </c>
      <c r="Y78" s="18">
        <v>1.89201</v>
      </c>
      <c r="Z78" s="18">
        <v>1.8943700000000001</v>
      </c>
      <c r="AA78" s="18">
        <v>1.8967499999999999</v>
      </c>
      <c r="AB78" s="18">
        <v>1.8991199999999999</v>
      </c>
      <c r="AC78" s="18">
        <v>1.90151</v>
      </c>
      <c r="AD78" s="18">
        <v>1.90391</v>
      </c>
      <c r="AE78" s="18">
        <v>1.9063000000000001</v>
      </c>
      <c r="AF78" s="18">
        <v>1.9087099999999999</v>
      </c>
      <c r="AG78" s="18">
        <v>1.9111199999999999</v>
      </c>
      <c r="AH78" s="18">
        <v>1.91353</v>
      </c>
      <c r="AI78" s="18">
        <v>1.91595</v>
      </c>
      <c r="AJ78" s="18">
        <v>1.91838</v>
      </c>
      <c r="AK78" s="18">
        <v>1.9208099999999999</v>
      </c>
      <c r="AL78" s="18">
        <v>1.9232499999999999</v>
      </c>
      <c r="AM78" s="18">
        <v>1.9257</v>
      </c>
      <c r="AN78" s="18">
        <v>1.92814</v>
      </c>
      <c r="AO78" s="18">
        <v>1.9306000000000001</v>
      </c>
      <c r="AP78" s="18">
        <v>1.93306</v>
      </c>
      <c r="AQ78" s="19">
        <v>1.93553</v>
      </c>
    </row>
    <row r="79" spans="1:43" x14ac:dyDescent="0.2">
      <c r="A79" s="16">
        <v>900</v>
      </c>
      <c r="B79" s="18">
        <v>1.8882300000000001</v>
      </c>
      <c r="C79" s="18">
        <v>1.88601</v>
      </c>
      <c r="D79" s="18">
        <v>1.8837699999999999</v>
      </c>
      <c r="E79" s="18">
        <v>1.8815299999999999</v>
      </c>
      <c r="F79" s="18">
        <v>1.8792899999999999</v>
      </c>
      <c r="G79" s="18">
        <v>1.8770500000000001</v>
      </c>
      <c r="H79" s="18">
        <v>1.8748</v>
      </c>
      <c r="I79" s="18">
        <v>1.8725400000000001</v>
      </c>
      <c r="J79" s="18">
        <v>1.8702799999999999</v>
      </c>
      <c r="K79" s="18">
        <v>1.86802</v>
      </c>
      <c r="L79" s="18">
        <v>1.86575</v>
      </c>
      <c r="M79" s="18">
        <v>1.86347</v>
      </c>
      <c r="N79" s="18">
        <v>1.8612</v>
      </c>
      <c r="O79" s="18">
        <v>1.8589199999999999</v>
      </c>
      <c r="P79" s="18">
        <v>1.85663</v>
      </c>
      <c r="Q79" s="18">
        <v>1.8543400000000001</v>
      </c>
      <c r="R79" s="18">
        <v>1.8520399999999999</v>
      </c>
      <c r="S79" s="18">
        <v>1.8497399999999999</v>
      </c>
      <c r="T79" s="18">
        <v>1.84744</v>
      </c>
      <c r="U79" s="19">
        <v>1.8451299999999999</v>
      </c>
      <c r="W79" s="16">
        <v>900</v>
      </c>
      <c r="X79" s="18">
        <v>1.8926799999999999</v>
      </c>
      <c r="Y79" s="18">
        <v>1.8949100000000001</v>
      </c>
      <c r="Z79" s="18">
        <v>1.89714</v>
      </c>
      <c r="AA79" s="18">
        <v>1.8993899999999999</v>
      </c>
      <c r="AB79" s="18">
        <v>1.9016299999999999</v>
      </c>
      <c r="AC79" s="18">
        <v>1.9038900000000001</v>
      </c>
      <c r="AD79" s="18">
        <v>1.9061399999999999</v>
      </c>
      <c r="AE79" s="18">
        <v>1.9084000000000001</v>
      </c>
      <c r="AF79" s="18">
        <v>1.9106700000000001</v>
      </c>
      <c r="AG79" s="18">
        <v>1.9129400000000001</v>
      </c>
      <c r="AH79" s="18">
        <v>1.9152199999999999</v>
      </c>
      <c r="AI79" s="18">
        <v>1.9175</v>
      </c>
      <c r="AJ79" s="18">
        <v>1.9197900000000001</v>
      </c>
      <c r="AK79" s="18">
        <v>1.9220900000000001</v>
      </c>
      <c r="AL79" s="18">
        <v>1.92438</v>
      </c>
      <c r="AM79" s="18">
        <v>1.9266799999999999</v>
      </c>
      <c r="AN79" s="18">
        <v>1.929</v>
      </c>
      <c r="AO79" s="18">
        <v>1.9313100000000001</v>
      </c>
      <c r="AP79" s="18">
        <v>1.93363</v>
      </c>
      <c r="AQ79" s="19">
        <v>1.9359599999999999</v>
      </c>
    </row>
    <row r="80" spans="1:43" x14ac:dyDescent="0.2">
      <c r="A80" s="16">
        <v>950</v>
      </c>
      <c r="B80" s="18">
        <v>1.89127</v>
      </c>
      <c r="C80" s="18">
        <v>1.8891500000000001</v>
      </c>
      <c r="D80" s="18">
        <v>1.8870400000000001</v>
      </c>
      <c r="E80" s="18">
        <v>1.8849199999999999</v>
      </c>
      <c r="F80" s="18">
        <v>1.88279</v>
      </c>
      <c r="G80" s="18">
        <v>1.8806700000000001</v>
      </c>
      <c r="H80" s="18">
        <v>1.8785400000000001</v>
      </c>
      <c r="I80" s="18">
        <v>1.8764000000000001</v>
      </c>
      <c r="J80" s="18">
        <v>1.87426</v>
      </c>
      <c r="K80" s="18">
        <v>1.87212</v>
      </c>
      <c r="L80" s="18">
        <v>1.86998</v>
      </c>
      <c r="M80" s="18">
        <v>1.86782</v>
      </c>
      <c r="N80" s="18">
        <v>1.8656699999999999</v>
      </c>
      <c r="O80" s="18">
        <v>1.86351</v>
      </c>
      <c r="P80" s="18">
        <v>1.8613500000000001</v>
      </c>
      <c r="Q80" s="18">
        <v>1.8591899999999999</v>
      </c>
      <c r="R80" s="18">
        <v>1.85701</v>
      </c>
      <c r="S80" s="18">
        <v>1.85483</v>
      </c>
      <c r="T80" s="18">
        <v>1.85266</v>
      </c>
      <c r="U80" s="19">
        <v>1.8504799999999999</v>
      </c>
      <c r="W80" s="16">
        <v>950</v>
      </c>
      <c r="X80" s="18">
        <v>1.8954800000000001</v>
      </c>
      <c r="Y80" s="18">
        <v>1.8976</v>
      </c>
      <c r="Z80" s="18">
        <v>1.89971</v>
      </c>
      <c r="AA80" s="18">
        <v>1.90184</v>
      </c>
      <c r="AB80" s="18">
        <v>1.9039600000000001</v>
      </c>
      <c r="AC80" s="18">
        <v>1.9060900000000001</v>
      </c>
      <c r="AD80" s="18">
        <v>1.9082300000000001</v>
      </c>
      <c r="AE80" s="18">
        <v>1.9103600000000001</v>
      </c>
      <c r="AF80" s="18">
        <v>1.9125099999999999</v>
      </c>
      <c r="AG80" s="18">
        <v>1.91466</v>
      </c>
      <c r="AH80" s="18">
        <v>1.91682</v>
      </c>
      <c r="AI80" s="18">
        <v>1.9189700000000001</v>
      </c>
      <c r="AJ80" s="18">
        <v>1.9211499999999999</v>
      </c>
      <c r="AK80" s="18">
        <v>1.9233100000000001</v>
      </c>
      <c r="AL80" s="18">
        <v>1.9254800000000001</v>
      </c>
      <c r="AM80" s="18">
        <v>1.9276599999999999</v>
      </c>
      <c r="AN80" s="18">
        <v>1.92984</v>
      </c>
      <c r="AO80" s="18">
        <v>1.9320299999999999</v>
      </c>
      <c r="AP80" s="18">
        <v>1.9342299999999999</v>
      </c>
      <c r="AQ80" s="19">
        <v>1.93642</v>
      </c>
    </row>
    <row r="81" spans="1:43" x14ac:dyDescent="0.2">
      <c r="A81" s="16">
        <v>1000</v>
      </c>
      <c r="B81" s="18">
        <v>1.8940699999999999</v>
      </c>
      <c r="C81" s="18">
        <v>1.8920600000000001</v>
      </c>
      <c r="D81" s="18">
        <v>1.89005</v>
      </c>
      <c r="E81" s="18">
        <v>1.8880399999999999</v>
      </c>
      <c r="F81" s="18">
        <v>1.88602</v>
      </c>
      <c r="G81" s="18">
        <v>1.8839999999999999</v>
      </c>
      <c r="H81" s="18">
        <v>1.88198</v>
      </c>
      <c r="I81" s="18">
        <v>1.87995</v>
      </c>
      <c r="J81" s="18">
        <v>1.87792</v>
      </c>
      <c r="K81" s="18">
        <v>1.8758900000000001</v>
      </c>
      <c r="L81" s="18">
        <v>1.8738600000000001</v>
      </c>
      <c r="M81" s="18">
        <v>1.87181</v>
      </c>
      <c r="N81" s="18">
        <v>1.8697600000000001</v>
      </c>
      <c r="O81" s="18">
        <v>1.86772</v>
      </c>
      <c r="P81" s="18">
        <v>1.8656699999999999</v>
      </c>
      <c r="Q81" s="18">
        <v>1.86361</v>
      </c>
      <c r="R81" s="18">
        <v>1.86155</v>
      </c>
      <c r="S81" s="18">
        <v>1.8594900000000001</v>
      </c>
      <c r="T81" s="18">
        <v>1.8574200000000001</v>
      </c>
      <c r="U81" s="19">
        <v>1.8553500000000001</v>
      </c>
      <c r="W81" s="16">
        <v>1000</v>
      </c>
      <c r="X81" s="18">
        <v>1.8980699999999999</v>
      </c>
      <c r="Y81" s="18">
        <v>1.90008</v>
      </c>
      <c r="Z81" s="18">
        <v>1.9020900000000001</v>
      </c>
      <c r="AA81" s="18">
        <v>1.9040999999999999</v>
      </c>
      <c r="AB81" s="18">
        <v>1.90612</v>
      </c>
      <c r="AC81" s="18">
        <v>1.90815</v>
      </c>
      <c r="AD81" s="18">
        <v>1.91018</v>
      </c>
      <c r="AE81" s="18">
        <v>1.91221</v>
      </c>
      <c r="AF81" s="18">
        <v>1.9142399999999999</v>
      </c>
      <c r="AG81" s="18">
        <v>1.91628</v>
      </c>
      <c r="AH81" s="18">
        <v>1.91832</v>
      </c>
      <c r="AI81" s="18">
        <v>1.9203699999999999</v>
      </c>
      <c r="AJ81" s="18">
        <v>1.9224300000000001</v>
      </c>
      <c r="AK81" s="18">
        <v>1.92448</v>
      </c>
      <c r="AL81" s="18">
        <v>1.92655</v>
      </c>
      <c r="AM81" s="18">
        <v>1.9286099999999999</v>
      </c>
      <c r="AN81" s="18">
        <v>1.93069</v>
      </c>
      <c r="AO81" s="18">
        <v>1.93276</v>
      </c>
      <c r="AP81" s="18">
        <v>1.93483</v>
      </c>
      <c r="AQ81" s="19">
        <v>1.93692</v>
      </c>
    </row>
    <row r="82" spans="1:43" x14ac:dyDescent="0.2">
      <c r="A82" s="16">
        <v>1050</v>
      </c>
      <c r="B82" s="18">
        <v>1.89666</v>
      </c>
      <c r="C82" s="18">
        <v>1.8947499999999999</v>
      </c>
      <c r="D82" s="18">
        <v>1.8928400000000001</v>
      </c>
      <c r="E82" s="18">
        <v>1.89093</v>
      </c>
      <c r="F82" s="18">
        <v>1.889</v>
      </c>
      <c r="G82" s="18">
        <v>1.8870800000000001</v>
      </c>
      <c r="H82" s="18">
        <v>1.8851599999999999</v>
      </c>
      <c r="I82" s="18">
        <v>1.8832199999999999</v>
      </c>
      <c r="J82" s="18">
        <v>1.8813</v>
      </c>
      <c r="K82" s="18">
        <v>1.8793599999999999</v>
      </c>
      <c r="L82" s="18">
        <v>1.87741</v>
      </c>
      <c r="M82" s="18">
        <v>1.87548</v>
      </c>
      <c r="N82" s="18">
        <v>1.8735299999999999</v>
      </c>
      <c r="O82" s="18">
        <v>1.87158</v>
      </c>
      <c r="P82" s="18">
        <v>1.8696299999999999</v>
      </c>
      <c r="Q82" s="18">
        <v>1.86768</v>
      </c>
      <c r="R82" s="18">
        <v>1.86571</v>
      </c>
      <c r="S82" s="18">
        <v>1.8637600000000001</v>
      </c>
      <c r="T82" s="18">
        <v>1.8617900000000001</v>
      </c>
      <c r="U82" s="19">
        <v>1.85982</v>
      </c>
      <c r="W82" s="16">
        <v>1050</v>
      </c>
      <c r="X82" s="18">
        <v>1.9004799999999999</v>
      </c>
      <c r="Y82" s="18">
        <v>1.90238</v>
      </c>
      <c r="Z82" s="18">
        <v>1.9043000000000001</v>
      </c>
      <c r="AA82" s="18">
        <v>1.90621</v>
      </c>
      <c r="AB82" s="18">
        <v>1.9081399999999999</v>
      </c>
      <c r="AC82" s="18">
        <v>1.9100699999999999</v>
      </c>
      <c r="AD82" s="18">
        <v>1.9119999999999999</v>
      </c>
      <c r="AE82" s="18">
        <v>1.9139299999999999</v>
      </c>
      <c r="AF82" s="18">
        <v>1.91587</v>
      </c>
      <c r="AG82" s="18">
        <v>1.91781</v>
      </c>
      <c r="AH82" s="18">
        <v>1.9197500000000001</v>
      </c>
      <c r="AI82" s="18">
        <v>1.9217</v>
      </c>
      <c r="AJ82" s="18">
        <v>1.9236599999999999</v>
      </c>
      <c r="AK82" s="18">
        <v>1.9256200000000001</v>
      </c>
      <c r="AL82" s="18">
        <v>1.9275800000000001</v>
      </c>
      <c r="AM82" s="18">
        <v>1.92954</v>
      </c>
      <c r="AN82" s="18">
        <v>1.9315100000000001</v>
      </c>
      <c r="AO82" s="18">
        <v>1.9334800000000001</v>
      </c>
      <c r="AP82" s="18">
        <v>1.93546</v>
      </c>
      <c r="AQ82" s="19">
        <v>1.93743</v>
      </c>
    </row>
    <row r="83" spans="1:43" x14ac:dyDescent="0.2">
      <c r="A83" s="16">
        <v>1100</v>
      </c>
      <c r="B83" s="18">
        <v>1.89907</v>
      </c>
      <c r="C83" s="18">
        <v>1.8972500000000001</v>
      </c>
      <c r="D83" s="18">
        <v>1.8954299999999999</v>
      </c>
      <c r="E83" s="18">
        <v>1.8935999999999999</v>
      </c>
      <c r="F83" s="18">
        <v>1.89177</v>
      </c>
      <c r="G83" s="18">
        <v>1.8899300000000001</v>
      </c>
      <c r="H83" s="18">
        <v>1.88809</v>
      </c>
      <c r="I83" s="18">
        <v>1.88625</v>
      </c>
      <c r="J83" s="18">
        <v>1.8844099999999999</v>
      </c>
      <c r="K83" s="18">
        <v>1.88256</v>
      </c>
      <c r="L83" s="18">
        <v>1.8807100000000001</v>
      </c>
      <c r="M83" s="18">
        <v>1.87886</v>
      </c>
      <c r="N83" s="18">
        <v>1.877</v>
      </c>
      <c r="O83" s="18">
        <v>1.87514</v>
      </c>
      <c r="P83" s="18">
        <v>1.8732800000000001</v>
      </c>
      <c r="Q83" s="18">
        <v>1.8714299999999999</v>
      </c>
      <c r="R83" s="18">
        <v>1.8695600000000001</v>
      </c>
      <c r="S83" s="18">
        <v>1.8676900000000001</v>
      </c>
      <c r="T83" s="18">
        <v>1.86581</v>
      </c>
      <c r="U83" s="19">
        <v>1.8639399999999999</v>
      </c>
      <c r="W83" s="16">
        <v>1100</v>
      </c>
      <c r="X83" s="18">
        <v>1.9027099999999999</v>
      </c>
      <c r="Y83" s="18">
        <v>1.9045399999999999</v>
      </c>
      <c r="Z83" s="18">
        <v>1.9063600000000001</v>
      </c>
      <c r="AA83" s="18">
        <v>1.9081999999999999</v>
      </c>
      <c r="AB83" s="18">
        <v>1.9100299999999999</v>
      </c>
      <c r="AC83" s="18">
        <v>1.91187</v>
      </c>
      <c r="AD83" s="18">
        <v>1.91371</v>
      </c>
      <c r="AE83" s="18">
        <v>1.9155500000000001</v>
      </c>
      <c r="AF83" s="18">
        <v>1.9174100000000001</v>
      </c>
      <c r="AG83" s="18">
        <v>1.91926</v>
      </c>
      <c r="AH83" s="18">
        <v>1.9211100000000001</v>
      </c>
      <c r="AI83" s="18">
        <v>1.9229700000000001</v>
      </c>
      <c r="AJ83" s="18">
        <v>1.92483</v>
      </c>
      <c r="AK83" s="18">
        <v>1.92669</v>
      </c>
      <c r="AL83" s="18">
        <v>1.9285600000000001</v>
      </c>
      <c r="AM83" s="18">
        <v>1.9304300000000001</v>
      </c>
      <c r="AN83" s="18">
        <v>1.93232</v>
      </c>
      <c r="AO83" s="18">
        <v>1.9341999999999999</v>
      </c>
      <c r="AP83" s="18">
        <v>1.93608</v>
      </c>
      <c r="AQ83" s="19">
        <v>1.9379599999999999</v>
      </c>
    </row>
    <row r="84" spans="1:43" x14ac:dyDescent="0.2">
      <c r="A84" s="16">
        <v>1150</v>
      </c>
      <c r="B84" s="18">
        <v>1.90133</v>
      </c>
      <c r="C84" s="18">
        <v>1.8995899999999999</v>
      </c>
      <c r="D84" s="18">
        <v>1.89784</v>
      </c>
      <c r="E84" s="18">
        <v>1.8960900000000001</v>
      </c>
      <c r="F84" s="18">
        <v>1.89435</v>
      </c>
      <c r="G84" s="18">
        <v>1.89259</v>
      </c>
      <c r="H84" s="18">
        <v>1.89083</v>
      </c>
      <c r="I84" s="18">
        <v>1.88907</v>
      </c>
      <c r="J84" s="18">
        <v>1.88731</v>
      </c>
      <c r="K84" s="18">
        <v>1.88554</v>
      </c>
      <c r="L84" s="18">
        <v>1.88378</v>
      </c>
      <c r="M84" s="18">
        <v>1.8819999999999999</v>
      </c>
      <c r="N84" s="18">
        <v>1.8802300000000001</v>
      </c>
      <c r="O84" s="18">
        <v>1.87846</v>
      </c>
      <c r="P84" s="18">
        <v>1.8766700000000001</v>
      </c>
      <c r="Q84" s="18">
        <v>1.8748899999999999</v>
      </c>
      <c r="R84" s="18">
        <v>1.8731100000000001</v>
      </c>
      <c r="S84" s="18">
        <v>1.8713200000000001</v>
      </c>
      <c r="T84" s="18">
        <v>1.8695299999999999</v>
      </c>
      <c r="U84" s="19">
        <v>1.86774</v>
      </c>
      <c r="W84" s="16">
        <v>1150</v>
      </c>
      <c r="X84" s="18">
        <v>1.9048099999999999</v>
      </c>
      <c r="Y84" s="18">
        <v>1.90655</v>
      </c>
      <c r="Z84" s="18">
        <v>1.90831</v>
      </c>
      <c r="AA84" s="18">
        <v>1.91005</v>
      </c>
      <c r="AB84" s="18">
        <v>1.9117999999999999</v>
      </c>
      <c r="AC84" s="18">
        <v>1.9135599999999999</v>
      </c>
      <c r="AD84" s="18">
        <v>1.91533</v>
      </c>
      <c r="AE84" s="18">
        <v>1.91709</v>
      </c>
      <c r="AF84" s="18">
        <v>1.9188499999999999</v>
      </c>
      <c r="AG84" s="18">
        <v>1.92062</v>
      </c>
      <c r="AH84" s="18">
        <v>1.92239</v>
      </c>
      <c r="AI84" s="18">
        <v>1.9241699999999999</v>
      </c>
      <c r="AJ84" s="18">
        <v>1.9259500000000001</v>
      </c>
      <c r="AK84" s="18">
        <v>1.9277299999999999</v>
      </c>
      <c r="AL84" s="18">
        <v>1.9295199999999999</v>
      </c>
      <c r="AM84" s="18">
        <v>1.9313100000000001</v>
      </c>
      <c r="AN84" s="18">
        <v>1.9331</v>
      </c>
      <c r="AO84" s="18">
        <v>1.93489</v>
      </c>
      <c r="AP84" s="18">
        <v>1.9367000000000001</v>
      </c>
      <c r="AQ84" s="19">
        <v>1.9384999999999999</v>
      </c>
    </row>
    <row r="85" spans="1:43" x14ac:dyDescent="0.2">
      <c r="A85" s="16">
        <v>1200</v>
      </c>
      <c r="B85" s="18">
        <v>1.90344</v>
      </c>
      <c r="C85" s="18">
        <v>1.90177</v>
      </c>
      <c r="D85" s="18">
        <v>1.9000900000000001</v>
      </c>
      <c r="E85" s="18">
        <v>1.89842</v>
      </c>
      <c r="F85" s="18">
        <v>1.8967400000000001</v>
      </c>
      <c r="G85" s="18">
        <v>1.89507</v>
      </c>
      <c r="H85" s="18">
        <v>1.8933800000000001</v>
      </c>
      <c r="I85" s="18">
        <v>1.8916999999999999</v>
      </c>
      <c r="J85" s="18">
        <v>1.89001</v>
      </c>
      <c r="K85" s="18">
        <v>1.88832</v>
      </c>
      <c r="L85" s="18">
        <v>1.88662</v>
      </c>
      <c r="M85" s="18">
        <v>1.8849199999999999</v>
      </c>
      <c r="N85" s="18">
        <v>1.88323</v>
      </c>
      <c r="O85" s="18">
        <v>1.8815200000000001</v>
      </c>
      <c r="P85" s="18">
        <v>1.8798299999999999</v>
      </c>
      <c r="Q85" s="18">
        <v>1.8781099999999999</v>
      </c>
      <c r="R85" s="18">
        <v>1.8764099999999999</v>
      </c>
      <c r="S85" s="18">
        <v>1.8747100000000001</v>
      </c>
      <c r="T85" s="18">
        <v>1.8729899999999999</v>
      </c>
      <c r="U85" s="19">
        <v>1.8712800000000001</v>
      </c>
      <c r="W85" s="16">
        <v>1200</v>
      </c>
      <c r="X85" s="18">
        <v>1.9067799999999999</v>
      </c>
      <c r="Y85" s="18">
        <v>1.9084399999999999</v>
      </c>
      <c r="Z85" s="18">
        <v>1.91012</v>
      </c>
      <c r="AA85" s="18">
        <v>1.9117999999999999</v>
      </c>
      <c r="AB85" s="18">
        <v>1.9134800000000001</v>
      </c>
      <c r="AC85" s="18">
        <v>1.91516</v>
      </c>
      <c r="AD85" s="18">
        <v>1.9168400000000001</v>
      </c>
      <c r="AE85" s="18">
        <v>1.9185399999999999</v>
      </c>
      <c r="AF85" s="18">
        <v>1.9202300000000001</v>
      </c>
      <c r="AG85" s="18">
        <v>1.9219200000000001</v>
      </c>
      <c r="AH85" s="18">
        <v>1.9236200000000001</v>
      </c>
      <c r="AI85" s="18">
        <v>1.9253199999999999</v>
      </c>
      <c r="AJ85" s="18">
        <v>1.92702</v>
      </c>
      <c r="AK85" s="18">
        <v>1.9287300000000001</v>
      </c>
      <c r="AL85" s="18">
        <v>1.9304399999999999</v>
      </c>
      <c r="AM85" s="18">
        <v>1.93215</v>
      </c>
      <c r="AN85" s="18">
        <v>1.93387</v>
      </c>
      <c r="AO85" s="18">
        <v>1.9355899999999999</v>
      </c>
      <c r="AP85" s="18">
        <v>1.9373</v>
      </c>
      <c r="AQ85" s="19">
        <v>1.93902</v>
      </c>
    </row>
    <row r="86" spans="1:43" x14ac:dyDescent="0.2">
      <c r="A86" s="16">
        <v>1250</v>
      </c>
      <c r="B86" s="18">
        <v>1.9054199999999999</v>
      </c>
      <c r="C86" s="18">
        <v>1.9038200000000001</v>
      </c>
      <c r="D86" s="18">
        <v>1.90221</v>
      </c>
      <c r="E86" s="18">
        <v>1.9006099999999999</v>
      </c>
      <c r="F86" s="18">
        <v>1.89899</v>
      </c>
      <c r="G86" s="18">
        <v>1.8973899999999999</v>
      </c>
      <c r="H86" s="18">
        <v>1.89577</v>
      </c>
      <c r="I86" s="18">
        <v>1.89415</v>
      </c>
      <c r="J86" s="18">
        <v>1.89253</v>
      </c>
      <c r="K86" s="18">
        <v>1.8909100000000001</v>
      </c>
      <c r="L86" s="18">
        <v>1.8892800000000001</v>
      </c>
      <c r="M86" s="18">
        <v>1.8876599999999999</v>
      </c>
      <c r="N86" s="18">
        <v>1.88602</v>
      </c>
      <c r="O86" s="18">
        <v>1.8844000000000001</v>
      </c>
      <c r="P86" s="18">
        <v>1.88276</v>
      </c>
      <c r="Q86" s="18">
        <v>1.88113</v>
      </c>
      <c r="R86" s="18">
        <v>1.87948</v>
      </c>
      <c r="S86" s="18">
        <v>1.87785</v>
      </c>
      <c r="T86" s="18">
        <v>1.8762099999999999</v>
      </c>
      <c r="U86" s="19">
        <v>1.87456</v>
      </c>
      <c r="W86" s="16">
        <v>1250</v>
      </c>
      <c r="X86" s="18">
        <v>1.90862</v>
      </c>
      <c r="Y86" s="18">
        <v>1.9102300000000001</v>
      </c>
      <c r="Z86" s="18">
        <v>1.9118299999999999</v>
      </c>
      <c r="AA86" s="18">
        <v>1.91344</v>
      </c>
      <c r="AB86" s="18">
        <v>1.91506</v>
      </c>
      <c r="AC86" s="18">
        <v>1.9166700000000001</v>
      </c>
      <c r="AD86" s="18">
        <v>1.91828</v>
      </c>
      <c r="AE86" s="18">
        <v>1.91991</v>
      </c>
      <c r="AF86" s="18">
        <v>1.92153</v>
      </c>
      <c r="AG86" s="18">
        <v>1.92316</v>
      </c>
      <c r="AH86" s="18">
        <v>1.9247799999999999</v>
      </c>
      <c r="AI86" s="18">
        <v>1.92642</v>
      </c>
      <c r="AJ86" s="18">
        <v>1.92805</v>
      </c>
      <c r="AK86" s="18">
        <v>1.9296899999999999</v>
      </c>
      <c r="AL86" s="18">
        <v>1.9313199999999999</v>
      </c>
      <c r="AM86" s="18">
        <v>1.9329700000000001</v>
      </c>
      <c r="AN86" s="18">
        <v>1.93462</v>
      </c>
      <c r="AO86" s="18">
        <v>1.9362600000000001</v>
      </c>
      <c r="AP86" s="18">
        <v>1.93791</v>
      </c>
      <c r="AQ86" s="19">
        <v>1.93957</v>
      </c>
    </row>
    <row r="87" spans="1:43" x14ac:dyDescent="0.2">
      <c r="A87" s="16">
        <v>1300</v>
      </c>
      <c r="B87" s="18">
        <v>1.9072899999999999</v>
      </c>
      <c r="C87" s="18">
        <v>1.90574</v>
      </c>
      <c r="D87" s="18">
        <v>1.9041999999999999</v>
      </c>
      <c r="E87" s="18">
        <v>1.90266</v>
      </c>
      <c r="F87" s="18">
        <v>1.9011100000000001</v>
      </c>
      <c r="G87" s="18">
        <v>1.8995500000000001</v>
      </c>
      <c r="H87" s="18">
        <v>1.8979999999999999</v>
      </c>
      <c r="I87" s="18">
        <v>1.89645</v>
      </c>
      <c r="J87" s="18">
        <v>1.89489</v>
      </c>
      <c r="K87" s="18">
        <v>1.89333</v>
      </c>
      <c r="L87" s="18">
        <v>1.89177</v>
      </c>
      <c r="M87" s="18">
        <v>1.8902099999999999</v>
      </c>
      <c r="N87" s="18">
        <v>1.8886400000000001</v>
      </c>
      <c r="O87" s="18">
        <v>1.8870800000000001</v>
      </c>
      <c r="P87" s="18">
        <v>1.88551</v>
      </c>
      <c r="Q87" s="18">
        <v>1.8839399999999999</v>
      </c>
      <c r="R87" s="18">
        <v>1.88236</v>
      </c>
      <c r="S87" s="18">
        <v>1.88079</v>
      </c>
      <c r="T87" s="18">
        <v>1.87921</v>
      </c>
      <c r="U87" s="19">
        <v>1.8776299999999999</v>
      </c>
      <c r="W87" s="16">
        <v>1300</v>
      </c>
      <c r="X87" s="18">
        <v>1.9103600000000001</v>
      </c>
      <c r="Y87" s="18">
        <v>1.91191</v>
      </c>
      <c r="Z87" s="18">
        <v>1.9134500000000001</v>
      </c>
      <c r="AA87" s="18">
        <v>1.915</v>
      </c>
      <c r="AB87" s="18">
        <v>1.91655</v>
      </c>
      <c r="AC87" s="18">
        <v>1.9180999999999999</v>
      </c>
      <c r="AD87" s="18">
        <v>1.9196599999999999</v>
      </c>
      <c r="AE87" s="18">
        <v>1.9212100000000001</v>
      </c>
      <c r="AF87" s="18">
        <v>1.9227700000000001</v>
      </c>
      <c r="AG87" s="18">
        <v>1.9243300000000001</v>
      </c>
      <c r="AH87" s="18">
        <v>1.9258999999999999</v>
      </c>
      <c r="AI87" s="18">
        <v>1.92747</v>
      </c>
      <c r="AJ87" s="18">
        <v>1.92903</v>
      </c>
      <c r="AK87" s="18">
        <v>1.9306099999999999</v>
      </c>
      <c r="AL87" s="18">
        <v>1.93218</v>
      </c>
      <c r="AM87" s="18">
        <v>1.9337599999999999</v>
      </c>
      <c r="AN87" s="18">
        <v>1.9353400000000001</v>
      </c>
      <c r="AO87" s="18">
        <v>1.93692</v>
      </c>
      <c r="AP87" s="18">
        <v>1.93851</v>
      </c>
      <c r="AQ87" s="19">
        <v>1.9400900000000001</v>
      </c>
    </row>
    <row r="88" spans="1:43" x14ac:dyDescent="0.2">
      <c r="A88" s="16">
        <v>1350</v>
      </c>
      <c r="B88" s="18">
        <v>1.9090499999999999</v>
      </c>
      <c r="C88" s="18">
        <v>1.9075599999999999</v>
      </c>
      <c r="D88" s="18">
        <v>1.9060699999999999</v>
      </c>
      <c r="E88" s="18">
        <v>1.90459</v>
      </c>
      <c r="F88" s="18">
        <v>1.9030899999999999</v>
      </c>
      <c r="G88" s="18">
        <v>1.9016</v>
      </c>
      <c r="H88" s="18">
        <v>1.90011</v>
      </c>
      <c r="I88" s="18">
        <v>1.8986099999999999</v>
      </c>
      <c r="J88" s="18">
        <v>1.8971100000000001</v>
      </c>
      <c r="K88" s="18">
        <v>1.89561</v>
      </c>
      <c r="L88" s="18">
        <v>1.89411</v>
      </c>
      <c r="M88" s="18">
        <v>1.8926000000000001</v>
      </c>
      <c r="N88" s="18">
        <v>1.8911</v>
      </c>
      <c r="O88" s="18">
        <v>1.8895900000000001</v>
      </c>
      <c r="P88" s="18">
        <v>1.88808</v>
      </c>
      <c r="Q88" s="18">
        <v>1.8865700000000001</v>
      </c>
      <c r="R88" s="18">
        <v>1.8850499999999999</v>
      </c>
      <c r="S88" s="18">
        <v>1.88354</v>
      </c>
      <c r="T88" s="18">
        <v>1.88201</v>
      </c>
      <c r="U88" s="19">
        <v>1.88049</v>
      </c>
      <c r="W88" s="16">
        <v>1350</v>
      </c>
      <c r="X88" s="18">
        <v>1.91201</v>
      </c>
      <c r="Y88" s="18">
        <v>1.9134899999999999</v>
      </c>
      <c r="Z88" s="18">
        <v>1.9149799999999999</v>
      </c>
      <c r="AA88" s="18">
        <v>1.91648</v>
      </c>
      <c r="AB88" s="18">
        <v>1.9179600000000001</v>
      </c>
      <c r="AC88" s="18">
        <v>1.9194599999999999</v>
      </c>
      <c r="AD88" s="18">
        <v>1.9209499999999999</v>
      </c>
      <c r="AE88" s="18">
        <v>1.9224600000000001</v>
      </c>
      <c r="AF88" s="18">
        <v>1.92395</v>
      </c>
      <c r="AG88" s="18">
        <v>1.9254599999999999</v>
      </c>
      <c r="AH88" s="18">
        <v>1.92696</v>
      </c>
      <c r="AI88" s="18">
        <v>1.9284699999999999</v>
      </c>
      <c r="AJ88" s="18">
        <v>1.92998</v>
      </c>
      <c r="AK88" s="18">
        <v>1.9315</v>
      </c>
      <c r="AL88" s="18">
        <v>1.9330099999999999</v>
      </c>
      <c r="AM88" s="18">
        <v>1.9345300000000001</v>
      </c>
      <c r="AN88" s="18">
        <v>1.93605</v>
      </c>
      <c r="AO88" s="18">
        <v>1.93757</v>
      </c>
      <c r="AP88" s="18">
        <v>1.93909</v>
      </c>
      <c r="AQ88" s="19">
        <v>1.94062</v>
      </c>
    </row>
    <row r="89" spans="1:43" x14ac:dyDescent="0.2">
      <c r="A89" s="16">
        <v>1400</v>
      </c>
      <c r="B89" s="18">
        <v>1.9107000000000001</v>
      </c>
      <c r="C89" s="18">
        <v>1.90927</v>
      </c>
      <c r="D89" s="18">
        <v>1.90784</v>
      </c>
      <c r="E89" s="18">
        <v>1.9064099999999999</v>
      </c>
      <c r="F89" s="18">
        <v>1.9049700000000001</v>
      </c>
      <c r="G89" s="18">
        <v>1.9035299999999999</v>
      </c>
      <c r="H89" s="18">
        <v>1.9020900000000001</v>
      </c>
      <c r="I89" s="18">
        <v>1.90065</v>
      </c>
      <c r="J89" s="18">
        <v>1.8992</v>
      </c>
      <c r="K89" s="18">
        <v>1.8977599999999999</v>
      </c>
      <c r="L89" s="18">
        <v>1.8963099999999999</v>
      </c>
      <c r="M89" s="18">
        <v>1.89486</v>
      </c>
      <c r="N89" s="18">
        <v>1.89341</v>
      </c>
      <c r="O89" s="18">
        <v>1.89195</v>
      </c>
      <c r="P89" s="18">
        <v>1.8905000000000001</v>
      </c>
      <c r="Q89" s="18">
        <v>1.8890400000000001</v>
      </c>
      <c r="R89" s="18">
        <v>1.88758</v>
      </c>
      <c r="S89" s="18">
        <v>1.88612</v>
      </c>
      <c r="T89" s="18">
        <v>1.88466</v>
      </c>
      <c r="U89" s="19">
        <v>1.8831899999999999</v>
      </c>
      <c r="W89" s="16">
        <v>1400</v>
      </c>
      <c r="X89" s="18">
        <v>1.91357</v>
      </c>
      <c r="Y89" s="18">
        <v>1.915</v>
      </c>
      <c r="Z89" s="18">
        <v>1.9164300000000001</v>
      </c>
      <c r="AA89" s="18">
        <v>1.91787</v>
      </c>
      <c r="AB89" s="18">
        <v>1.9193</v>
      </c>
      <c r="AC89" s="18">
        <v>1.9207399999999999</v>
      </c>
      <c r="AD89" s="18">
        <v>1.9221900000000001</v>
      </c>
      <c r="AE89" s="18">
        <v>1.92364</v>
      </c>
      <c r="AF89" s="18">
        <v>1.92509</v>
      </c>
      <c r="AG89" s="18">
        <v>1.9265300000000001</v>
      </c>
      <c r="AH89" s="18">
        <v>1.9279900000000001</v>
      </c>
      <c r="AI89" s="18">
        <v>1.92944</v>
      </c>
      <c r="AJ89" s="18">
        <v>1.93089</v>
      </c>
      <c r="AK89" s="18">
        <v>1.93235</v>
      </c>
      <c r="AL89" s="18">
        <v>1.93381</v>
      </c>
      <c r="AM89" s="18">
        <v>1.93527</v>
      </c>
      <c r="AN89" s="18">
        <v>1.9367399999999999</v>
      </c>
      <c r="AO89" s="18">
        <v>1.9381999999999999</v>
      </c>
      <c r="AP89" s="18">
        <v>1.93967</v>
      </c>
      <c r="AQ89" s="19">
        <v>1.9411400000000001</v>
      </c>
    </row>
    <row r="90" spans="1:43" x14ac:dyDescent="0.2">
      <c r="A90" s="16">
        <v>1450</v>
      </c>
      <c r="B90" s="18">
        <v>1.91229</v>
      </c>
      <c r="C90" s="18">
        <v>1.9109</v>
      </c>
      <c r="D90" s="18">
        <v>1.9095200000000001</v>
      </c>
      <c r="E90" s="18">
        <v>1.9081300000000001</v>
      </c>
      <c r="F90" s="18">
        <v>1.9067499999999999</v>
      </c>
      <c r="G90" s="18">
        <v>1.9053500000000001</v>
      </c>
      <c r="H90" s="18">
        <v>1.9039600000000001</v>
      </c>
      <c r="I90" s="18">
        <v>1.9025700000000001</v>
      </c>
      <c r="J90" s="18">
        <v>1.9011800000000001</v>
      </c>
      <c r="K90" s="18">
        <v>1.8997900000000001</v>
      </c>
      <c r="L90" s="18">
        <v>1.89838</v>
      </c>
      <c r="M90" s="18">
        <v>1.89699</v>
      </c>
      <c r="N90" s="18">
        <v>1.8955900000000001</v>
      </c>
      <c r="O90" s="18">
        <v>1.89419</v>
      </c>
      <c r="P90" s="18">
        <v>1.8927700000000001</v>
      </c>
      <c r="Q90" s="18">
        <v>1.89137</v>
      </c>
      <c r="R90" s="18">
        <v>1.8899600000000001</v>
      </c>
      <c r="S90" s="18">
        <v>1.88856</v>
      </c>
      <c r="T90" s="18">
        <v>1.8871500000000001</v>
      </c>
      <c r="U90" s="19">
        <v>1.8857299999999999</v>
      </c>
      <c r="W90" s="16">
        <v>1450</v>
      </c>
      <c r="X90" s="18">
        <v>1.9150499999999999</v>
      </c>
      <c r="Y90" s="18">
        <v>1.9164300000000001</v>
      </c>
      <c r="Z90" s="18">
        <v>1.91781</v>
      </c>
      <c r="AA90" s="18">
        <v>1.9192</v>
      </c>
      <c r="AB90" s="18">
        <v>1.92059</v>
      </c>
      <c r="AC90" s="18">
        <v>1.92197</v>
      </c>
      <c r="AD90" s="18">
        <v>1.92337</v>
      </c>
      <c r="AE90" s="18">
        <v>1.92476</v>
      </c>
      <c r="AF90" s="18">
        <v>1.9261600000000001</v>
      </c>
      <c r="AG90" s="18">
        <v>1.9275500000000001</v>
      </c>
      <c r="AH90" s="18">
        <v>1.9289499999999999</v>
      </c>
      <c r="AI90" s="18">
        <v>1.93035</v>
      </c>
      <c r="AJ90" s="18">
        <v>1.93177</v>
      </c>
      <c r="AK90" s="18">
        <v>1.9331700000000001</v>
      </c>
      <c r="AL90" s="18">
        <v>1.93458</v>
      </c>
      <c r="AM90" s="18">
        <v>1.9359900000000001</v>
      </c>
      <c r="AN90" s="18">
        <v>1.9374</v>
      </c>
      <c r="AO90" s="18">
        <v>1.93882</v>
      </c>
      <c r="AP90" s="18">
        <v>1.9402299999999999</v>
      </c>
      <c r="AQ90" s="19">
        <v>1.9416500000000001</v>
      </c>
    </row>
    <row r="91" spans="1:43" x14ac:dyDescent="0.2">
      <c r="A91" s="16">
        <v>1500</v>
      </c>
      <c r="B91" s="18">
        <v>1.91378</v>
      </c>
      <c r="C91" s="18">
        <v>1.9124399999999999</v>
      </c>
      <c r="D91" s="18">
        <v>1.9111</v>
      </c>
      <c r="E91" s="18">
        <v>1.9097599999999999</v>
      </c>
      <c r="F91" s="18">
        <v>1.90842</v>
      </c>
      <c r="G91" s="18">
        <v>1.9070800000000001</v>
      </c>
      <c r="H91" s="18">
        <v>1.90574</v>
      </c>
      <c r="I91" s="18">
        <v>1.9044000000000001</v>
      </c>
      <c r="J91" s="18">
        <v>1.9030499999999999</v>
      </c>
      <c r="K91" s="18">
        <v>1.9016999999999999</v>
      </c>
      <c r="L91" s="18">
        <v>1.90035</v>
      </c>
      <c r="M91" s="18">
        <v>1.89899</v>
      </c>
      <c r="N91" s="18">
        <v>1.89764</v>
      </c>
      <c r="O91" s="18">
        <v>1.89629</v>
      </c>
      <c r="P91" s="18">
        <v>1.89493</v>
      </c>
      <c r="Q91" s="18">
        <v>1.89357</v>
      </c>
      <c r="R91" s="18">
        <v>1.8922099999999999</v>
      </c>
      <c r="S91" s="18">
        <v>1.8908499999999999</v>
      </c>
      <c r="T91" s="18">
        <v>1.88948</v>
      </c>
      <c r="U91" s="19">
        <v>1.88812</v>
      </c>
      <c r="W91" s="16">
        <v>1500</v>
      </c>
      <c r="X91" s="18">
        <v>1.91645</v>
      </c>
      <c r="Y91" s="18">
        <v>1.9177900000000001</v>
      </c>
      <c r="Z91" s="18">
        <v>1.9191199999999999</v>
      </c>
      <c r="AA91" s="18">
        <v>1.9204600000000001</v>
      </c>
      <c r="AB91" s="18">
        <v>1.92181</v>
      </c>
      <c r="AC91" s="18">
        <v>1.9231400000000001</v>
      </c>
      <c r="AD91" s="18">
        <v>1.92449</v>
      </c>
      <c r="AE91" s="18">
        <v>1.92584</v>
      </c>
      <c r="AF91" s="18">
        <v>1.9271799999999999</v>
      </c>
      <c r="AG91" s="18">
        <v>1.9285399999999999</v>
      </c>
      <c r="AH91" s="18">
        <v>1.9298999999999999</v>
      </c>
      <c r="AI91" s="18">
        <v>1.9312400000000001</v>
      </c>
      <c r="AJ91" s="18">
        <v>1.9326000000000001</v>
      </c>
      <c r="AK91" s="18">
        <v>1.93397</v>
      </c>
      <c r="AL91" s="18">
        <v>1.9353199999999999</v>
      </c>
      <c r="AM91" s="18">
        <v>1.93669</v>
      </c>
      <c r="AN91" s="18">
        <v>1.9380500000000001</v>
      </c>
      <c r="AO91" s="18">
        <v>1.9394100000000001</v>
      </c>
      <c r="AP91" s="18">
        <v>1.94079</v>
      </c>
      <c r="AQ91" s="19">
        <v>1.94215</v>
      </c>
    </row>
    <row r="92" spans="1:43" x14ac:dyDescent="0.2">
      <c r="A92" s="16">
        <v>1550</v>
      </c>
      <c r="B92" s="18">
        <v>1.9152</v>
      </c>
      <c r="C92" s="18">
        <v>1.91391</v>
      </c>
      <c r="D92" s="18">
        <v>1.9126099999999999</v>
      </c>
      <c r="E92" s="18">
        <v>1.9113199999999999</v>
      </c>
      <c r="F92" s="18">
        <v>1.9100200000000001</v>
      </c>
      <c r="G92" s="18">
        <v>1.90872</v>
      </c>
      <c r="H92" s="18">
        <v>1.9074199999999999</v>
      </c>
      <c r="I92" s="18">
        <v>1.90612</v>
      </c>
      <c r="J92" s="18">
        <v>1.90482</v>
      </c>
      <c r="K92" s="18">
        <v>1.9035200000000001</v>
      </c>
      <c r="L92" s="18">
        <v>1.90221</v>
      </c>
      <c r="M92" s="18">
        <v>1.9009</v>
      </c>
      <c r="N92" s="18">
        <v>1.8995899999999999</v>
      </c>
      <c r="O92" s="18">
        <v>1.89828</v>
      </c>
      <c r="P92" s="18">
        <v>1.89696</v>
      </c>
      <c r="Q92" s="18">
        <v>1.8956500000000001</v>
      </c>
      <c r="R92" s="18">
        <v>1.8943300000000001</v>
      </c>
      <c r="S92" s="18">
        <v>1.8930199999999999</v>
      </c>
      <c r="T92" s="18">
        <v>1.8916999999999999</v>
      </c>
      <c r="U92" s="19">
        <v>1.8903799999999999</v>
      </c>
      <c r="W92" s="16">
        <v>1550</v>
      </c>
      <c r="X92" s="18">
        <v>1.91778</v>
      </c>
      <c r="Y92" s="18">
        <v>1.9190799999999999</v>
      </c>
      <c r="Z92" s="18">
        <v>1.9203699999999999</v>
      </c>
      <c r="AA92" s="18">
        <v>1.92167</v>
      </c>
      <c r="AB92" s="18">
        <v>1.9229700000000001</v>
      </c>
      <c r="AC92" s="18">
        <v>1.9242600000000001</v>
      </c>
      <c r="AD92" s="18">
        <v>1.9255599999999999</v>
      </c>
      <c r="AE92" s="18">
        <v>1.9268700000000001</v>
      </c>
      <c r="AF92" s="18">
        <v>1.92818</v>
      </c>
      <c r="AG92" s="18">
        <v>1.9294800000000001</v>
      </c>
      <c r="AH92" s="18">
        <v>1.93079</v>
      </c>
      <c r="AI92" s="18">
        <v>1.9320999999999999</v>
      </c>
      <c r="AJ92" s="18">
        <v>1.9334100000000001</v>
      </c>
      <c r="AK92" s="18">
        <v>1.9347300000000001</v>
      </c>
      <c r="AL92" s="18">
        <v>1.93604</v>
      </c>
      <c r="AM92" s="18">
        <v>1.93736</v>
      </c>
      <c r="AN92" s="18">
        <v>1.93868</v>
      </c>
      <c r="AO92" s="18">
        <v>1.94</v>
      </c>
      <c r="AP92" s="18">
        <v>1.9413199999999999</v>
      </c>
      <c r="AQ92" s="19">
        <v>1.94265</v>
      </c>
    </row>
    <row r="93" spans="1:43" x14ac:dyDescent="0.2">
      <c r="A93" s="16">
        <v>1600</v>
      </c>
      <c r="B93" s="18">
        <v>1.91655</v>
      </c>
      <c r="C93" s="18">
        <v>1.9153100000000001</v>
      </c>
      <c r="D93" s="18">
        <v>1.91405</v>
      </c>
      <c r="E93" s="18">
        <v>1.91279</v>
      </c>
      <c r="F93" s="18">
        <v>1.91154</v>
      </c>
      <c r="G93" s="18">
        <v>1.91028</v>
      </c>
      <c r="H93" s="18">
        <v>1.9090199999999999</v>
      </c>
      <c r="I93" s="18">
        <v>1.9077599999999999</v>
      </c>
      <c r="J93" s="18">
        <v>1.9065000000000001</v>
      </c>
      <c r="K93" s="18">
        <v>1.90523</v>
      </c>
      <c r="L93" s="18">
        <v>1.9039699999999999</v>
      </c>
      <c r="M93" s="18">
        <v>1.9027000000000001</v>
      </c>
      <c r="N93" s="18">
        <v>1.90143</v>
      </c>
      <c r="O93" s="18">
        <v>1.9001600000000001</v>
      </c>
      <c r="P93" s="18">
        <v>1.89889</v>
      </c>
      <c r="Q93" s="18">
        <v>1.8976200000000001</v>
      </c>
      <c r="R93" s="18">
        <v>1.8963399999999999</v>
      </c>
      <c r="S93" s="18">
        <v>1.89507</v>
      </c>
      <c r="T93" s="18">
        <v>1.8937999999999999</v>
      </c>
      <c r="U93" s="19">
        <v>1.89252</v>
      </c>
      <c r="W93" s="16">
        <v>1600</v>
      </c>
      <c r="X93" s="18">
        <v>1.9190499999999999</v>
      </c>
      <c r="Y93" s="18">
        <v>1.92031</v>
      </c>
      <c r="Z93" s="18">
        <v>1.9215599999999999</v>
      </c>
      <c r="AA93" s="18">
        <v>1.92282</v>
      </c>
      <c r="AB93" s="18">
        <v>1.9240699999999999</v>
      </c>
      <c r="AC93" s="18">
        <v>1.9253400000000001</v>
      </c>
      <c r="AD93" s="18">
        <v>1.92659</v>
      </c>
      <c r="AE93" s="18">
        <v>1.9278599999999999</v>
      </c>
      <c r="AF93" s="18">
        <v>1.9291199999999999</v>
      </c>
      <c r="AG93" s="18">
        <v>1.93038</v>
      </c>
      <c r="AH93" s="18">
        <v>1.9316500000000001</v>
      </c>
      <c r="AI93" s="18">
        <v>1.93293</v>
      </c>
      <c r="AJ93" s="18">
        <v>1.9341900000000001</v>
      </c>
      <c r="AK93" s="18">
        <v>1.93547</v>
      </c>
      <c r="AL93" s="18">
        <v>1.9367399999999999</v>
      </c>
      <c r="AM93" s="18">
        <v>1.93801</v>
      </c>
      <c r="AN93" s="18">
        <v>1.93929</v>
      </c>
      <c r="AO93" s="18">
        <v>1.9405699999999999</v>
      </c>
      <c r="AP93" s="18">
        <v>1.9418500000000001</v>
      </c>
      <c r="AQ93" s="19">
        <v>1.9431400000000001</v>
      </c>
    </row>
    <row r="94" spans="1:43" x14ac:dyDescent="0.2">
      <c r="A94" s="16">
        <v>1650</v>
      </c>
      <c r="B94" s="18">
        <v>1.9178500000000001</v>
      </c>
      <c r="C94" s="18">
        <v>1.9166300000000001</v>
      </c>
      <c r="D94" s="18">
        <v>1.9154199999999999</v>
      </c>
      <c r="E94" s="18">
        <v>1.9141999999999999</v>
      </c>
      <c r="F94" s="18">
        <v>1.9129799999999999</v>
      </c>
      <c r="G94" s="18">
        <v>1.9117599999999999</v>
      </c>
      <c r="H94" s="18">
        <v>1.9105399999999999</v>
      </c>
      <c r="I94" s="18">
        <v>1.9093199999999999</v>
      </c>
      <c r="J94" s="18">
        <v>1.9080999999999999</v>
      </c>
      <c r="K94" s="18">
        <v>1.9068700000000001</v>
      </c>
      <c r="L94" s="18">
        <v>1.9056500000000001</v>
      </c>
      <c r="M94" s="18">
        <v>1.90442</v>
      </c>
      <c r="N94" s="18">
        <v>1.9031899999999999</v>
      </c>
      <c r="O94" s="18">
        <v>1.9019600000000001</v>
      </c>
      <c r="P94" s="18">
        <v>1.90073</v>
      </c>
      <c r="Q94" s="18">
        <v>1.8994899999999999</v>
      </c>
      <c r="R94" s="18">
        <v>1.8982600000000001</v>
      </c>
      <c r="S94" s="18">
        <v>1.8970199999999999</v>
      </c>
      <c r="T94" s="18">
        <v>1.89578</v>
      </c>
      <c r="U94" s="19">
        <v>1.89455</v>
      </c>
      <c r="W94" s="16">
        <v>1650</v>
      </c>
      <c r="X94" s="18">
        <v>1.92028</v>
      </c>
      <c r="Y94" s="18">
        <v>1.9214899999999999</v>
      </c>
      <c r="Z94" s="18">
        <v>1.9227000000000001</v>
      </c>
      <c r="AA94" s="18">
        <v>1.9239200000000001</v>
      </c>
      <c r="AB94" s="18">
        <v>1.9251400000000001</v>
      </c>
      <c r="AC94" s="18">
        <v>1.9263600000000001</v>
      </c>
      <c r="AD94" s="18">
        <v>1.9275800000000001</v>
      </c>
      <c r="AE94" s="18">
        <v>1.9288099999999999</v>
      </c>
      <c r="AF94" s="18">
        <v>1.9300299999999999</v>
      </c>
      <c r="AG94" s="18">
        <v>1.93126</v>
      </c>
      <c r="AH94" s="18">
        <v>1.93249</v>
      </c>
      <c r="AI94" s="18">
        <v>1.93371</v>
      </c>
      <c r="AJ94" s="18">
        <v>1.9349499999999999</v>
      </c>
      <c r="AK94" s="18">
        <v>1.93618</v>
      </c>
      <c r="AL94" s="18">
        <v>1.9374100000000001</v>
      </c>
      <c r="AM94" s="18">
        <v>1.93865</v>
      </c>
      <c r="AN94" s="18">
        <v>1.9398899999999999</v>
      </c>
      <c r="AO94" s="18">
        <v>1.94113</v>
      </c>
      <c r="AP94" s="18">
        <v>1.9423699999999999</v>
      </c>
      <c r="AQ94" s="19">
        <v>1.9436100000000001</v>
      </c>
    </row>
    <row r="95" spans="1:43" x14ac:dyDescent="0.2">
      <c r="A95" s="16">
        <v>1700</v>
      </c>
      <c r="B95" s="18">
        <v>1.9190799999999999</v>
      </c>
      <c r="C95" s="18">
        <v>1.9178999999999999</v>
      </c>
      <c r="D95" s="18">
        <v>1.91672</v>
      </c>
      <c r="E95" s="18">
        <v>1.91554</v>
      </c>
      <c r="F95" s="18">
        <v>1.9143600000000001</v>
      </c>
      <c r="G95" s="18">
        <v>1.9131800000000001</v>
      </c>
      <c r="H95" s="18">
        <v>1.9119900000000001</v>
      </c>
      <c r="I95" s="18">
        <v>1.9108099999999999</v>
      </c>
      <c r="J95" s="18">
        <v>1.9096200000000001</v>
      </c>
      <c r="K95" s="18">
        <v>1.9084300000000001</v>
      </c>
      <c r="L95" s="18">
        <v>1.90724</v>
      </c>
      <c r="M95" s="18">
        <v>1.90605</v>
      </c>
      <c r="N95" s="18">
        <v>1.90486</v>
      </c>
      <c r="O95" s="18">
        <v>1.9036599999999999</v>
      </c>
      <c r="P95" s="18">
        <v>1.9024700000000001</v>
      </c>
      <c r="Q95" s="18">
        <v>1.90127</v>
      </c>
      <c r="R95" s="18">
        <v>1.9000699999999999</v>
      </c>
      <c r="S95" s="18">
        <v>1.8988700000000001</v>
      </c>
      <c r="T95" s="18">
        <v>1.89767</v>
      </c>
      <c r="U95" s="19">
        <v>1.8964700000000001</v>
      </c>
      <c r="W95" s="16">
        <v>1700</v>
      </c>
      <c r="X95" s="18">
        <v>1.92143</v>
      </c>
      <c r="Y95" s="18">
        <v>1.9226099999999999</v>
      </c>
      <c r="Z95" s="18">
        <v>1.9238</v>
      </c>
      <c r="AA95" s="18">
        <v>1.9249799999999999</v>
      </c>
      <c r="AB95" s="18">
        <v>1.9261600000000001</v>
      </c>
      <c r="AC95" s="18">
        <v>1.9273400000000001</v>
      </c>
      <c r="AD95" s="18">
        <v>1.9285300000000001</v>
      </c>
      <c r="AE95" s="18">
        <v>1.92971</v>
      </c>
      <c r="AF95" s="18">
        <v>1.9309000000000001</v>
      </c>
      <c r="AG95" s="18">
        <v>1.9320999999999999</v>
      </c>
      <c r="AH95" s="18">
        <v>1.93329</v>
      </c>
      <c r="AI95" s="18">
        <v>1.93448</v>
      </c>
      <c r="AJ95" s="18">
        <v>1.93567</v>
      </c>
      <c r="AK95" s="18">
        <v>1.9368700000000001</v>
      </c>
      <c r="AL95" s="18">
        <v>1.93807</v>
      </c>
      <c r="AM95" s="18">
        <v>1.93926</v>
      </c>
      <c r="AN95" s="18">
        <v>1.9404699999999999</v>
      </c>
      <c r="AO95" s="18">
        <v>1.94167</v>
      </c>
      <c r="AP95" s="18">
        <v>1.9428700000000001</v>
      </c>
      <c r="AQ95" s="19">
        <v>1.94407</v>
      </c>
    </row>
    <row r="96" spans="1:43" x14ac:dyDescent="0.2">
      <c r="A96" s="16">
        <v>1750</v>
      </c>
      <c r="B96" s="18">
        <v>1.9202600000000001</v>
      </c>
      <c r="C96" s="18">
        <v>1.9191199999999999</v>
      </c>
      <c r="D96" s="18">
        <v>1.91797</v>
      </c>
      <c r="E96" s="18">
        <v>1.91682</v>
      </c>
      <c r="F96" s="18">
        <v>1.91568</v>
      </c>
      <c r="G96" s="18">
        <v>1.91452</v>
      </c>
      <c r="H96" s="18">
        <v>1.91337</v>
      </c>
      <c r="I96" s="18">
        <v>1.91222</v>
      </c>
      <c r="J96" s="18">
        <v>1.91107</v>
      </c>
      <c r="K96" s="18">
        <v>1.90991</v>
      </c>
      <c r="L96" s="18">
        <v>1.90876</v>
      </c>
      <c r="M96" s="18">
        <v>1.90761</v>
      </c>
      <c r="N96" s="18">
        <v>1.9064399999999999</v>
      </c>
      <c r="O96" s="18">
        <v>1.9052800000000001</v>
      </c>
      <c r="P96" s="18">
        <v>1.9041300000000001</v>
      </c>
      <c r="Q96" s="18">
        <v>1.9029700000000001</v>
      </c>
      <c r="R96" s="18">
        <v>1.9017999999999999</v>
      </c>
      <c r="S96" s="18">
        <v>1.9006400000000001</v>
      </c>
      <c r="T96" s="18">
        <v>1.89947</v>
      </c>
      <c r="U96" s="19">
        <v>1.8983099999999999</v>
      </c>
      <c r="W96" s="16">
        <v>1750</v>
      </c>
      <c r="X96" s="18">
        <v>1.92255</v>
      </c>
      <c r="Y96" s="18">
        <v>1.9236899999999999</v>
      </c>
      <c r="Z96" s="18">
        <v>1.92483</v>
      </c>
      <c r="AA96" s="18">
        <v>1.92598</v>
      </c>
      <c r="AB96" s="18">
        <v>1.9271400000000001</v>
      </c>
      <c r="AC96" s="18">
        <v>1.9282900000000001</v>
      </c>
      <c r="AD96" s="18">
        <v>1.92944</v>
      </c>
      <c r="AE96" s="18">
        <v>1.93059</v>
      </c>
      <c r="AF96" s="18">
        <v>1.93174</v>
      </c>
      <c r="AG96" s="18">
        <v>1.9329000000000001</v>
      </c>
      <c r="AH96" s="18">
        <v>1.9340599999999999</v>
      </c>
      <c r="AI96" s="18">
        <v>1.9352199999999999</v>
      </c>
      <c r="AJ96" s="18">
        <v>1.9363699999999999</v>
      </c>
      <c r="AK96" s="18">
        <v>1.93753</v>
      </c>
      <c r="AL96" s="18">
        <v>1.9387000000000001</v>
      </c>
      <c r="AM96" s="18">
        <v>1.93987</v>
      </c>
      <c r="AN96" s="18">
        <v>1.94103</v>
      </c>
      <c r="AO96" s="18">
        <v>1.9421999999999999</v>
      </c>
      <c r="AP96" s="18">
        <v>1.94336</v>
      </c>
      <c r="AQ96" s="19">
        <v>1.9445300000000001</v>
      </c>
    </row>
    <row r="97" spans="1:43" x14ac:dyDescent="0.2">
      <c r="A97" s="16">
        <v>1800</v>
      </c>
      <c r="B97" s="18">
        <v>1.9213899999999999</v>
      </c>
      <c r="C97" s="18">
        <v>1.92028</v>
      </c>
      <c r="D97" s="18">
        <v>1.91916</v>
      </c>
      <c r="E97" s="18">
        <v>1.91805</v>
      </c>
      <c r="F97" s="18">
        <v>1.91693</v>
      </c>
      <c r="G97" s="18">
        <v>1.9158200000000001</v>
      </c>
      <c r="H97" s="18">
        <v>1.9147000000000001</v>
      </c>
      <c r="I97" s="18">
        <v>1.9135800000000001</v>
      </c>
      <c r="J97" s="18">
        <v>1.91245</v>
      </c>
      <c r="K97" s="18">
        <v>1.91133</v>
      </c>
      <c r="L97" s="18">
        <v>1.91021</v>
      </c>
      <c r="M97" s="18">
        <v>1.90909</v>
      </c>
      <c r="N97" s="18">
        <v>1.9079600000000001</v>
      </c>
      <c r="O97" s="18">
        <v>1.90683</v>
      </c>
      <c r="P97" s="18">
        <v>1.9056999999999999</v>
      </c>
      <c r="Q97" s="18">
        <v>1.9045799999999999</v>
      </c>
      <c r="R97" s="18">
        <v>1.9034500000000001</v>
      </c>
      <c r="S97" s="18">
        <v>1.90232</v>
      </c>
      <c r="T97" s="18">
        <v>1.9011800000000001</v>
      </c>
      <c r="U97" s="19">
        <v>1.90005</v>
      </c>
      <c r="W97" s="16">
        <v>1800</v>
      </c>
      <c r="X97" s="18">
        <v>1.92361</v>
      </c>
      <c r="Y97" s="18">
        <v>1.9247300000000001</v>
      </c>
      <c r="Z97" s="18">
        <v>1.92584</v>
      </c>
      <c r="AA97" s="18">
        <v>1.9269499999999999</v>
      </c>
      <c r="AB97" s="18">
        <v>1.92807</v>
      </c>
      <c r="AC97" s="18">
        <v>1.92919</v>
      </c>
      <c r="AD97" s="18">
        <v>1.93031</v>
      </c>
      <c r="AE97" s="18">
        <v>1.93144</v>
      </c>
      <c r="AF97" s="18">
        <v>1.93255</v>
      </c>
      <c r="AG97" s="18">
        <v>1.93367</v>
      </c>
      <c r="AH97" s="18">
        <v>1.9348000000000001</v>
      </c>
      <c r="AI97" s="18">
        <v>1.9359299999999999</v>
      </c>
      <c r="AJ97" s="18">
        <v>1.93706</v>
      </c>
      <c r="AK97" s="18">
        <v>1.93818</v>
      </c>
      <c r="AL97" s="18">
        <v>1.9393100000000001</v>
      </c>
      <c r="AM97" s="18">
        <v>1.9404399999999999</v>
      </c>
      <c r="AN97" s="18">
        <v>1.9415800000000001</v>
      </c>
      <c r="AO97" s="18">
        <v>1.9427099999999999</v>
      </c>
      <c r="AP97" s="18">
        <v>1.94384</v>
      </c>
      <c r="AQ97" s="19">
        <v>1.9449799999999999</v>
      </c>
    </row>
    <row r="98" spans="1:43" x14ac:dyDescent="0.2">
      <c r="A98" s="16">
        <v>1850</v>
      </c>
      <c r="B98" s="18">
        <v>1.9224699999999999</v>
      </c>
      <c r="C98" s="18">
        <v>1.9213899999999999</v>
      </c>
      <c r="D98" s="18">
        <v>1.92031</v>
      </c>
      <c r="E98" s="18">
        <v>1.9192199999999999</v>
      </c>
      <c r="F98" s="18">
        <v>1.91814</v>
      </c>
      <c r="G98" s="18">
        <v>1.9170499999999999</v>
      </c>
      <c r="H98" s="18">
        <v>1.9159600000000001</v>
      </c>
      <c r="I98" s="18">
        <v>1.9148700000000001</v>
      </c>
      <c r="J98" s="18">
        <v>1.91378</v>
      </c>
      <c r="K98" s="18">
        <v>1.91269</v>
      </c>
      <c r="L98" s="18">
        <v>1.9116</v>
      </c>
      <c r="M98" s="18">
        <v>1.9105099999999999</v>
      </c>
      <c r="N98" s="18">
        <v>1.9094100000000001</v>
      </c>
      <c r="O98" s="18">
        <v>1.90831</v>
      </c>
      <c r="P98" s="18">
        <v>1.9072199999999999</v>
      </c>
      <c r="Q98" s="18">
        <v>1.90612</v>
      </c>
      <c r="R98" s="18">
        <v>1.9050199999999999</v>
      </c>
      <c r="S98" s="18">
        <v>1.9039200000000001</v>
      </c>
      <c r="T98" s="18">
        <v>1.90282</v>
      </c>
      <c r="U98" s="19">
        <v>1.90171</v>
      </c>
      <c r="W98" s="16">
        <v>1850</v>
      </c>
      <c r="X98" s="18">
        <v>1.9246300000000001</v>
      </c>
      <c r="Y98" s="18">
        <v>1.9257200000000001</v>
      </c>
      <c r="Z98" s="18">
        <v>1.9268099999999999</v>
      </c>
      <c r="AA98" s="18">
        <v>1.9278900000000001</v>
      </c>
      <c r="AB98" s="18">
        <v>1.9289700000000001</v>
      </c>
      <c r="AC98" s="18">
        <v>1.9300600000000001</v>
      </c>
      <c r="AD98" s="18">
        <v>1.9311499999999999</v>
      </c>
      <c r="AE98" s="18">
        <v>1.93225</v>
      </c>
      <c r="AF98" s="18">
        <v>1.9333400000000001</v>
      </c>
      <c r="AG98" s="18">
        <v>1.9344300000000001</v>
      </c>
      <c r="AH98" s="18">
        <v>1.9355199999999999</v>
      </c>
      <c r="AI98" s="18">
        <v>1.9366099999999999</v>
      </c>
      <c r="AJ98" s="18">
        <v>1.9377200000000001</v>
      </c>
      <c r="AK98" s="18">
        <v>1.9388099999999999</v>
      </c>
      <c r="AL98" s="18">
        <v>1.93991</v>
      </c>
      <c r="AM98" s="18">
        <v>1.9410099999999999</v>
      </c>
      <c r="AN98" s="18">
        <v>1.94211</v>
      </c>
      <c r="AO98" s="18">
        <v>1.9432100000000001</v>
      </c>
      <c r="AP98" s="18">
        <v>1.94432</v>
      </c>
      <c r="AQ98" s="19">
        <v>1.9454199999999999</v>
      </c>
    </row>
    <row r="99" spans="1:43" x14ac:dyDescent="0.2">
      <c r="A99" s="16">
        <v>1900</v>
      </c>
      <c r="B99" s="18">
        <v>1.9235199999999999</v>
      </c>
      <c r="C99" s="18">
        <v>1.9224600000000001</v>
      </c>
      <c r="D99" s="18">
        <v>1.9214100000000001</v>
      </c>
      <c r="E99" s="18">
        <v>1.92035</v>
      </c>
      <c r="F99" s="18">
        <v>1.9192899999999999</v>
      </c>
      <c r="G99" s="18">
        <v>1.9182300000000001</v>
      </c>
      <c r="H99" s="18">
        <v>1.91717</v>
      </c>
      <c r="I99" s="18">
        <v>1.91611</v>
      </c>
      <c r="J99" s="18">
        <v>1.9150499999999999</v>
      </c>
      <c r="K99" s="18">
        <v>1.9139900000000001</v>
      </c>
      <c r="L99" s="18">
        <v>1.91292</v>
      </c>
      <c r="M99" s="18">
        <v>1.9118599999999999</v>
      </c>
      <c r="N99" s="18">
        <v>1.91079</v>
      </c>
      <c r="O99" s="18">
        <v>1.9097299999999999</v>
      </c>
      <c r="P99" s="18">
        <v>1.90866</v>
      </c>
      <c r="Q99" s="18">
        <v>1.9076</v>
      </c>
      <c r="R99" s="18">
        <v>1.90652</v>
      </c>
      <c r="S99" s="18">
        <v>1.9054599999999999</v>
      </c>
      <c r="T99" s="18">
        <v>1.90438</v>
      </c>
      <c r="U99" s="19">
        <v>1.9033100000000001</v>
      </c>
      <c r="W99" s="16">
        <v>1900</v>
      </c>
      <c r="X99" s="18">
        <v>1.9256200000000001</v>
      </c>
      <c r="Y99" s="18">
        <v>1.9266799999999999</v>
      </c>
      <c r="Z99" s="18">
        <v>1.9277299999999999</v>
      </c>
      <c r="AA99" s="18">
        <v>1.9287799999999999</v>
      </c>
      <c r="AB99" s="18">
        <v>1.9298500000000001</v>
      </c>
      <c r="AC99" s="18">
        <v>1.9309000000000001</v>
      </c>
      <c r="AD99" s="18">
        <v>1.9319599999999999</v>
      </c>
      <c r="AE99" s="18">
        <v>1.93303</v>
      </c>
      <c r="AF99" s="18">
        <v>1.9340900000000001</v>
      </c>
      <c r="AG99" s="18">
        <v>1.9351499999999999</v>
      </c>
      <c r="AH99" s="18">
        <v>1.9362200000000001</v>
      </c>
      <c r="AI99" s="18">
        <v>1.9372799999999999</v>
      </c>
      <c r="AJ99" s="18">
        <v>1.93835</v>
      </c>
      <c r="AK99" s="18">
        <v>1.9394199999999999</v>
      </c>
      <c r="AL99" s="18">
        <v>1.94048</v>
      </c>
      <c r="AM99" s="18">
        <v>1.94156</v>
      </c>
      <c r="AN99" s="18">
        <v>1.9426300000000001</v>
      </c>
      <c r="AO99" s="18">
        <v>1.9437</v>
      </c>
      <c r="AP99" s="18">
        <v>1.94478</v>
      </c>
      <c r="AQ99" s="19">
        <v>1.9458500000000001</v>
      </c>
    </row>
    <row r="100" spans="1:43" x14ac:dyDescent="0.2">
      <c r="A100" s="16">
        <v>1950</v>
      </c>
      <c r="B100" s="18">
        <v>1.9245099999999999</v>
      </c>
      <c r="C100" s="18">
        <v>1.9234899999999999</v>
      </c>
      <c r="D100" s="18">
        <v>1.9224600000000001</v>
      </c>
      <c r="E100" s="18">
        <v>1.9214199999999999</v>
      </c>
      <c r="F100" s="18">
        <v>1.9204000000000001</v>
      </c>
      <c r="G100" s="18">
        <v>1.91937</v>
      </c>
      <c r="H100" s="18">
        <v>1.9183300000000001</v>
      </c>
      <c r="I100" s="18">
        <v>1.9173</v>
      </c>
      <c r="J100" s="18">
        <v>1.9162699999999999</v>
      </c>
      <c r="K100" s="18">
        <v>1.91523</v>
      </c>
      <c r="L100" s="18">
        <v>1.9141900000000001</v>
      </c>
      <c r="M100" s="18">
        <v>1.91316</v>
      </c>
      <c r="N100" s="18">
        <v>1.91212</v>
      </c>
      <c r="O100" s="18">
        <v>1.9110799999999999</v>
      </c>
      <c r="P100" s="18">
        <v>1.91005</v>
      </c>
      <c r="Q100" s="18">
        <v>1.909</v>
      </c>
      <c r="R100" s="18">
        <v>1.9079600000000001</v>
      </c>
      <c r="S100" s="18">
        <v>1.9069199999999999</v>
      </c>
      <c r="T100" s="18">
        <v>1.90588</v>
      </c>
      <c r="U100" s="19">
        <v>1.90483</v>
      </c>
      <c r="W100" s="16">
        <v>1950</v>
      </c>
      <c r="X100" s="18">
        <v>1.9265600000000001</v>
      </c>
      <c r="Y100" s="18">
        <v>1.9275899999999999</v>
      </c>
      <c r="Z100" s="18">
        <v>1.92862</v>
      </c>
      <c r="AA100" s="18">
        <v>1.9296500000000001</v>
      </c>
      <c r="AB100" s="18">
        <v>1.93068</v>
      </c>
      <c r="AC100" s="18">
        <v>1.93171</v>
      </c>
      <c r="AD100" s="18">
        <v>1.9327399999999999</v>
      </c>
      <c r="AE100" s="18">
        <v>1.93377</v>
      </c>
      <c r="AF100" s="18">
        <v>1.93482</v>
      </c>
      <c r="AG100" s="18">
        <v>1.9358500000000001</v>
      </c>
      <c r="AH100" s="18">
        <v>1.9368799999999999</v>
      </c>
      <c r="AI100" s="18">
        <v>1.9379299999999999</v>
      </c>
      <c r="AJ100" s="18">
        <v>1.93896</v>
      </c>
      <c r="AK100" s="18">
        <v>1.94</v>
      </c>
      <c r="AL100" s="18">
        <v>1.9410499999999999</v>
      </c>
      <c r="AM100" s="18">
        <v>1.9420900000000001</v>
      </c>
      <c r="AN100" s="18">
        <v>1.94313</v>
      </c>
      <c r="AO100" s="18">
        <v>1.94418</v>
      </c>
      <c r="AP100" s="18">
        <v>1.9452199999999999</v>
      </c>
      <c r="AQ100" s="19">
        <v>1.9462699999999999</v>
      </c>
    </row>
    <row r="101" spans="1:43" ht="13.5" thickBot="1" x14ac:dyDescent="0.25">
      <c r="A101" s="17">
        <v>2000</v>
      </c>
      <c r="B101" s="20">
        <v>1.9254800000000001</v>
      </c>
      <c r="C101" s="20">
        <v>1.9244699999999999</v>
      </c>
      <c r="D101" s="20">
        <v>1.92347</v>
      </c>
      <c r="E101" s="20">
        <v>1.9224600000000001</v>
      </c>
      <c r="F101" s="20">
        <v>1.9214599999999999</v>
      </c>
      <c r="G101" s="20">
        <v>1.9204600000000001</v>
      </c>
      <c r="H101" s="20">
        <v>1.9194500000000001</v>
      </c>
      <c r="I101" s="20">
        <v>1.9184399999999999</v>
      </c>
      <c r="J101" s="20">
        <v>1.91744</v>
      </c>
      <c r="K101" s="20">
        <v>1.9164300000000001</v>
      </c>
      <c r="L101" s="20">
        <v>1.9154199999999999</v>
      </c>
      <c r="M101" s="20">
        <v>1.9144099999999999</v>
      </c>
      <c r="N101" s="20">
        <v>1.9134</v>
      </c>
      <c r="O101" s="20">
        <v>1.91239</v>
      </c>
      <c r="P101" s="20">
        <v>1.91137</v>
      </c>
      <c r="Q101" s="20">
        <v>1.9103600000000001</v>
      </c>
      <c r="R101" s="20">
        <v>1.90934</v>
      </c>
      <c r="S101" s="20">
        <v>1.9083300000000001</v>
      </c>
      <c r="T101" s="20">
        <v>1.9073100000000001</v>
      </c>
      <c r="U101" s="21">
        <v>1.90629</v>
      </c>
      <c r="W101" s="17">
        <v>2000</v>
      </c>
      <c r="X101" s="20">
        <v>1.92747</v>
      </c>
      <c r="Y101" s="20">
        <v>1.9284699999999999</v>
      </c>
      <c r="Z101" s="20">
        <v>1.92947</v>
      </c>
      <c r="AA101" s="20">
        <v>1.93049</v>
      </c>
      <c r="AB101" s="20">
        <v>1.9314899999999999</v>
      </c>
      <c r="AC101" s="20">
        <v>1.93249</v>
      </c>
      <c r="AD101" s="20">
        <v>1.9335</v>
      </c>
      <c r="AE101" s="20">
        <v>1.93451</v>
      </c>
      <c r="AF101" s="20">
        <v>1.9355199999999999</v>
      </c>
      <c r="AG101" s="20">
        <v>1.93652</v>
      </c>
      <c r="AH101" s="20">
        <v>1.93753</v>
      </c>
      <c r="AI101" s="20">
        <v>1.9385399999999999</v>
      </c>
      <c r="AJ101" s="20">
        <v>1.93957</v>
      </c>
      <c r="AK101" s="20">
        <v>1.94058</v>
      </c>
      <c r="AL101" s="20">
        <v>1.9415899999999999</v>
      </c>
      <c r="AM101" s="20">
        <v>1.9426099999999999</v>
      </c>
      <c r="AN101" s="20">
        <v>1.94363</v>
      </c>
      <c r="AO101" s="20">
        <v>1.9446399999999999</v>
      </c>
      <c r="AP101" s="20">
        <v>1.9456599999999999</v>
      </c>
      <c r="AQ101" s="21">
        <v>1.94668</v>
      </c>
    </row>
  </sheetData>
  <sheetProtection password="8679" sheet="1" objects="1" scenarios="1" selectLockedCells="1" selectUnlockedCells="1"/>
  <phoneticPr fontId="26" type="noConversion"/>
  <pageMargins left="0.75" right="0.75" top="1" bottom="1" header="0.5" footer="0.5"/>
  <pageSetup scale="50" fitToWidth="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Q108"/>
  <sheetViews>
    <sheetView showGridLines="0" topLeftCell="H37" zoomScale="80" zoomScaleNormal="80" workbookViewId="0">
      <selection activeCell="O42" sqref="O42"/>
    </sheetView>
  </sheetViews>
  <sheetFormatPr defaultColWidth="11.1640625" defaultRowHeight="12.75" x14ac:dyDescent="0.2"/>
  <cols>
    <col min="1" max="6" width="19.33203125" style="145" customWidth="1"/>
    <col min="7" max="7" width="19.33203125" style="144" customWidth="1"/>
    <col min="8" max="8" width="4.33203125" style="169" customWidth="1"/>
    <col min="9" max="9" width="2.83203125" style="144" customWidth="1"/>
    <col min="10" max="10" width="4.33203125" style="144" customWidth="1"/>
    <col min="11" max="15" width="23.1640625" style="144" customWidth="1"/>
    <col min="16" max="16" width="23.1640625" style="169" customWidth="1"/>
    <col min="17" max="17" width="23.1640625" style="144" customWidth="1"/>
    <col min="18" max="18" width="21" style="144" bestFit="1" customWidth="1"/>
    <col min="19" max="19" width="30.6640625" style="144" bestFit="1" customWidth="1"/>
    <col min="20" max="20" width="27.83203125" style="144" bestFit="1" customWidth="1"/>
    <col min="21" max="21" width="8.5" style="144" bestFit="1" customWidth="1"/>
    <col min="22" max="22" width="18.83203125" style="144" bestFit="1" customWidth="1"/>
    <col min="23" max="23" width="15.33203125" style="144" bestFit="1" customWidth="1"/>
    <col min="24" max="25" width="11.6640625" style="144" customWidth="1"/>
    <col min="26" max="16384" width="11.1640625" style="144"/>
  </cols>
  <sheetData>
    <row r="1" spans="1:17" ht="17.25" customHeight="1" x14ac:dyDescent="0.2">
      <c r="A1" s="796" t="s">
        <v>153</v>
      </c>
      <c r="B1" s="797"/>
      <c r="C1" s="797"/>
      <c r="D1" s="797"/>
      <c r="E1" s="797"/>
      <c r="F1" s="797"/>
      <c r="G1" s="798"/>
      <c r="I1" s="336"/>
      <c r="K1" s="796" t="s">
        <v>154</v>
      </c>
      <c r="L1" s="797"/>
      <c r="M1" s="797"/>
      <c r="N1" s="797"/>
      <c r="O1" s="276"/>
      <c r="P1" s="276"/>
      <c r="Q1" s="276"/>
    </row>
    <row r="2" spans="1:17" ht="16.5" customHeight="1" thickBot="1" x14ac:dyDescent="0.25">
      <c r="A2" s="337"/>
      <c r="B2" s="337"/>
      <c r="C2" s="337"/>
      <c r="D2" s="337"/>
      <c r="E2" s="337"/>
      <c r="F2" s="337"/>
      <c r="G2" s="168"/>
      <c r="H2" s="149"/>
      <c r="I2" s="168"/>
      <c r="J2" s="168"/>
      <c r="K2" s="168"/>
      <c r="L2" s="168"/>
      <c r="M2" s="168"/>
      <c r="N2" s="168"/>
    </row>
    <row r="3" spans="1:17" ht="15.75" customHeight="1" x14ac:dyDescent="0.2">
      <c r="A3" s="796" t="str">
        <f>'Input - Customer Data'!A13</f>
        <v>Residential</v>
      </c>
      <c r="B3" s="797"/>
      <c r="C3" s="797"/>
      <c r="D3" s="797"/>
      <c r="E3" s="797"/>
      <c r="F3" s="797"/>
      <c r="G3" s="798"/>
      <c r="H3" s="174"/>
      <c r="I3" s="336"/>
      <c r="K3" s="796" t="str">
        <f>'Input - Customer Data'!A15</f>
        <v>General Service &gt; 50 to 2999 kW</v>
      </c>
      <c r="L3" s="797"/>
      <c r="M3" s="797"/>
      <c r="N3" s="798"/>
      <c r="P3" s="174"/>
    </row>
    <row r="4" spans="1:17" ht="26.25" thickBot="1" x14ac:dyDescent="0.25">
      <c r="A4" s="271" t="s">
        <v>80</v>
      </c>
      <c r="B4" s="272" t="s">
        <v>171</v>
      </c>
      <c r="C4" s="272" t="s">
        <v>172</v>
      </c>
      <c r="D4" s="371" t="s">
        <v>106</v>
      </c>
      <c r="E4" s="371" t="s">
        <v>295</v>
      </c>
      <c r="F4" s="272" t="s">
        <v>173</v>
      </c>
      <c r="G4" s="273" t="s">
        <v>104</v>
      </c>
      <c r="H4" s="173"/>
      <c r="I4" s="336"/>
      <c r="K4" s="259" t="s">
        <v>80</v>
      </c>
      <c r="L4" s="258" t="s">
        <v>81</v>
      </c>
      <c r="M4" s="260" t="s">
        <v>82</v>
      </c>
      <c r="N4" s="260" t="s">
        <v>110</v>
      </c>
      <c r="P4" s="173"/>
    </row>
    <row r="5" spans="1:17" x14ac:dyDescent="0.2">
      <c r="A5" s="520">
        <f>'Input - Customer Data'!E6</f>
        <v>2008</v>
      </c>
      <c r="B5" s="521">
        <f>SUM('Input - Customer Data'!G32:G43)</f>
        <v>44267125.530000001</v>
      </c>
      <c r="C5" s="521">
        <f>SUM('Input - Adjustments &amp; Variables'!H5:H16)</f>
        <v>147644590.16999999</v>
      </c>
      <c r="D5" s="522">
        <f t="shared" ref="D5:D13" si="0">B5/C5</f>
        <v>0.29982219788093983</v>
      </c>
      <c r="E5" s="523">
        <f>SUM(Forecast!C4:C15)</f>
        <v>142745764.07020909</v>
      </c>
      <c r="F5" s="274">
        <f>E5*D5</f>
        <v>42798348.721724182</v>
      </c>
      <c r="G5" s="275">
        <f>F5/'Input - Customer Data'!F6</f>
        <v>7729.5193645880772</v>
      </c>
      <c r="H5" s="175"/>
      <c r="I5" s="336"/>
      <c r="K5" s="527">
        <f>'Input - Customer Data'!E6</f>
        <v>2008</v>
      </c>
      <c r="L5" s="525">
        <f>'Bridge&amp;Test Year Class Forecast'!B59</f>
        <v>66898820.390000001</v>
      </c>
      <c r="M5" s="525">
        <f>SUM('Input - Customer Data'!L32:L43)</f>
        <v>169386.36000000002</v>
      </c>
      <c r="N5" s="528">
        <f>M5/L5</f>
        <v>2.5319782772331182E-3</v>
      </c>
      <c r="P5" s="175"/>
    </row>
    <row r="6" spans="1:17" x14ac:dyDescent="0.2">
      <c r="A6" s="524">
        <f>'Input - Customer Data'!E7</f>
        <v>2009</v>
      </c>
      <c r="B6" s="525">
        <f>SUM('Input - Customer Data'!G44:G55)</f>
        <v>43775753.410000004</v>
      </c>
      <c r="C6" s="525">
        <f>SUM('Input - Adjustments &amp; Variables'!H17:H28)</f>
        <v>139894245.88</v>
      </c>
      <c r="D6" s="526">
        <f t="shared" si="0"/>
        <v>0.31292032874283082</v>
      </c>
      <c r="E6" s="523">
        <f>SUM(Forecast!C16:C27)</f>
        <v>140745147.02880377</v>
      </c>
      <c r="F6" s="183">
        <f>E6*D6</f>
        <v>44042017.677211337</v>
      </c>
      <c r="G6" s="182">
        <f>F6/'Input - Customer Data'!F7</f>
        <v>7887.1808161195086</v>
      </c>
      <c r="H6" s="175"/>
      <c r="I6" s="336"/>
      <c r="K6" s="527">
        <f>'Input - Customer Data'!E7</f>
        <v>2009</v>
      </c>
      <c r="L6" s="525">
        <f>'Bridge&amp;Test Year Class Forecast'!B60</f>
        <v>62407115.030000001</v>
      </c>
      <c r="M6" s="525">
        <f>SUM('Input - Customer Data'!L44:L55)</f>
        <v>169024.12999999998</v>
      </c>
      <c r="N6" s="528">
        <f>M6/L6</f>
        <v>2.7084112111054586E-3</v>
      </c>
      <c r="P6" s="175"/>
    </row>
    <row r="7" spans="1:17" x14ac:dyDescent="0.2">
      <c r="A7" s="524">
        <f>'Input - Customer Data'!E8</f>
        <v>2010</v>
      </c>
      <c r="B7" s="525">
        <f>SUM('Input - Customer Data'!G56:G67)</f>
        <v>45093297.219999999</v>
      </c>
      <c r="C7" s="525">
        <f>SUM('Input - Adjustments &amp; Variables'!H29:H40)</f>
        <v>141140527.69999999</v>
      </c>
      <c r="D7" s="526">
        <f t="shared" si="0"/>
        <v>0.31949219657055317</v>
      </c>
      <c r="E7" s="523">
        <f>SUM(Forecast!C28:C39)</f>
        <v>143068308.5514479</v>
      </c>
      <c r="F7" s="183">
        <f t="shared" ref="F7:F16" si="1">E7*D7</f>
        <v>45709208.158735745</v>
      </c>
      <c r="G7" s="182">
        <f>F7/'Input - Customer Data'!F8</f>
        <v>8094.4232616850977</v>
      </c>
      <c r="H7" s="175"/>
      <c r="I7" s="336"/>
      <c r="K7" s="527">
        <f>'Input - Customer Data'!E8</f>
        <v>2010</v>
      </c>
      <c r="L7" s="525">
        <f>'Bridge&amp;Test Year Class Forecast'!B61</f>
        <v>64376683.749999993</v>
      </c>
      <c r="M7" s="525">
        <f>SUM('Input - Customer Data'!L56:L67)</f>
        <v>170203.1</v>
      </c>
      <c r="N7" s="528">
        <f t="shared" ref="N7:N16" si="2">M7/L7</f>
        <v>2.6438624993633665E-3</v>
      </c>
      <c r="P7" s="175"/>
    </row>
    <row r="8" spans="1:17" x14ac:dyDescent="0.2">
      <c r="A8" s="524">
        <f>'Input - Customer Data'!E9</f>
        <v>2011</v>
      </c>
      <c r="B8" s="525">
        <f>SUM('Input - Customer Data'!G68:G79)</f>
        <v>44251862.370000005</v>
      </c>
      <c r="C8" s="525">
        <f>SUM('Input - Adjustments &amp; Variables'!H41:H52)</f>
        <v>140278908</v>
      </c>
      <c r="D8" s="526">
        <f t="shared" si="0"/>
        <v>0.31545627921483393</v>
      </c>
      <c r="E8" s="523">
        <f>SUM(Forecast!C40:C51)</f>
        <v>143978528.4159154</v>
      </c>
      <c r="F8" s="183">
        <f t="shared" si="1"/>
        <v>45418930.860911913</v>
      </c>
      <c r="G8" s="182">
        <f>F8/'Input - Customer Data'!F9</f>
        <v>7955.6718971644623</v>
      </c>
      <c r="H8" s="175"/>
      <c r="I8" s="336"/>
      <c r="K8" s="527">
        <f>'Input - Customer Data'!E9</f>
        <v>2011</v>
      </c>
      <c r="L8" s="525">
        <f>'Bridge&amp;Test Year Class Forecast'!B62</f>
        <v>61442756.449999988</v>
      </c>
      <c r="M8" s="525">
        <f>SUM('Input - Customer Data'!L68:L79)</f>
        <v>160989.06</v>
      </c>
      <c r="N8" s="528">
        <f t="shared" si="2"/>
        <v>2.6201470979090495E-3</v>
      </c>
      <c r="P8" s="175"/>
    </row>
    <row r="9" spans="1:17" x14ac:dyDescent="0.2">
      <c r="A9" s="185">
        <f>'Input - Customer Data'!E10</f>
        <v>2012</v>
      </c>
      <c r="B9" s="183">
        <f>SUM('Input - Customer Data'!G80:G91)</f>
        <v>45223786</v>
      </c>
      <c r="C9" s="183">
        <f>SUM('Input - Adjustments &amp; Variables'!H53:H64)</f>
        <v>143716822.60000002</v>
      </c>
      <c r="D9" s="184">
        <f t="shared" si="0"/>
        <v>0.31467287671582572</v>
      </c>
      <c r="E9" s="186">
        <f>SUM(Forecast!C52:C63)</f>
        <v>143496616.94985288</v>
      </c>
      <c r="F9" s="183">
        <f t="shared" si="1"/>
        <v>45154493.254599124</v>
      </c>
      <c r="G9" s="182">
        <f>F9/'Input - Customer Data'!F10</f>
        <v>7778.5518095777988</v>
      </c>
      <c r="H9" s="175"/>
      <c r="I9" s="336"/>
      <c r="K9" s="200">
        <f>'Input - Customer Data'!E10</f>
        <v>2012</v>
      </c>
      <c r="L9" s="183">
        <f>'Bridge&amp;Test Year Class Forecast'!B63</f>
        <v>63286610</v>
      </c>
      <c r="M9" s="183">
        <f>SUM('Input - Customer Data'!L80:L91)</f>
        <v>164083.79999999999</v>
      </c>
      <c r="N9" s="201">
        <f t="shared" si="2"/>
        <v>2.5927095794829268E-3</v>
      </c>
      <c r="P9" s="175"/>
    </row>
    <row r="10" spans="1:17" x14ac:dyDescent="0.2">
      <c r="A10" s="185">
        <f>'Input - Customer Data'!E11</f>
        <v>2013</v>
      </c>
      <c r="B10" s="183">
        <f>SUM('Input - Customer Data'!G92:G103)</f>
        <v>46477809</v>
      </c>
      <c r="C10" s="183">
        <f>SUM('Input - Adjustments &amp; Variables'!H65:H76)</f>
        <v>146666557.58999997</v>
      </c>
      <c r="D10" s="184">
        <f t="shared" si="0"/>
        <v>0.31689438794852409</v>
      </c>
      <c r="E10" s="523">
        <f>SUM(Forecast!C64:C75)</f>
        <v>144472247.66218883</v>
      </c>
      <c r="F10" s="183">
        <f t="shared" si="1"/>
        <v>45782444.498456918</v>
      </c>
      <c r="G10" s="182">
        <f>F10/'Input - Customer Data'!F11</f>
        <v>7744.6408692306386</v>
      </c>
      <c r="H10" s="175"/>
      <c r="I10" s="336"/>
      <c r="K10" s="200">
        <f>'Input - Customer Data'!E11</f>
        <v>2013</v>
      </c>
      <c r="L10" s="183">
        <f>'Bridge&amp;Test Year Class Forecast'!B64</f>
        <v>60663507</v>
      </c>
      <c r="M10" s="183">
        <f>SUM('Input - Customer Data'!L92:L103)</f>
        <v>165373.30000000002</v>
      </c>
      <c r="N10" s="201">
        <f t="shared" si="2"/>
        <v>2.7260754970859172E-3</v>
      </c>
      <c r="P10" s="175"/>
    </row>
    <row r="11" spans="1:17" x14ac:dyDescent="0.2">
      <c r="A11" s="185">
        <f>'Input - Customer Data'!E12</f>
        <v>2014</v>
      </c>
      <c r="B11" s="183">
        <f>SUM('Input - Customer Data'!G104:G115)</f>
        <v>46177614</v>
      </c>
      <c r="C11" s="183">
        <f>SUM('Input - Adjustments &amp; Variables'!H77:H88)</f>
        <v>145618385.03</v>
      </c>
      <c r="D11" s="184">
        <f t="shared" si="0"/>
        <v>0.31711390007852774</v>
      </c>
      <c r="E11" s="523">
        <f>SUM(Forecast!C76:C87)</f>
        <v>144603820.11636949</v>
      </c>
      <c r="F11" s="183">
        <f t="shared" si="1"/>
        <v>45855881.363355793</v>
      </c>
      <c r="G11" s="182">
        <f>F11/'Input - Customer Data'!F12</f>
        <v>7711.4069390996037</v>
      </c>
      <c r="H11" s="175"/>
      <c r="I11" s="336"/>
      <c r="K11" s="200">
        <f>'Input - Customer Data'!E12</f>
        <v>2014</v>
      </c>
      <c r="L11" s="183">
        <f>'Bridge&amp;Test Year Class Forecast'!B65</f>
        <v>55013692</v>
      </c>
      <c r="M11" s="183">
        <f>SUM('Input - Customer Data'!L104:L115)</f>
        <v>154259.70000000001</v>
      </c>
      <c r="N11" s="201">
        <f t="shared" si="2"/>
        <v>2.8040237692100361E-3</v>
      </c>
      <c r="P11" s="175"/>
    </row>
    <row r="12" spans="1:17" x14ac:dyDescent="0.2">
      <c r="A12" s="185">
        <f>'Input - Customer Data'!E13</f>
        <v>2015</v>
      </c>
      <c r="B12" s="183">
        <f>SUM('Input - Customer Data'!G116:G127)</f>
        <v>45098159</v>
      </c>
      <c r="C12" s="183">
        <f>SUM('Input - Adjustments &amp; Variables'!H89:H100)</f>
        <v>142900769.78999999</v>
      </c>
      <c r="D12" s="184">
        <f t="shared" si="0"/>
        <v>0.31559073520929282</v>
      </c>
      <c r="E12" s="523">
        <f>SUM(Forecast!C88:C99)</f>
        <v>144146024.823457</v>
      </c>
      <c r="F12" s="183">
        <f t="shared" si="1"/>
        <v>45491149.951531768</v>
      </c>
      <c r="G12" s="182">
        <f>F12/'Input - Customer Data'!F13</f>
        <v>7631.4628336741771</v>
      </c>
      <c r="H12" s="175"/>
      <c r="I12" s="336"/>
      <c r="K12" s="200">
        <f>'Input - Customer Data'!E13</f>
        <v>2015</v>
      </c>
      <c r="L12" s="183">
        <f>'Bridge&amp;Test Year Class Forecast'!B66</f>
        <v>52447595</v>
      </c>
      <c r="M12" s="183">
        <f>SUM('Input - Customer Data'!L116:L127)</f>
        <v>148977.29999999999</v>
      </c>
      <c r="N12" s="201">
        <f t="shared" si="2"/>
        <v>2.8404982154091145E-3</v>
      </c>
      <c r="P12" s="175"/>
    </row>
    <row r="13" spans="1:17" x14ac:dyDescent="0.2">
      <c r="A13" s="185">
        <f>'Input - Customer Data'!E14</f>
        <v>2016</v>
      </c>
      <c r="B13" s="183">
        <f>SUM('Input - Customer Data'!G128:G139)</f>
        <v>44914361</v>
      </c>
      <c r="C13" s="183">
        <f>SUM('Input - Adjustments &amp; Variables'!H101:H112)</f>
        <v>143959401.24000001</v>
      </c>
      <c r="D13" s="184">
        <f t="shared" si="0"/>
        <v>0.31199324679825263</v>
      </c>
      <c r="E13" s="523">
        <f>SUM(Forecast!C100:C111)</f>
        <v>144563750.38198498</v>
      </c>
      <c r="F13" s="183">
        <f t="shared" si="1"/>
        <v>45102913.851007625</v>
      </c>
      <c r="G13" s="182">
        <f>F13/'Input - Customer Data'!F14</f>
        <v>7531.5878518840491</v>
      </c>
      <c r="H13" s="175"/>
      <c r="I13" s="336"/>
      <c r="K13" s="200">
        <f>'Input - Customer Data'!E14</f>
        <v>2016</v>
      </c>
      <c r="L13" s="183">
        <f>'Bridge&amp;Test Year Class Forecast'!B67</f>
        <v>50553990</v>
      </c>
      <c r="M13" s="183">
        <f>SUM('Input - Customer Data'!L128:L139)</f>
        <v>145124.19999999998</v>
      </c>
      <c r="N13" s="201">
        <f>M13/L13</f>
        <v>2.8706774677923538E-3</v>
      </c>
      <c r="P13" s="175"/>
    </row>
    <row r="14" spans="1:17" x14ac:dyDescent="0.2">
      <c r="A14" s="457">
        <f>'Input - Customer Data'!E19</f>
        <v>2017</v>
      </c>
      <c r="B14" s="449">
        <f>SUM('Input - Customer Data'!G140:G151)</f>
        <v>0</v>
      </c>
      <c r="C14" s="449">
        <f>SUM('Input - Adjustments &amp; Variables'!H113:H124)</f>
        <v>0</v>
      </c>
      <c r="D14" s="454">
        <f>AVERAGE(D5:D13)</f>
        <v>0.31377290546217568</v>
      </c>
      <c r="E14" s="458">
        <f>SUM(Forecast!C112:C123)</f>
        <v>145032041.76362807</v>
      </c>
      <c r="F14" s="449">
        <f>E14*D14</f>
        <v>45507125.129285187</v>
      </c>
      <c r="G14" s="452">
        <f>F14/'Input - Customer Data'!F24</f>
        <v>7524.9896170804914</v>
      </c>
      <c r="H14" s="175"/>
      <c r="I14" s="336"/>
      <c r="K14" s="460">
        <f>'Input - Customer Data'!E19</f>
        <v>2017</v>
      </c>
      <c r="L14" s="449">
        <f>'Bridge&amp;Test Year Class Forecast'!F68</f>
        <v>60321817.186956406</v>
      </c>
      <c r="M14" s="449">
        <f>L14*N18</f>
        <v>163126.16966948824</v>
      </c>
      <c r="N14" s="450">
        <f>M14/L14</f>
        <v>2.7042648460657045E-3</v>
      </c>
      <c r="P14" s="175"/>
    </row>
    <row r="15" spans="1:17" x14ac:dyDescent="0.2">
      <c r="A15" s="459">
        <f>'Input - Customer Data'!E20</f>
        <v>2018</v>
      </c>
      <c r="B15" s="455"/>
      <c r="C15" s="456" t="s">
        <v>107</v>
      </c>
      <c r="D15" s="454">
        <f>AVERAGE(D5:D14)</f>
        <v>0.31377290546217568</v>
      </c>
      <c r="E15" s="458">
        <f>SUM(Forecast!C124:C135)</f>
        <v>145335432.77389887</v>
      </c>
      <c r="F15" s="449">
        <f>E15*D15</f>
        <v>45602321.008068956</v>
      </c>
      <c r="G15" s="452">
        <f>F15/'Input - Customer Data'!F25</f>
        <v>7467.2039091906308</v>
      </c>
      <c r="H15" s="175"/>
      <c r="I15" s="336"/>
      <c r="K15" s="462">
        <f>'Input - Customer Data'!E20</f>
        <v>2018</v>
      </c>
      <c r="L15" s="449">
        <f>'Bridge&amp;Test Year Class Forecast'!F69</f>
        <v>60448003.765006162</v>
      </c>
      <c r="M15" s="449">
        <f>L15*$N$18</f>
        <v>163467.41159655352</v>
      </c>
      <c r="N15" s="450">
        <f>M15/L15</f>
        <v>2.7042648460657045E-3</v>
      </c>
      <c r="P15" s="175"/>
    </row>
    <row r="16" spans="1:17" ht="13.5" thickBot="1" x14ac:dyDescent="0.25">
      <c r="A16" s="380">
        <f>'Input - Customer Data'!E20</f>
        <v>2018</v>
      </c>
      <c r="B16" s="381"/>
      <c r="C16" s="381"/>
      <c r="D16" s="382">
        <f>D15</f>
        <v>0.31377290546217568</v>
      </c>
      <c r="E16" s="383">
        <f>SUM(Forecast!C136:C147)</f>
        <v>0</v>
      </c>
      <c r="F16" s="384">
        <f t="shared" si="1"/>
        <v>0</v>
      </c>
      <c r="G16" s="385" t="e">
        <f>F16/'Input - Customer Data'!F15</f>
        <v>#DIV/0!</v>
      </c>
      <c r="H16" s="175"/>
      <c r="I16" s="336"/>
      <c r="K16" s="377">
        <f>'Input - Customer Data'!E20</f>
        <v>2018</v>
      </c>
      <c r="L16" s="378">
        <f>'Bridge&amp;Test Year Class Forecast'!F70</f>
        <v>0</v>
      </c>
      <c r="M16" s="378">
        <f>L16*$N$18</f>
        <v>0</v>
      </c>
      <c r="N16" s="379" t="e">
        <f t="shared" si="2"/>
        <v>#DIV/0!</v>
      </c>
      <c r="P16" s="175"/>
    </row>
    <row r="17" spans="1:16" x14ac:dyDescent="0.2">
      <c r="A17" s="261"/>
      <c r="B17" s="181"/>
      <c r="C17" s="181"/>
      <c r="D17" s="179"/>
      <c r="E17" s="180"/>
      <c r="F17" s="177"/>
      <c r="G17" s="262"/>
      <c r="H17" s="149"/>
      <c r="I17" s="336"/>
      <c r="K17" s="199"/>
      <c r="L17" s="183"/>
      <c r="M17" s="370"/>
      <c r="N17" s="198"/>
    </row>
    <row r="18" spans="1:16" x14ac:dyDescent="0.2">
      <c r="A18" s="261"/>
      <c r="B18" s="181"/>
      <c r="C18" s="181"/>
      <c r="D18" s="179"/>
      <c r="E18" s="180"/>
      <c r="F18" s="177"/>
      <c r="G18" s="262"/>
      <c r="H18" s="149"/>
      <c r="I18" s="336"/>
      <c r="K18" s="195" t="s">
        <v>107</v>
      </c>
      <c r="L18" s="194"/>
      <c r="M18" s="194"/>
      <c r="N18" s="196">
        <f>AVERAGE(N5:N13)</f>
        <v>2.7042648460657045E-3</v>
      </c>
    </row>
    <row r="19" spans="1:16" ht="13.5" thickBot="1" x14ac:dyDescent="0.25">
      <c r="A19" s="261"/>
      <c r="B19" s="181"/>
      <c r="C19" s="181"/>
      <c r="D19" s="179"/>
      <c r="E19" s="180"/>
      <c r="F19" s="177"/>
      <c r="G19" s="262"/>
      <c r="H19" s="149"/>
      <c r="I19" s="336"/>
      <c r="K19" s="191"/>
      <c r="L19" s="190"/>
      <c r="M19" s="190"/>
      <c r="N19" s="192"/>
    </row>
    <row r="20" spans="1:16" x14ac:dyDescent="0.2">
      <c r="A20" s="261"/>
      <c r="B20" s="181"/>
      <c r="C20" s="181"/>
      <c r="D20" s="179"/>
      <c r="E20" s="180"/>
      <c r="F20" s="177"/>
      <c r="G20" s="262"/>
      <c r="H20" s="149"/>
      <c r="I20" s="336"/>
    </row>
    <row r="21" spans="1:16" ht="15.75" thickBot="1" x14ac:dyDescent="0.25">
      <c r="A21" s="801" t="s">
        <v>103</v>
      </c>
      <c r="B21" s="802"/>
      <c r="C21" s="802"/>
      <c r="D21" s="802"/>
      <c r="E21" s="802"/>
      <c r="F21" s="802"/>
      <c r="G21" s="803"/>
      <c r="H21" s="175"/>
      <c r="I21" s="336"/>
      <c r="P21" s="175"/>
    </row>
    <row r="22" spans="1:16" ht="16.5" customHeight="1" thickBot="1" x14ac:dyDescent="0.25">
      <c r="A22" s="263"/>
      <c r="B22" s="176"/>
      <c r="C22" s="176"/>
      <c r="D22" s="176"/>
      <c r="E22" s="176"/>
      <c r="F22" s="176"/>
      <c r="G22" s="264"/>
      <c r="H22" s="175"/>
      <c r="I22" s="336"/>
      <c r="K22" s="796" t="str">
        <f>'Input - Customer Data'!A16</f>
        <v>General Service &gt; 3000 to 4999 kW</v>
      </c>
      <c r="L22" s="797"/>
      <c r="M22" s="797"/>
      <c r="N22" s="798"/>
      <c r="P22" s="175"/>
    </row>
    <row r="23" spans="1:16" ht="16.5" customHeight="1" thickBot="1" x14ac:dyDescent="0.25">
      <c r="A23" s="544" t="s">
        <v>64</v>
      </c>
      <c r="B23" s="545"/>
      <c r="C23" s="799" t="s">
        <v>101</v>
      </c>
      <c r="D23" s="545"/>
      <c r="E23" s="545"/>
      <c r="F23" s="545"/>
      <c r="G23" s="546"/>
      <c r="H23" s="174"/>
      <c r="I23" s="336"/>
      <c r="K23" s="259" t="s">
        <v>80</v>
      </c>
      <c r="L23" s="258" t="s">
        <v>81</v>
      </c>
      <c r="M23" s="260" t="s">
        <v>82</v>
      </c>
      <c r="N23" s="260" t="s">
        <v>110</v>
      </c>
      <c r="P23" s="144"/>
    </row>
    <row r="24" spans="1:16" ht="15" customHeight="1" x14ac:dyDescent="0.2">
      <c r="A24" s="547" t="s">
        <v>80</v>
      </c>
      <c r="B24" s="542" t="s">
        <v>100</v>
      </c>
      <c r="C24" s="800"/>
      <c r="D24" s="543" t="s">
        <v>98</v>
      </c>
      <c r="E24" s="542"/>
      <c r="F24" s="543"/>
      <c r="G24" s="203" t="s">
        <v>83</v>
      </c>
      <c r="H24" s="173"/>
      <c r="I24" s="336"/>
      <c r="K24" s="527" t="s">
        <v>206</v>
      </c>
      <c r="L24" s="525">
        <f>'Bridge&amp;Test Year Class Forecast'!B87</f>
        <v>21799117.200000003</v>
      </c>
      <c r="M24" s="525">
        <f>SUM('Input - Customer Data'!O32:O43)</f>
        <v>46155.200000000004</v>
      </c>
      <c r="N24" s="528">
        <f>M24/L24</f>
        <v>2.1172967499803155E-3</v>
      </c>
      <c r="P24" s="144"/>
    </row>
    <row r="25" spans="1:16" x14ac:dyDescent="0.2">
      <c r="A25" s="537"/>
      <c r="B25" s="370"/>
      <c r="C25" s="370"/>
      <c r="D25" s="370"/>
      <c r="E25" s="370"/>
      <c r="F25" s="370"/>
      <c r="G25" s="172"/>
      <c r="H25" s="171"/>
      <c r="I25" s="336"/>
      <c r="K25" s="527" t="s">
        <v>207</v>
      </c>
      <c r="L25" s="525">
        <f>'Bridge&amp;Test Year Class Forecast'!B88</f>
        <v>18664981.199999999</v>
      </c>
      <c r="M25" s="525">
        <f>SUM('Input - Customer Data'!O44:O55)</f>
        <v>42412.799999999996</v>
      </c>
      <c r="N25" s="528">
        <f t="shared" ref="N25:N34" si="3">M25/L25</f>
        <v>2.2723194599306639E-3</v>
      </c>
      <c r="P25" s="144"/>
    </row>
    <row r="26" spans="1:16" ht="13.5" thickBot="1" x14ac:dyDescent="0.25">
      <c r="A26" s="548"/>
      <c r="B26" s="369"/>
      <c r="C26" s="369"/>
      <c r="D26" s="369"/>
      <c r="E26" s="384"/>
      <c r="F26" s="384"/>
      <c r="G26" s="170"/>
      <c r="H26" s="171"/>
      <c r="I26" s="336"/>
      <c r="K26" s="527" t="s">
        <v>208</v>
      </c>
      <c r="L26" s="525">
        <f>'Bridge&amp;Test Year Class Forecast'!B89</f>
        <v>17729306.399999999</v>
      </c>
      <c r="M26" s="525">
        <f>SUM('Input - Customer Data'!O56:O67)</f>
        <v>44377.7</v>
      </c>
      <c r="N26" s="528">
        <f t="shared" si="3"/>
        <v>2.5030702836744928E-3</v>
      </c>
      <c r="P26" s="144"/>
    </row>
    <row r="27" spans="1:16" x14ac:dyDescent="0.2">
      <c r="A27" s="144"/>
      <c r="B27" s="144"/>
      <c r="C27" s="144"/>
      <c r="D27" s="144"/>
      <c r="E27" s="144"/>
      <c r="F27" s="144"/>
      <c r="I27" s="336"/>
      <c r="K27" s="527" t="s">
        <v>209</v>
      </c>
      <c r="L27" s="525">
        <f>'Bridge&amp;Test Year Class Forecast'!B90</f>
        <v>18104643.600000001</v>
      </c>
      <c r="M27" s="525">
        <f>SUM('Input - Customer Data'!O68:O79)</f>
        <v>44396.5</v>
      </c>
      <c r="N27" s="528">
        <f t="shared" si="3"/>
        <v>2.4522161817093157E-3</v>
      </c>
      <c r="P27" s="144"/>
    </row>
    <row r="28" spans="1:16" x14ac:dyDescent="0.2">
      <c r="I28" s="336"/>
      <c r="K28" s="527" t="s">
        <v>210</v>
      </c>
      <c r="L28" s="525">
        <f>'Bridge&amp;Test Year Class Forecast'!B91</f>
        <v>19950324</v>
      </c>
      <c r="M28" s="183">
        <f>SUM('Input - Customer Data'!O80:O91)</f>
        <v>45269.7</v>
      </c>
      <c r="N28" s="528">
        <f>M28/L28</f>
        <v>2.2691210428462212E-3</v>
      </c>
      <c r="P28" s="144"/>
    </row>
    <row r="29" spans="1:16" ht="16.5" customHeight="1" thickBot="1" x14ac:dyDescent="0.25">
      <c r="I29" s="336"/>
      <c r="K29" s="527" t="s">
        <v>211</v>
      </c>
      <c r="L29" s="525">
        <f>'Bridge&amp;Test Year Class Forecast'!B92</f>
        <v>18608986</v>
      </c>
      <c r="M29" s="183">
        <f>SUM('Input - Customer Data'!O92:O103)</f>
        <v>42815.399999999994</v>
      </c>
      <c r="N29" s="528">
        <f t="shared" si="3"/>
        <v>2.3007916712925675E-3</v>
      </c>
      <c r="P29" s="144"/>
    </row>
    <row r="30" spans="1:16" ht="15.75" customHeight="1" x14ac:dyDescent="0.2">
      <c r="A30" s="796" t="str">
        <f>'Input - Customer Data'!A14</f>
        <v>General Service &lt; 50 kW</v>
      </c>
      <c r="B30" s="797"/>
      <c r="C30" s="797"/>
      <c r="D30" s="797"/>
      <c r="E30" s="797"/>
      <c r="F30" s="797"/>
      <c r="G30" s="798"/>
      <c r="I30" s="336"/>
      <c r="K30" s="527" t="s">
        <v>212</v>
      </c>
      <c r="L30" s="525">
        <f>'Bridge&amp;Test Year Class Forecast'!B93</f>
        <v>18461823</v>
      </c>
      <c r="M30" s="183">
        <f>SUM('Input - Customer Data'!O104:O115)</f>
        <v>43263.5</v>
      </c>
      <c r="N30" s="528">
        <f t="shared" si="3"/>
        <v>2.3434034656274194E-3</v>
      </c>
      <c r="P30" s="144"/>
    </row>
    <row r="31" spans="1:16" ht="26.25" thickBot="1" x14ac:dyDescent="0.25">
      <c r="A31" s="259" t="s">
        <v>80</v>
      </c>
      <c r="B31" s="258" t="s">
        <v>152</v>
      </c>
      <c r="C31" s="258" t="s">
        <v>151</v>
      </c>
      <c r="D31" s="258" t="s">
        <v>106</v>
      </c>
      <c r="E31" s="258" t="s">
        <v>295</v>
      </c>
      <c r="F31" s="258" t="s">
        <v>105</v>
      </c>
      <c r="G31" s="260" t="s">
        <v>104</v>
      </c>
      <c r="I31" s="336"/>
      <c r="K31" s="527" t="s">
        <v>213</v>
      </c>
      <c r="L31" s="525">
        <f>'Bridge&amp;Test Year Class Forecast'!B94</f>
        <v>17295612</v>
      </c>
      <c r="M31" s="183">
        <f>SUM('Input - Customer Data'!O116:O127)</f>
        <v>41432.5</v>
      </c>
      <c r="N31" s="528">
        <f t="shared" si="3"/>
        <v>2.3955498076621978E-3</v>
      </c>
      <c r="P31" s="144"/>
    </row>
    <row r="32" spans="1:16" x14ac:dyDescent="0.2">
      <c r="A32" s="524">
        <f t="shared" ref="A32:A43" si="4">A5</f>
        <v>2008</v>
      </c>
      <c r="B32" s="523">
        <f>SUM('Input - Customer Data'!I32:I43)</f>
        <v>19599082.039999999</v>
      </c>
      <c r="C32" s="523">
        <f t="shared" ref="C32:C41" si="5">C5</f>
        <v>147644590.16999999</v>
      </c>
      <c r="D32" s="522">
        <f>B32/C32</f>
        <v>0.13274500621684376</v>
      </c>
      <c r="E32" s="523">
        <f>E5</f>
        <v>142745764.07020909</v>
      </c>
      <c r="F32" s="523">
        <f>E32*D32</f>
        <v>18948787.338928018</v>
      </c>
      <c r="G32" s="531">
        <f>F32/'Input - Customer Data'!H6</f>
        <v>27927.468443519556</v>
      </c>
      <c r="I32" s="336"/>
      <c r="K32" s="527" t="s">
        <v>214</v>
      </c>
      <c r="L32" s="525">
        <f>'Bridge&amp;Test Year Class Forecast'!B95</f>
        <v>18344949</v>
      </c>
      <c r="M32" s="183">
        <f>SUM('Input - Customer Data'!O128:O139)</f>
        <v>43591.000000000007</v>
      </c>
      <c r="N32" s="528">
        <f>M32/L32</f>
        <v>2.3761854012240647E-3</v>
      </c>
      <c r="P32" s="144"/>
    </row>
    <row r="33" spans="1:17" x14ac:dyDescent="0.2">
      <c r="A33" s="524">
        <f t="shared" si="4"/>
        <v>2009</v>
      </c>
      <c r="B33" s="525">
        <f>SUM('Input - Customer Data'!I44:I55)</f>
        <v>20149611.829999998</v>
      </c>
      <c r="C33" s="525">
        <f t="shared" si="5"/>
        <v>139894245.88</v>
      </c>
      <c r="D33" s="526">
        <f>B33/C33</f>
        <v>0.14403460058882014</v>
      </c>
      <c r="E33" s="525">
        <f t="shared" ref="E33:E43" si="6">E6</f>
        <v>140745147.02880377</v>
      </c>
      <c r="F33" s="525">
        <f>E33*D33</f>
        <v>20272171.037108518</v>
      </c>
      <c r="G33" s="529">
        <f>F33/'Input - Customer Data'!H7</f>
        <v>29231.681380113219</v>
      </c>
      <c r="I33" s="336"/>
      <c r="K33" s="527" t="s">
        <v>215</v>
      </c>
      <c r="L33" s="449">
        <f>'Bridge&amp;Test Year Class Forecast'!F96</f>
        <v>18961919.497176804</v>
      </c>
      <c r="M33" s="449">
        <f>L33*N37</f>
        <v>44307.588443321561</v>
      </c>
      <c r="N33" s="450">
        <f>M33/L33</f>
        <v>2.3366615626608063E-3</v>
      </c>
      <c r="P33" s="144"/>
    </row>
    <row r="34" spans="1:17" x14ac:dyDescent="0.2">
      <c r="A34" s="524">
        <f t="shared" si="4"/>
        <v>2010</v>
      </c>
      <c r="B34" s="525">
        <f>SUM('Input - Customer Data'!I56:I67)</f>
        <v>20409368.479999997</v>
      </c>
      <c r="C34" s="525">
        <f t="shared" si="5"/>
        <v>141140527.69999999</v>
      </c>
      <c r="D34" s="526">
        <f t="shared" ref="D34:D40" si="7">B34/C34</f>
        <v>0.14460317537837858</v>
      </c>
      <c r="E34" s="525">
        <f t="shared" si="6"/>
        <v>143068308.5514479</v>
      </c>
      <c r="F34" s="525">
        <f t="shared" ref="F34:F43" si="8">E34*D34</f>
        <v>20688131.712553002</v>
      </c>
      <c r="G34" s="529">
        <f>F34/'Input - Customer Data'!H8</f>
        <v>29407.43669161763</v>
      </c>
      <c r="I34" s="336"/>
      <c r="K34" s="462">
        <f>'Input - Customer Data'!E20</f>
        <v>2018</v>
      </c>
      <c r="L34" s="449">
        <f>'Bridge&amp;Test Year Class Forecast'!F97</f>
        <v>19001585.738118909</v>
      </c>
      <c r="M34" s="449">
        <f>L34*N37</f>
        <v>44400.275023866219</v>
      </c>
      <c r="N34" s="450">
        <f t="shared" si="3"/>
        <v>2.3366615626608063E-3</v>
      </c>
      <c r="P34" s="144"/>
    </row>
    <row r="35" spans="1:17" ht="13.15" customHeight="1" x14ac:dyDescent="0.2">
      <c r="A35" s="524">
        <f t="shared" si="4"/>
        <v>2011</v>
      </c>
      <c r="B35" s="525">
        <f>SUM('Input - Customer Data'!I68:I79)</f>
        <v>20583076.520000003</v>
      </c>
      <c r="C35" s="525">
        <f t="shared" si="5"/>
        <v>140278908</v>
      </c>
      <c r="D35" s="526">
        <f t="shared" si="7"/>
        <v>0.14672966031358045</v>
      </c>
      <c r="E35" s="525">
        <f t="shared" si="6"/>
        <v>143978528.4159154</v>
      </c>
      <c r="F35" s="525">
        <f t="shared" si="8"/>
        <v>21125920.566916458</v>
      </c>
      <c r="G35" s="529">
        <f>F35/'Input - Customer Data'!H9</f>
        <v>29817.813079628027</v>
      </c>
      <c r="I35" s="336"/>
      <c r="K35" s="377" t="s">
        <v>205</v>
      </c>
      <c r="L35" s="378">
        <f>'Bridge&amp;Test Year Class Forecast'!F70</f>
        <v>0</v>
      </c>
      <c r="M35" s="378">
        <f>L16*$N$18</f>
        <v>0</v>
      </c>
      <c r="N35" s="379" t="e">
        <f>M16/L16</f>
        <v>#DIV/0!</v>
      </c>
      <c r="P35" s="144"/>
    </row>
    <row r="36" spans="1:17" x14ac:dyDescent="0.2">
      <c r="A36" s="185">
        <f t="shared" si="4"/>
        <v>2012</v>
      </c>
      <c r="B36" s="183">
        <f>SUM('Input - Customer Data'!I80:I91)</f>
        <v>20304130</v>
      </c>
      <c r="C36" s="183">
        <f t="shared" si="5"/>
        <v>143716822.60000002</v>
      </c>
      <c r="D36" s="184">
        <f t="shared" si="7"/>
        <v>0.14127872877145001</v>
      </c>
      <c r="E36" s="183">
        <f t="shared" si="6"/>
        <v>143496616.94985288</v>
      </c>
      <c r="F36" s="183">
        <f t="shared" si="8"/>
        <v>20273019.625678923</v>
      </c>
      <c r="G36" s="182">
        <f>F36/'Input - Customer Data'!H10</f>
        <v>28654.444700606251</v>
      </c>
      <c r="I36" s="336"/>
      <c r="K36" s="199"/>
      <c r="L36" s="183"/>
      <c r="M36" s="370"/>
      <c r="N36" s="198"/>
      <c r="P36" s="144"/>
    </row>
    <row r="37" spans="1:17" x14ac:dyDescent="0.2">
      <c r="A37" s="185">
        <f t="shared" si="4"/>
        <v>2013</v>
      </c>
      <c r="B37" s="183">
        <f>SUM('Input - Customer Data'!I92:I103)</f>
        <v>20342402</v>
      </c>
      <c r="C37" s="183">
        <f t="shared" si="5"/>
        <v>146666557.58999997</v>
      </c>
      <c r="D37" s="184">
        <f t="shared" si="7"/>
        <v>0.13869829860510061</v>
      </c>
      <c r="E37" s="183">
        <f t="shared" si="6"/>
        <v>144472247.66218883</v>
      </c>
      <c r="F37" s="183">
        <f t="shared" si="8"/>
        <v>20038054.946400315</v>
      </c>
      <c r="G37" s="182">
        <f>F37/'Input - Customer Data'!H11</f>
        <v>28182.91834936753</v>
      </c>
      <c r="I37" s="336"/>
      <c r="K37" s="195" t="s">
        <v>107</v>
      </c>
      <c r="L37" s="194"/>
      <c r="M37" s="194"/>
      <c r="N37" s="196">
        <f>AVERAGE(N24:N32)</f>
        <v>2.3366615626608063E-3</v>
      </c>
      <c r="P37" s="144"/>
    </row>
    <row r="38" spans="1:17" ht="13.5" thickBot="1" x14ac:dyDescent="0.25">
      <c r="A38" s="185">
        <f t="shared" si="4"/>
        <v>2014</v>
      </c>
      <c r="B38" s="183">
        <f>SUM('Input - Customer Data'!I104:I115)</f>
        <v>20579869</v>
      </c>
      <c r="C38" s="183">
        <f t="shared" si="5"/>
        <v>145618385.03</v>
      </c>
      <c r="D38" s="184">
        <f t="shared" si="7"/>
        <v>0.14132740859445858</v>
      </c>
      <c r="E38" s="183">
        <f t="shared" si="6"/>
        <v>144603820.11636949</v>
      </c>
      <c r="F38" s="183">
        <f t="shared" si="8"/>
        <v>20436483.169905741</v>
      </c>
      <c r="G38" s="182">
        <f>F38/'Input - Customer Data'!H12</f>
        <v>28582.493943924113</v>
      </c>
      <c r="I38" s="336"/>
      <c r="K38" s="191"/>
      <c r="L38" s="190"/>
      <c r="M38" s="190"/>
      <c r="N38" s="192"/>
      <c r="P38" s="144"/>
    </row>
    <row r="39" spans="1:17" x14ac:dyDescent="0.2">
      <c r="A39" s="185">
        <f t="shared" si="4"/>
        <v>2015</v>
      </c>
      <c r="B39" s="183">
        <f>SUM('Input - Customer Data'!I116:I127)</f>
        <v>21387560</v>
      </c>
      <c r="C39" s="183">
        <f t="shared" si="5"/>
        <v>142900769.78999999</v>
      </c>
      <c r="D39" s="184">
        <f t="shared" si="7"/>
        <v>0.14966721334972594</v>
      </c>
      <c r="E39" s="183">
        <f t="shared" si="6"/>
        <v>144146024.823457</v>
      </c>
      <c r="F39" s="183">
        <f t="shared" si="8"/>
        <v>21573933.850767229</v>
      </c>
      <c r="G39" s="182">
        <f>F39/'Input - Customer Data'!H13</f>
        <v>29553.334042146889</v>
      </c>
      <c r="I39" s="336"/>
      <c r="P39" s="144"/>
    </row>
    <row r="40" spans="1:17" x14ac:dyDescent="0.2">
      <c r="A40" s="185">
        <f t="shared" si="4"/>
        <v>2016</v>
      </c>
      <c r="B40" s="183">
        <f>SUM('Input - Customer Data'!I128:I139)</f>
        <v>23270825</v>
      </c>
      <c r="C40" s="183">
        <f t="shared" si="5"/>
        <v>143959401.24000001</v>
      </c>
      <c r="D40" s="184">
        <f t="shared" si="7"/>
        <v>0.1616485259007458</v>
      </c>
      <c r="E40" s="183">
        <f t="shared" si="6"/>
        <v>144563750.38198498</v>
      </c>
      <c r="F40" s="183">
        <f>E40*D40</f>
        <v>23368517.147931248</v>
      </c>
      <c r="G40" s="182">
        <f>F40/'Input - Customer Data'!H14</f>
        <v>31515.19507475556</v>
      </c>
      <c r="I40" s="336"/>
    </row>
    <row r="41" spans="1:17" x14ac:dyDescent="0.2">
      <c r="A41" s="453">
        <f t="shared" si="4"/>
        <v>2017</v>
      </c>
      <c r="B41" s="449">
        <f>SUM('Input - Customer Data'!I140:I151)</f>
        <v>0</v>
      </c>
      <c r="C41" s="449">
        <f t="shared" si="5"/>
        <v>0</v>
      </c>
      <c r="D41" s="454">
        <f>AVERAGE(D32:D40)</f>
        <v>0.14452584641323377</v>
      </c>
      <c r="E41" s="449">
        <f t="shared" si="6"/>
        <v>145032041.76362807</v>
      </c>
      <c r="F41" s="449">
        <f t="shared" si="8"/>
        <v>20960878.592927814</v>
      </c>
      <c r="G41" s="452">
        <f>F41/'Input - Customer Data'!H19</f>
        <v>27956.201638331702</v>
      </c>
      <c r="I41" s="336"/>
    </row>
    <row r="42" spans="1:17" ht="13.5" thickBot="1" x14ac:dyDescent="0.25">
      <c r="A42" s="453">
        <f t="shared" si="4"/>
        <v>2018</v>
      </c>
      <c r="B42" s="455"/>
      <c r="C42" s="456" t="s">
        <v>107</v>
      </c>
      <c r="D42" s="454">
        <f>AVERAGE(D32:D41)</f>
        <v>0.14452584641323377</v>
      </c>
      <c r="E42" s="449">
        <f t="shared" si="6"/>
        <v>145335432.77389887</v>
      </c>
      <c r="F42" s="449">
        <f t="shared" si="8"/>
        <v>21004726.435481369</v>
      </c>
      <c r="G42" s="452">
        <f>F42/'Input - Customer Data'!H20</f>
        <v>27705.471688972913</v>
      </c>
      <c r="I42" s="336"/>
    </row>
    <row r="43" spans="1:17" ht="16.5" thickBot="1" x14ac:dyDescent="0.25">
      <c r="A43" s="380">
        <f t="shared" si="4"/>
        <v>2018</v>
      </c>
      <c r="B43" s="381"/>
      <c r="C43" s="381"/>
      <c r="D43" s="382">
        <f>D42</f>
        <v>0.14452584641323377</v>
      </c>
      <c r="E43" s="384">
        <f t="shared" si="6"/>
        <v>0</v>
      </c>
      <c r="F43" s="384">
        <f t="shared" si="8"/>
        <v>0</v>
      </c>
      <c r="G43" s="385" t="e">
        <f>F43/'Input - Customer Data'!H15</f>
        <v>#DIV/0!</v>
      </c>
      <c r="I43" s="336"/>
      <c r="K43" s="796" t="str">
        <f>'Input - Customer Data'!A17</f>
        <v>USL</v>
      </c>
      <c r="L43" s="797"/>
      <c r="M43" s="797"/>
      <c r="N43" s="797"/>
      <c r="O43" s="797"/>
      <c r="P43" s="797"/>
      <c r="Q43" s="798"/>
    </row>
    <row r="44" spans="1:17" ht="13.5" thickBot="1" x14ac:dyDescent="0.25">
      <c r="A44" s="265"/>
      <c r="B44" s="178"/>
      <c r="C44" s="178"/>
      <c r="D44" s="178"/>
      <c r="E44" s="178"/>
      <c r="F44" s="177"/>
      <c r="G44" s="262"/>
      <c r="I44" s="336"/>
      <c r="K44" s="259" t="s">
        <v>80</v>
      </c>
      <c r="L44" s="258" t="s">
        <v>81</v>
      </c>
      <c r="M44" s="260" t="s">
        <v>82</v>
      </c>
      <c r="N44" s="258" t="s">
        <v>109</v>
      </c>
      <c r="O44" s="258" t="s">
        <v>108</v>
      </c>
      <c r="P44" s="258" t="s">
        <v>111</v>
      </c>
      <c r="Q44" s="260" t="s">
        <v>110</v>
      </c>
    </row>
    <row r="45" spans="1:17" x14ac:dyDescent="0.2">
      <c r="A45" s="265"/>
      <c r="B45" s="178"/>
      <c r="C45" s="178"/>
      <c r="D45" s="178"/>
      <c r="E45" s="178"/>
      <c r="F45" s="177"/>
      <c r="G45" s="262"/>
      <c r="I45" s="336"/>
      <c r="K45" s="205" t="s">
        <v>59</v>
      </c>
      <c r="L45" s="204"/>
      <c r="M45" s="204"/>
      <c r="N45" s="204"/>
      <c r="O45" s="204"/>
      <c r="P45" s="204"/>
      <c r="Q45" s="203"/>
    </row>
    <row r="46" spans="1:17" x14ac:dyDescent="0.2">
      <c r="A46" s="265"/>
      <c r="B46" s="178"/>
      <c r="C46" s="178"/>
      <c r="D46" s="178"/>
      <c r="E46" s="178"/>
      <c r="F46" s="177"/>
      <c r="G46" s="262"/>
      <c r="I46" s="336"/>
      <c r="K46" s="527">
        <f>'Bridge&amp;Test Year Class Forecast'!K5</f>
        <v>2008</v>
      </c>
      <c r="L46" s="525">
        <f>SUM('Input - Customer Data'!Q32:Q43)</f>
        <v>401394.35</v>
      </c>
      <c r="M46" s="525"/>
      <c r="N46" s="525">
        <f>'Input - Customer Data'!N6</f>
        <v>2</v>
      </c>
      <c r="O46" s="525">
        <f>L46/N46</f>
        <v>200697.17499999999</v>
      </c>
      <c r="P46" s="530">
        <f>M46/N46</f>
        <v>0</v>
      </c>
      <c r="Q46" s="528">
        <f>M46/L46</f>
        <v>0</v>
      </c>
    </row>
    <row r="47" spans="1:17" x14ac:dyDescent="0.2">
      <c r="A47" s="265"/>
      <c r="B47" s="178"/>
      <c r="C47" s="178"/>
      <c r="D47" s="178"/>
      <c r="E47" s="178"/>
      <c r="F47" s="177"/>
      <c r="G47" s="262"/>
      <c r="I47" s="336"/>
      <c r="K47" s="527">
        <f>'Bridge&amp;Test Year Class Forecast'!K6</f>
        <v>2009</v>
      </c>
      <c r="L47" s="525">
        <f>SUM('Input - Customer Data'!Q44:Q55)</f>
        <v>400443.16000000003</v>
      </c>
      <c r="M47" s="525"/>
      <c r="N47" s="525">
        <f>'Input - Customer Data'!N7</f>
        <v>2</v>
      </c>
      <c r="O47" s="525">
        <f t="shared" ref="O47:O56" si="9">L47/N47</f>
        <v>200221.58000000002</v>
      </c>
      <c r="P47" s="530">
        <f t="shared" ref="P47:P53" si="10">M47/N47</f>
        <v>0</v>
      </c>
      <c r="Q47" s="528">
        <f t="shared" ref="Q47:Q57" si="11">M47/L47</f>
        <v>0</v>
      </c>
    </row>
    <row r="48" spans="1:17" ht="15" x14ac:dyDescent="0.2">
      <c r="A48" s="801" t="s">
        <v>103</v>
      </c>
      <c r="B48" s="802"/>
      <c r="C48" s="802"/>
      <c r="D48" s="802"/>
      <c r="E48" s="802"/>
      <c r="F48" s="802"/>
      <c r="G48" s="803"/>
      <c r="I48" s="336"/>
      <c r="K48" s="527">
        <f>'Bridge&amp;Test Year Class Forecast'!K7</f>
        <v>2010</v>
      </c>
      <c r="L48" s="525">
        <f>SUM('Input - Customer Data'!Q56:Q67)</f>
        <v>453001.43</v>
      </c>
      <c r="M48" s="525"/>
      <c r="N48" s="525">
        <f>'Input - Customer Data'!N8</f>
        <v>4</v>
      </c>
      <c r="O48" s="525">
        <f t="shared" si="9"/>
        <v>113250.3575</v>
      </c>
      <c r="P48" s="530">
        <f t="shared" si="10"/>
        <v>0</v>
      </c>
      <c r="Q48" s="528">
        <f t="shared" si="11"/>
        <v>0</v>
      </c>
    </row>
    <row r="49" spans="1:17" ht="13.5" thickBot="1" x14ac:dyDescent="0.25">
      <c r="A49" s="263"/>
      <c r="B49" s="176"/>
      <c r="C49" s="176"/>
      <c r="D49" s="176"/>
      <c r="E49" s="176"/>
      <c r="F49" s="176"/>
      <c r="G49" s="264"/>
      <c r="I49" s="336"/>
      <c r="K49" s="527">
        <f>'Bridge&amp;Test Year Class Forecast'!K8</f>
        <v>2011</v>
      </c>
      <c r="L49" s="525">
        <f>SUM('Input - Customer Data'!Q68:Q79)</f>
        <v>494005.7</v>
      </c>
      <c r="M49" s="525"/>
      <c r="N49" s="525">
        <f>'Input - Customer Data'!N9</f>
        <v>6</v>
      </c>
      <c r="O49" s="525">
        <f t="shared" si="9"/>
        <v>82334.28333333334</v>
      </c>
      <c r="P49" s="530">
        <f t="shared" si="10"/>
        <v>0</v>
      </c>
      <c r="Q49" s="528">
        <f t="shared" si="11"/>
        <v>0</v>
      </c>
    </row>
    <row r="50" spans="1:17" x14ac:dyDescent="0.2">
      <c r="A50" s="544" t="s">
        <v>102</v>
      </c>
      <c r="B50" s="545"/>
      <c r="C50" s="545"/>
      <c r="D50" s="545"/>
      <c r="E50" s="545"/>
      <c r="F50" s="545"/>
      <c r="G50" s="546"/>
      <c r="I50" s="336"/>
      <c r="K50" s="527">
        <f>'Bridge&amp;Test Year Class Forecast'!K9</f>
        <v>2012</v>
      </c>
      <c r="L50" s="525">
        <f>SUM('Input - Customer Data'!Q80:Q91)</f>
        <v>515381</v>
      </c>
      <c r="M50" s="525"/>
      <c r="N50" s="525">
        <f>'Input - Customer Data'!N10</f>
        <v>9.5</v>
      </c>
      <c r="O50" s="525">
        <f t="shared" si="9"/>
        <v>54250.631578947367</v>
      </c>
      <c r="P50" s="530">
        <f t="shared" si="10"/>
        <v>0</v>
      </c>
      <c r="Q50" s="528">
        <f t="shared" si="11"/>
        <v>0</v>
      </c>
    </row>
    <row r="51" spans="1:17" ht="12.75" customHeight="1" x14ac:dyDescent="0.2">
      <c r="A51" s="547" t="s">
        <v>80</v>
      </c>
      <c r="B51" s="542" t="s">
        <v>100</v>
      </c>
      <c r="C51" s="551" t="s">
        <v>99</v>
      </c>
      <c r="D51" s="549" t="s">
        <v>98</v>
      </c>
      <c r="E51" s="551"/>
      <c r="F51" s="549"/>
      <c r="G51" s="203" t="s">
        <v>83</v>
      </c>
      <c r="I51" s="336"/>
      <c r="K51" s="200">
        <f>'Bridge&amp;Test Year Class Forecast'!K10</f>
        <v>2013</v>
      </c>
      <c r="L51" s="183">
        <f>SUM('Input - Customer Data'!Q92:Q103)</f>
        <v>548400</v>
      </c>
      <c r="M51" s="183"/>
      <c r="N51" s="183">
        <f>'Input - Customer Data'!N11</f>
        <v>13</v>
      </c>
      <c r="O51" s="183">
        <f t="shared" si="9"/>
        <v>42184.615384615383</v>
      </c>
      <c r="P51" s="530">
        <f t="shared" si="10"/>
        <v>0</v>
      </c>
      <c r="Q51" s="201">
        <f t="shared" si="11"/>
        <v>0</v>
      </c>
    </row>
    <row r="52" spans="1:17" x14ac:dyDescent="0.2">
      <c r="A52" s="550"/>
      <c r="B52" s="370"/>
      <c r="C52" s="370"/>
      <c r="D52" s="370"/>
      <c r="E52" s="370"/>
      <c r="F52" s="370"/>
      <c r="G52" s="172"/>
      <c r="I52" s="336"/>
      <c r="K52" s="200">
        <f>'Bridge&amp;Test Year Class Forecast'!K11</f>
        <v>2014</v>
      </c>
      <c r="L52" s="183">
        <f>SUM('Input - Customer Data'!Q104:Q115)</f>
        <v>563396</v>
      </c>
      <c r="M52" s="183"/>
      <c r="N52" s="183">
        <f>'Input - Customer Data'!N12</f>
        <v>13</v>
      </c>
      <c r="O52" s="183">
        <f t="shared" si="9"/>
        <v>43338.153846153844</v>
      </c>
      <c r="P52" s="530">
        <f t="shared" si="10"/>
        <v>0</v>
      </c>
      <c r="Q52" s="201">
        <f t="shared" si="11"/>
        <v>0</v>
      </c>
    </row>
    <row r="53" spans="1:17" ht="13.5" thickBot="1" x14ac:dyDescent="0.25">
      <c r="A53" s="386"/>
      <c r="B53" s="387"/>
      <c r="C53" s="384"/>
      <c r="D53" s="384"/>
      <c r="E53" s="384"/>
      <c r="F53" s="384"/>
      <c r="G53" s="388"/>
      <c r="I53" s="336"/>
      <c r="K53" s="200">
        <f>'Bridge&amp;Test Year Class Forecast'!K12</f>
        <v>2015</v>
      </c>
      <c r="L53" s="183">
        <f>SUM('Input - Customer Data'!Q116:Q127)</f>
        <v>563839</v>
      </c>
      <c r="M53" s="183"/>
      <c r="N53" s="183">
        <f>'Input - Customer Data'!N13</f>
        <v>13</v>
      </c>
      <c r="O53" s="183">
        <f t="shared" si="9"/>
        <v>43372.230769230766</v>
      </c>
      <c r="P53" s="530">
        <f t="shared" si="10"/>
        <v>0</v>
      </c>
      <c r="Q53" s="201">
        <f t="shared" si="11"/>
        <v>0</v>
      </c>
    </row>
    <row r="54" spans="1:17" x14ac:dyDescent="0.2">
      <c r="I54" s="336"/>
      <c r="K54" s="200">
        <f>'Bridge&amp;Test Year Class Forecast'!K13</f>
        <v>2016</v>
      </c>
      <c r="L54" s="183">
        <f>SUM('Input - Customer Data'!Q128:Q139)</f>
        <v>562067</v>
      </c>
      <c r="M54" s="183"/>
      <c r="N54" s="183">
        <f>'Input - Customer Data'!N14</f>
        <v>13</v>
      </c>
      <c r="O54" s="183">
        <f>L54/N54</f>
        <v>43235.923076923078</v>
      </c>
      <c r="P54" s="530">
        <f>M54/N54</f>
        <v>0</v>
      </c>
      <c r="Q54" s="201">
        <f t="shared" si="11"/>
        <v>0</v>
      </c>
    </row>
    <row r="55" spans="1:17" x14ac:dyDescent="0.2">
      <c r="I55" s="336"/>
      <c r="K55" s="460">
        <f>'Bridge&amp;Test Year Class Forecast'!K14</f>
        <v>2017</v>
      </c>
      <c r="L55" s="449">
        <f>O58*N55</f>
        <v>559425.5</v>
      </c>
      <c r="M55" s="449"/>
      <c r="N55" s="449">
        <f>'Input - Customer Data'!N24</f>
        <v>13</v>
      </c>
      <c r="O55" s="449">
        <f>L55/N55</f>
        <v>43032.730769230766</v>
      </c>
      <c r="P55" s="451">
        <f>M55/N55</f>
        <v>0</v>
      </c>
      <c r="Q55" s="450">
        <f t="shared" si="11"/>
        <v>0</v>
      </c>
    </row>
    <row r="56" spans="1:17" ht="16.5" customHeight="1" thickBot="1" x14ac:dyDescent="0.25">
      <c r="I56" s="336"/>
      <c r="K56" s="460">
        <f>'Bridge&amp;Test Year Class Forecast'!K15</f>
        <v>2018</v>
      </c>
      <c r="L56" s="449">
        <f>O58*N56</f>
        <v>559425.5</v>
      </c>
      <c r="M56" s="449"/>
      <c r="N56" s="449">
        <f>'Input - Customer Data'!N25</f>
        <v>13</v>
      </c>
      <c r="O56" s="449">
        <f t="shared" si="9"/>
        <v>43032.730769230766</v>
      </c>
      <c r="P56" s="451">
        <f>M56/N56</f>
        <v>0</v>
      </c>
      <c r="Q56" s="450">
        <f t="shared" si="11"/>
        <v>0</v>
      </c>
    </row>
    <row r="57" spans="1:17" ht="15.75" customHeight="1" x14ac:dyDescent="0.2">
      <c r="A57" s="796" t="str">
        <f>'Input - Customer Data'!A15</f>
        <v>General Service &gt; 50 to 2999 kW</v>
      </c>
      <c r="B57" s="797"/>
      <c r="C57" s="797"/>
      <c r="D57" s="797"/>
      <c r="E57" s="797"/>
      <c r="F57" s="797"/>
      <c r="G57" s="798"/>
      <c r="I57" s="336"/>
      <c r="K57" s="377">
        <f>'Bridge&amp;Test Year Class Forecast'!K16</f>
        <v>2018</v>
      </c>
      <c r="L57" s="378">
        <f>N57*O59</f>
        <v>0</v>
      </c>
      <c r="M57" s="378">
        <f>ROUND(N57*P59,0)</f>
        <v>0</v>
      </c>
      <c r="N57" s="378">
        <f>'Input - Customer Data'!N25</f>
        <v>13</v>
      </c>
      <c r="O57" s="378">
        <f>L57/N57</f>
        <v>0</v>
      </c>
      <c r="P57" s="390">
        <f>M57/N57</f>
        <v>0</v>
      </c>
      <c r="Q57" s="379" t="e">
        <f t="shared" si="11"/>
        <v>#DIV/0!</v>
      </c>
    </row>
    <row r="58" spans="1:17" ht="26.25" thickBot="1" x14ac:dyDescent="0.25">
      <c r="A58" s="259" t="s">
        <v>80</v>
      </c>
      <c r="B58" s="258" t="s">
        <v>152</v>
      </c>
      <c r="C58" s="258" t="s">
        <v>151</v>
      </c>
      <c r="D58" s="258" t="s">
        <v>106</v>
      </c>
      <c r="E58" s="258" t="s">
        <v>295</v>
      </c>
      <c r="F58" s="258" t="s">
        <v>105</v>
      </c>
      <c r="G58" s="260" t="s">
        <v>104</v>
      </c>
      <c r="I58" s="336"/>
      <c r="K58" s="199"/>
      <c r="L58" s="370"/>
      <c r="M58" s="370"/>
      <c r="N58" s="370"/>
      <c r="O58" s="194">
        <f>AVERAGE(O51:O54)</f>
        <v>43032.730769230766</v>
      </c>
      <c r="P58" s="194">
        <f>AVERAGE(P46:P54)</f>
        <v>0</v>
      </c>
      <c r="Q58" s="194">
        <f>AVERAGE(Q46:Q54)</f>
        <v>0</v>
      </c>
    </row>
    <row r="59" spans="1:17" x14ac:dyDescent="0.2">
      <c r="A59" s="524">
        <f t="shared" ref="A59:A70" si="12">A5</f>
        <v>2008</v>
      </c>
      <c r="B59" s="523">
        <f>SUM('Input - Customer Data'!K32:K43)</f>
        <v>66898820.390000001</v>
      </c>
      <c r="C59" s="523">
        <f t="shared" ref="C59:E68" si="13">C32</f>
        <v>147644590.16999999</v>
      </c>
      <c r="D59" s="522">
        <f>B59/C59</f>
        <v>0.45310715626608322</v>
      </c>
      <c r="E59" s="523">
        <f t="shared" si="13"/>
        <v>142745764.07020909</v>
      </c>
      <c r="F59" s="523">
        <f t="shared" ref="F59:F70" si="14">E59*D59</f>
        <v>64679127.226881675</v>
      </c>
      <c r="G59" s="531">
        <f>F59/'Input - Customer Data'!J6</f>
        <v>1134721.5302961697</v>
      </c>
      <c r="I59" s="336"/>
      <c r="K59" s="195"/>
      <c r="L59" s="194"/>
      <c r="M59" s="194"/>
      <c r="N59" s="194"/>
      <c r="O59" s="194"/>
      <c r="P59" s="197"/>
      <c r="Q59" s="196"/>
    </row>
    <row r="60" spans="1:17" ht="13.5" thickBot="1" x14ac:dyDescent="0.25">
      <c r="A60" s="524">
        <f t="shared" si="12"/>
        <v>2009</v>
      </c>
      <c r="B60" s="525">
        <f>SUM('Input - Customer Data'!K44:K55)</f>
        <v>62407115.030000001</v>
      </c>
      <c r="C60" s="525">
        <f t="shared" si="13"/>
        <v>139894245.88</v>
      </c>
      <c r="D60" s="526">
        <f t="shared" ref="D60:D67" si="15">B60/C60</f>
        <v>0.44610208688306063</v>
      </c>
      <c r="E60" s="525">
        <f t="shared" si="13"/>
        <v>140745147.02880377</v>
      </c>
      <c r="F60" s="525">
        <f t="shared" si="14"/>
        <v>62786703.808212563</v>
      </c>
      <c r="G60" s="529">
        <f>F60/'Input - Customer Data'!J7</f>
        <v>1037796.7571605382</v>
      </c>
      <c r="I60" s="336"/>
      <c r="K60" s="189"/>
      <c r="L60" s="188"/>
      <c r="M60" s="188"/>
      <c r="N60" s="188"/>
      <c r="O60" s="188"/>
      <c r="P60" s="188"/>
      <c r="Q60" s="187"/>
    </row>
    <row r="61" spans="1:17" x14ac:dyDescent="0.2">
      <c r="A61" s="524">
        <f t="shared" si="12"/>
        <v>2010</v>
      </c>
      <c r="B61" s="525">
        <f>SUM('Input - Customer Data'!K56:K67)</f>
        <v>64376683.749999993</v>
      </c>
      <c r="C61" s="525">
        <f t="shared" si="13"/>
        <v>141140527.69999999</v>
      </c>
      <c r="D61" s="526">
        <f t="shared" si="15"/>
        <v>0.45611763537426536</v>
      </c>
      <c r="E61" s="525">
        <f t="shared" si="13"/>
        <v>143068308.5514479</v>
      </c>
      <c r="F61" s="525">
        <f t="shared" si="14"/>
        <v>65255978.593482204</v>
      </c>
      <c r="G61" s="529">
        <f>F61/'Input - Customer Data'!J8</f>
        <v>1052515.783765842</v>
      </c>
      <c r="I61" s="336"/>
    </row>
    <row r="62" spans="1:17" x14ac:dyDescent="0.2">
      <c r="A62" s="524">
        <f t="shared" si="12"/>
        <v>2011</v>
      </c>
      <c r="B62" s="525">
        <f>SUM('Input - Customer Data'!K68:K79)</f>
        <v>61442756.449999988</v>
      </c>
      <c r="C62" s="525">
        <f t="shared" si="13"/>
        <v>140278908</v>
      </c>
      <c r="D62" s="526">
        <f t="shared" si="15"/>
        <v>0.43800423973930558</v>
      </c>
      <c r="E62" s="525">
        <f t="shared" si="13"/>
        <v>143978528.4159154</v>
      </c>
      <c r="F62" s="525">
        <f t="shared" si="14"/>
        <v>63063205.877597027</v>
      </c>
      <c r="G62" s="529">
        <f>F62/'Input - Customer Data'!J9</f>
        <v>1042367.0392991244</v>
      </c>
      <c r="I62" s="336"/>
    </row>
    <row r="63" spans="1:17" ht="16.5" customHeight="1" x14ac:dyDescent="0.2">
      <c r="A63" s="524">
        <f t="shared" si="12"/>
        <v>2012</v>
      </c>
      <c r="B63" s="525">
        <f>SUM('Input - Customer Data'!K80:K91)</f>
        <v>63286610</v>
      </c>
      <c r="C63" s="525">
        <f t="shared" si="13"/>
        <v>143716822.60000002</v>
      </c>
      <c r="D63" s="526">
        <f t="shared" si="15"/>
        <v>0.44035631219138843</v>
      </c>
      <c r="E63" s="525">
        <f t="shared" si="13"/>
        <v>143496616.94985288</v>
      </c>
      <c r="F63" s="525">
        <f t="shared" si="14"/>
        <v>63189641.0519775</v>
      </c>
      <c r="G63" s="529">
        <f>F63/'Input - Customer Data'!J10</f>
        <v>1062010.7739828152</v>
      </c>
      <c r="I63" s="336"/>
    </row>
    <row r="64" spans="1:17" ht="15.75" x14ac:dyDescent="0.2">
      <c r="A64" s="524">
        <f t="shared" si="12"/>
        <v>2013</v>
      </c>
      <c r="B64" s="525">
        <f>SUM('Input - Customer Data'!K92:K103)</f>
        <v>60663507</v>
      </c>
      <c r="C64" s="525">
        <f t="shared" si="13"/>
        <v>146666557.58999997</v>
      </c>
      <c r="D64" s="526">
        <f t="shared" si="15"/>
        <v>0.41361512806199635</v>
      </c>
      <c r="E64" s="525">
        <f t="shared" si="13"/>
        <v>144472247.66218883</v>
      </c>
      <c r="F64" s="525">
        <f t="shared" si="14"/>
        <v>59755907.218200684</v>
      </c>
      <c r="G64" s="529">
        <f>F64/'Input - Customer Data'!J11</f>
        <v>1048349.2494421173</v>
      </c>
      <c r="I64" s="336"/>
      <c r="K64" s="806" t="str">
        <f>'Input - Customer Data'!A18</f>
        <v>Sentinel</v>
      </c>
      <c r="L64" s="805"/>
      <c r="M64" s="805"/>
      <c r="N64" s="805"/>
      <c r="O64" s="805"/>
      <c r="P64" s="805"/>
      <c r="Q64" s="805"/>
    </row>
    <row r="65" spans="1:17" ht="13.5" thickBot="1" x14ac:dyDescent="0.25">
      <c r="A65" s="185">
        <f t="shared" si="12"/>
        <v>2014</v>
      </c>
      <c r="B65" s="183">
        <f>SUM('Input - Customer Data'!K104:K115)</f>
        <v>55013692</v>
      </c>
      <c r="C65" s="183">
        <f t="shared" si="13"/>
        <v>145618385.03</v>
      </c>
      <c r="D65" s="184">
        <f t="shared" si="15"/>
        <v>0.37779358690639364</v>
      </c>
      <c r="E65" s="183">
        <f t="shared" si="13"/>
        <v>144603820.11636949</v>
      </c>
      <c r="F65" s="183">
        <f t="shared" si="14"/>
        <v>54630395.882130146</v>
      </c>
      <c r="G65" s="182">
        <f>F65/'Input - Customer Data'!J12</f>
        <v>966909.66163062211</v>
      </c>
      <c r="I65" s="336"/>
      <c r="K65" s="207" t="s">
        <v>80</v>
      </c>
      <c r="L65" s="206" t="s">
        <v>81</v>
      </c>
      <c r="M65" s="260" t="s">
        <v>82</v>
      </c>
      <c r="N65" s="258" t="s">
        <v>109</v>
      </c>
      <c r="O65" s="258" t="s">
        <v>108</v>
      </c>
      <c r="P65" s="258" t="s">
        <v>111</v>
      </c>
      <c r="Q65" s="260" t="s">
        <v>110</v>
      </c>
    </row>
    <row r="66" spans="1:17" x14ac:dyDescent="0.2">
      <c r="A66" s="185">
        <f t="shared" si="12"/>
        <v>2015</v>
      </c>
      <c r="B66" s="183">
        <f>SUM('Input - Customer Data'!K116:K127)</f>
        <v>52447595</v>
      </c>
      <c r="C66" s="183">
        <f t="shared" si="13"/>
        <v>142900769.78999999</v>
      </c>
      <c r="D66" s="184">
        <f t="shared" si="15"/>
        <v>0.36702108097160308</v>
      </c>
      <c r="E66" s="183">
        <f t="shared" si="13"/>
        <v>144146024.823457</v>
      </c>
      <c r="F66" s="183">
        <f t="shared" si="14"/>
        <v>52904629.84846472</v>
      </c>
      <c r="G66" s="182">
        <f>F66/'Input - Customer Data'!J13</f>
        <v>1017396.7278550908</v>
      </c>
      <c r="I66" s="336"/>
      <c r="K66" s="527">
        <f>'Bridge&amp;Test Year Class Forecast'!K5</f>
        <v>2008</v>
      </c>
      <c r="L66" s="525">
        <f>SUM('Input - Customer Data'!S32:S43)</f>
        <v>45820.810000000005</v>
      </c>
      <c r="M66" s="525">
        <f>SUM('Input - Customer Data'!T32:T43)</f>
        <v>127.28999999999999</v>
      </c>
      <c r="N66" s="532">
        <f>'Input - Customer Data'!P6</f>
        <v>31</v>
      </c>
      <c r="O66" s="525">
        <f>L66/N66</f>
        <v>1478.0906451612905</v>
      </c>
      <c r="P66" s="530">
        <f>M66/N66</f>
        <v>4.1061290322580639</v>
      </c>
      <c r="Q66" s="528">
        <f t="shared" ref="Q66:Q77" si="16">M66/L66</f>
        <v>2.7779954130012102E-3</v>
      </c>
    </row>
    <row r="67" spans="1:17" x14ac:dyDescent="0.2">
      <c r="A67" s="185">
        <f t="shared" si="12"/>
        <v>2016</v>
      </c>
      <c r="B67" s="183">
        <f>SUM('Input - Customer Data'!K128:K139)</f>
        <v>50553990</v>
      </c>
      <c r="C67" s="183">
        <f t="shared" si="13"/>
        <v>143959401.24000001</v>
      </c>
      <c r="D67" s="184">
        <f t="shared" si="15"/>
        <v>0.35116838195040551</v>
      </c>
      <c r="E67" s="183">
        <f t="shared" si="13"/>
        <v>144563750.38198498</v>
      </c>
      <c r="F67" s="183">
        <f t="shared" si="14"/>
        <v>50766218.310323983</v>
      </c>
      <c r="G67" s="182">
        <f>F67/'Input - Customer Data'!J14</f>
        <v>1068762.4907436627</v>
      </c>
      <c r="I67" s="336"/>
      <c r="K67" s="527">
        <f>'Bridge&amp;Test Year Class Forecast'!K6</f>
        <v>2009</v>
      </c>
      <c r="L67" s="525">
        <f>SUM('Input - Customer Data'!S44:S55)</f>
        <v>46167.350000000006</v>
      </c>
      <c r="M67" s="525">
        <f>SUM('Input - Customer Data'!T44:T55)</f>
        <v>128.22999999999999</v>
      </c>
      <c r="N67" s="532">
        <f>'Input - Customer Data'!P7</f>
        <v>31</v>
      </c>
      <c r="O67" s="525">
        <f t="shared" ref="O67:O77" si="17">L67/N67</f>
        <v>1489.2693548387099</v>
      </c>
      <c r="P67" s="530">
        <f t="shared" ref="P67:P77" si="18">M67/N67</f>
        <v>4.1364516129032252</v>
      </c>
      <c r="Q67" s="528">
        <f t="shared" si="16"/>
        <v>2.7775040152835276E-3</v>
      </c>
    </row>
    <row r="68" spans="1:17" x14ac:dyDescent="0.2">
      <c r="A68" s="453">
        <f t="shared" si="12"/>
        <v>2017</v>
      </c>
      <c r="B68" s="449">
        <f>SUM('Input - Customer Data'!K140:K151)</f>
        <v>0</v>
      </c>
      <c r="C68" s="449">
        <f t="shared" si="13"/>
        <v>0</v>
      </c>
      <c r="D68" s="454">
        <f>AVERAGE(D59:D67)</f>
        <v>0.41592062314938905</v>
      </c>
      <c r="E68" s="449">
        <f t="shared" si="13"/>
        <v>145032041.76362807</v>
      </c>
      <c r="F68" s="449">
        <f t="shared" si="14"/>
        <v>60321817.186956406</v>
      </c>
      <c r="G68" s="452">
        <f>F68/'Input - Customer Data'!J19</f>
        <v>1299207.3303120357</v>
      </c>
      <c r="I68" s="336"/>
      <c r="K68" s="527">
        <f>'Bridge&amp;Test Year Class Forecast'!K7</f>
        <v>2010</v>
      </c>
      <c r="L68" s="525">
        <f>SUM('Input - Customer Data'!S56:S67)</f>
        <v>43013.75</v>
      </c>
      <c r="M68" s="525">
        <f>SUM('Input - Customer Data'!T56:T67)</f>
        <v>119.47999999999999</v>
      </c>
      <c r="N68" s="532">
        <f>'Input - Customer Data'!P8</f>
        <v>31</v>
      </c>
      <c r="O68" s="525">
        <f t="shared" si="17"/>
        <v>1387.5403225806451</v>
      </c>
      <c r="P68" s="530">
        <f t="shared" si="18"/>
        <v>3.8541935483870966</v>
      </c>
      <c r="Q68" s="528">
        <f t="shared" si="16"/>
        <v>2.7777164278864315E-3</v>
      </c>
    </row>
    <row r="69" spans="1:17" x14ac:dyDescent="0.2">
      <c r="A69" s="453">
        <f t="shared" si="12"/>
        <v>2018</v>
      </c>
      <c r="B69" s="455"/>
      <c r="C69" s="456" t="s">
        <v>107</v>
      </c>
      <c r="D69" s="454">
        <f>AVERAGE(D59:D68)</f>
        <v>0.4159206231493891</v>
      </c>
      <c r="E69" s="449">
        <f>E42</f>
        <v>145335432.77389887</v>
      </c>
      <c r="F69" s="449">
        <f t="shared" si="14"/>
        <v>60448003.765006162</v>
      </c>
      <c r="G69" s="452">
        <f>F69/'Input - Customer Data'!J20</f>
        <v>1331936.9441381423</v>
      </c>
      <c r="I69" s="336"/>
      <c r="K69" s="527">
        <f>'Bridge&amp;Test Year Class Forecast'!K8</f>
        <v>2011</v>
      </c>
      <c r="L69" s="525">
        <f>SUM('Input - Customer Data'!S68:S79)</f>
        <v>41278.660000000003</v>
      </c>
      <c r="M69" s="525">
        <f>SUM('Input - Customer Data'!T68:T79)</f>
        <v>114.69000000000001</v>
      </c>
      <c r="N69" s="532">
        <f>'Input - Customer Data'!P9</f>
        <v>31</v>
      </c>
      <c r="O69" s="525">
        <f t="shared" si="17"/>
        <v>1331.569677419355</v>
      </c>
      <c r="P69" s="530">
        <f t="shared" si="18"/>
        <v>3.6996774193548392</v>
      </c>
      <c r="Q69" s="528">
        <f t="shared" si="16"/>
        <v>2.7784332146440801E-3</v>
      </c>
    </row>
    <row r="70" spans="1:17" ht="13.5" thickBot="1" x14ac:dyDescent="0.25">
      <c r="A70" s="389">
        <f t="shared" si="12"/>
        <v>2018</v>
      </c>
      <c r="B70" s="381"/>
      <c r="C70" s="381"/>
      <c r="D70" s="382">
        <f>D69</f>
        <v>0.4159206231493891</v>
      </c>
      <c r="E70" s="384">
        <f>E43</f>
        <v>0</v>
      </c>
      <c r="F70" s="384">
        <f t="shared" si="14"/>
        <v>0</v>
      </c>
      <c r="G70" s="385" t="e">
        <f>F70/'Input - Customer Data'!J15</f>
        <v>#DIV/0!</v>
      </c>
      <c r="I70" s="336"/>
      <c r="K70" s="527">
        <f>'Bridge&amp;Test Year Class Forecast'!K9</f>
        <v>2012</v>
      </c>
      <c r="L70" s="525">
        <f>SUM('Input - Customer Data'!S80:S91)</f>
        <v>41226</v>
      </c>
      <c r="M70" s="525">
        <f>SUM('Input - Customer Data'!T80:T91)</f>
        <v>114.54000000000002</v>
      </c>
      <c r="N70" s="532">
        <f>'Input - Customer Data'!P10</f>
        <v>29</v>
      </c>
      <c r="O70" s="525">
        <f t="shared" si="17"/>
        <v>1421.5862068965516</v>
      </c>
      <c r="P70" s="530">
        <f t="shared" si="18"/>
        <v>3.9496551724137938</v>
      </c>
      <c r="Q70" s="528">
        <f t="shared" si="16"/>
        <v>2.7783437636443027E-3</v>
      </c>
    </row>
    <row r="71" spans="1:17" x14ac:dyDescent="0.2">
      <c r="A71" s="265"/>
      <c r="B71" s="178"/>
      <c r="C71" s="178"/>
      <c r="D71" s="178"/>
      <c r="E71" s="178"/>
      <c r="F71" s="177"/>
      <c r="G71" s="262"/>
      <c r="I71" s="336"/>
      <c r="K71" s="200">
        <f>'Bridge&amp;Test Year Class Forecast'!K10</f>
        <v>2013</v>
      </c>
      <c r="L71" s="183">
        <f>SUM('Input - Customer Data'!S92:S103)</f>
        <v>40676</v>
      </c>
      <c r="M71" s="183">
        <f>SUM('Input - Customer Data'!T92:T103)</f>
        <v>112.99000000000002</v>
      </c>
      <c r="N71" s="338">
        <f>'Input - Customer Data'!P11</f>
        <v>31</v>
      </c>
      <c r="O71" s="183">
        <f t="shared" si="17"/>
        <v>1312.1290322580646</v>
      </c>
      <c r="P71" s="202">
        <f t="shared" si="18"/>
        <v>3.64483870967742</v>
      </c>
      <c r="Q71" s="201">
        <f t="shared" si="16"/>
        <v>2.7778050939128731E-3</v>
      </c>
    </row>
    <row r="72" spans="1:17" x14ac:dyDescent="0.2">
      <c r="A72" s="265"/>
      <c r="B72" s="178"/>
      <c r="C72" s="178"/>
      <c r="D72" s="178"/>
      <c r="E72" s="178"/>
      <c r="F72" s="177"/>
      <c r="G72" s="262"/>
      <c r="I72" s="336"/>
      <c r="K72" s="200">
        <f>'Bridge&amp;Test Year Class Forecast'!K11</f>
        <v>2014</v>
      </c>
      <c r="L72" s="183">
        <f>SUM('Input - Customer Data'!S104:S115)</f>
        <v>39277</v>
      </c>
      <c r="M72" s="183">
        <f>SUM('Input - Customer Data'!T104:T115)</f>
        <v>109.08000000000001</v>
      </c>
      <c r="N72" s="338">
        <f>'Input - Customer Data'!P12</f>
        <v>31</v>
      </c>
      <c r="O72" s="183">
        <f t="shared" si="17"/>
        <v>1267</v>
      </c>
      <c r="P72" s="202">
        <f t="shared" si="18"/>
        <v>3.5187096774193551</v>
      </c>
      <c r="Q72" s="201">
        <f t="shared" si="16"/>
        <v>2.7771978511597121E-3</v>
      </c>
    </row>
    <row r="73" spans="1:17" x14ac:dyDescent="0.2">
      <c r="A73" s="265"/>
      <c r="B73" s="178"/>
      <c r="C73" s="178"/>
      <c r="D73" s="178"/>
      <c r="E73" s="178"/>
      <c r="F73" s="177"/>
      <c r="G73" s="262"/>
      <c r="I73" s="336"/>
      <c r="K73" s="200">
        <f>'Bridge&amp;Test Year Class Forecast'!K12</f>
        <v>2015</v>
      </c>
      <c r="L73" s="183">
        <f>SUM('Input - Customer Data'!S116:S127)</f>
        <v>39278</v>
      </c>
      <c r="M73" s="183">
        <f>SUM('Input - Customer Data'!T116:T127)</f>
        <v>109.08</v>
      </c>
      <c r="N73" s="338">
        <f>'Input - Customer Data'!P13</f>
        <v>31</v>
      </c>
      <c r="O73" s="183">
        <f t="shared" si="17"/>
        <v>1267.0322580645161</v>
      </c>
      <c r="P73" s="202">
        <f t="shared" si="18"/>
        <v>3.5187096774193547</v>
      </c>
      <c r="Q73" s="201">
        <f t="shared" si="16"/>
        <v>2.777127144966648E-3</v>
      </c>
    </row>
    <row r="74" spans="1:17" x14ac:dyDescent="0.2">
      <c r="A74" s="265"/>
      <c r="B74" s="178"/>
      <c r="C74" s="178"/>
      <c r="D74" s="178"/>
      <c r="E74" s="178"/>
      <c r="F74" s="177"/>
      <c r="G74" s="262"/>
      <c r="I74" s="336"/>
      <c r="K74" s="200">
        <f>'Bridge&amp;Test Year Class Forecast'!K13</f>
        <v>2016</v>
      </c>
      <c r="L74" s="183">
        <f>SUM('Input - Customer Data'!S128:S139)</f>
        <v>39314</v>
      </c>
      <c r="M74" s="183">
        <f>SUM('Input - Customer Data'!T128:T139)</f>
        <v>109.19</v>
      </c>
      <c r="N74" s="338">
        <f>'Input - Customer Data'!P14</f>
        <v>29</v>
      </c>
      <c r="O74" s="183">
        <f>L74/N74</f>
        <v>1355.655172413793</v>
      </c>
      <c r="P74" s="202">
        <f>M74/N74</f>
        <v>3.7651724137931035</v>
      </c>
      <c r="Q74" s="201">
        <f t="shared" si="16"/>
        <v>2.7773821030676092E-3</v>
      </c>
    </row>
    <row r="75" spans="1:17" ht="15" x14ac:dyDescent="0.2">
      <c r="A75" s="366" t="s">
        <v>103</v>
      </c>
      <c r="B75" s="367"/>
      <c r="C75" s="367"/>
      <c r="D75" s="367"/>
      <c r="E75" s="367"/>
      <c r="F75" s="367"/>
      <c r="G75" s="368"/>
      <c r="I75" s="336"/>
      <c r="K75" s="460">
        <f>'Bridge&amp;Test Year Class Forecast'!K14</f>
        <v>2017</v>
      </c>
      <c r="L75" s="497">
        <f>N75*O79</f>
        <v>39335.85434764708</v>
      </c>
      <c r="M75" s="497">
        <f>N75*P79</f>
        <v>109.2644934298052</v>
      </c>
      <c r="N75" s="461">
        <f>'Input - Customer Data'!P24</f>
        <v>28.759248664054667</v>
      </c>
      <c r="O75" s="449">
        <f>L75/N75</f>
        <v>1367.7636299592139</v>
      </c>
      <c r="P75" s="451">
        <f t="shared" si="18"/>
        <v>3.7992819181806947</v>
      </c>
      <c r="Q75" s="450">
        <f t="shared" si="16"/>
        <v>2.7777328150581019E-3</v>
      </c>
    </row>
    <row r="76" spans="1:17" ht="13.5" thickBot="1" x14ac:dyDescent="0.25">
      <c r="A76" s="263"/>
      <c r="B76" s="176"/>
      <c r="C76" s="176"/>
      <c r="D76" s="176"/>
      <c r="E76" s="176"/>
      <c r="F76" s="176"/>
      <c r="G76" s="264"/>
      <c r="I76" s="336"/>
      <c r="K76" s="460">
        <f>'Bridge&amp;Test Year Class Forecast'!K15</f>
        <v>2018</v>
      </c>
      <c r="L76" s="497">
        <f>N76*O79</f>
        <v>39009.297124035111</v>
      </c>
      <c r="M76" s="497">
        <f>N76*P79</f>
        <v>108.35740471378396</v>
      </c>
      <c r="N76" s="461">
        <f>'Input - Customer Data'!P25</f>
        <v>28.520495990376901</v>
      </c>
      <c r="O76" s="449">
        <f t="shared" si="17"/>
        <v>1367.7636299592136</v>
      </c>
      <c r="P76" s="451">
        <f t="shared" si="18"/>
        <v>3.7992819181806947</v>
      </c>
      <c r="Q76" s="450">
        <f t="shared" si="16"/>
        <v>2.7777328150581019E-3</v>
      </c>
    </row>
    <row r="77" spans="1:17" x14ac:dyDescent="0.2">
      <c r="A77" s="544" t="s">
        <v>126</v>
      </c>
      <c r="B77" s="545"/>
      <c r="C77" s="545"/>
      <c r="D77" s="545"/>
      <c r="E77" s="545"/>
      <c r="F77" s="545"/>
      <c r="G77" s="546"/>
      <c r="I77" s="336"/>
      <c r="K77" s="377">
        <f>'Bridge&amp;Test Year Class Forecast'!K16</f>
        <v>2018</v>
      </c>
      <c r="L77" s="378">
        <f>N77*O79</f>
        <v>39009.297124035111</v>
      </c>
      <c r="M77" s="378">
        <f>N77*P79</f>
        <v>108.35740471378396</v>
      </c>
      <c r="N77" s="391">
        <f>'Input - Customer Data'!P25</f>
        <v>28.520495990376901</v>
      </c>
      <c r="O77" s="378">
        <f t="shared" si="17"/>
        <v>1367.7636299592136</v>
      </c>
      <c r="P77" s="390">
        <f t="shared" si="18"/>
        <v>3.7992819181806947</v>
      </c>
      <c r="Q77" s="379">
        <f t="shared" si="16"/>
        <v>2.7777328150581019E-3</v>
      </c>
    </row>
    <row r="78" spans="1:17" ht="12.75" customHeight="1" x14ac:dyDescent="0.2">
      <c r="A78" s="547" t="s">
        <v>80</v>
      </c>
      <c r="B78" s="542" t="s">
        <v>100</v>
      </c>
      <c r="C78" s="542" t="s">
        <v>99</v>
      </c>
      <c r="D78" s="549" t="s">
        <v>98</v>
      </c>
      <c r="E78" s="542"/>
      <c r="F78" s="549"/>
      <c r="G78" s="203" t="s">
        <v>83</v>
      </c>
      <c r="I78" s="336"/>
      <c r="K78" s="199"/>
      <c r="L78" s="183"/>
      <c r="M78" s="370"/>
      <c r="N78" s="198"/>
      <c r="O78" s="370"/>
      <c r="P78" s="370"/>
      <c r="Q78" s="198"/>
    </row>
    <row r="79" spans="1:17" x14ac:dyDescent="0.2">
      <c r="A79" s="550"/>
      <c r="B79" s="370"/>
      <c r="C79" s="370"/>
      <c r="D79" s="370"/>
      <c r="E79" s="370"/>
      <c r="F79" s="370"/>
      <c r="G79" s="172"/>
      <c r="I79" s="336"/>
      <c r="K79" s="195" t="s">
        <v>107</v>
      </c>
      <c r="L79" s="194"/>
      <c r="M79" s="194"/>
      <c r="N79" s="193"/>
      <c r="O79" s="194">
        <f>AVERAGE(O66:O74)</f>
        <v>1367.7636299592139</v>
      </c>
      <c r="P79" s="194">
        <f>AVERAGE(P66:P74)</f>
        <v>3.7992819181806947</v>
      </c>
      <c r="Q79" s="194">
        <f>AVERAGE(Q66:Q74)</f>
        <v>2.7777227808407101E-3</v>
      </c>
    </row>
    <row r="80" spans="1:17" ht="13.5" thickBot="1" x14ac:dyDescent="0.25">
      <c r="A80" s="386"/>
      <c r="B80" s="387"/>
      <c r="C80" s="384"/>
      <c r="D80" s="384"/>
      <c r="E80" s="384"/>
      <c r="F80" s="384"/>
      <c r="G80" s="388"/>
      <c r="I80" s="336"/>
      <c r="K80" s="189"/>
      <c r="L80" s="188"/>
      <c r="M80" s="188"/>
      <c r="N80" s="187"/>
      <c r="O80" s="188"/>
      <c r="P80" s="188"/>
      <c r="Q80" s="187"/>
    </row>
    <row r="84" spans="1:17" ht="16.5" thickBot="1" x14ac:dyDescent="0.25">
      <c r="K84" s="804" t="str">
        <f>'Input - Customer Data'!A19</f>
        <v>Street Lighting</v>
      </c>
      <c r="L84" s="805"/>
      <c r="M84" s="805"/>
      <c r="N84" s="805"/>
      <c r="O84" s="805"/>
      <c r="P84" s="805"/>
      <c r="Q84" s="805"/>
    </row>
    <row r="85" spans="1:17" ht="16.5" thickBot="1" x14ac:dyDescent="0.25">
      <c r="A85" s="796" t="str">
        <f>'Input - Customer Data'!A16</f>
        <v>General Service &gt; 3000 to 4999 kW</v>
      </c>
      <c r="B85" s="797"/>
      <c r="C85" s="797"/>
      <c r="D85" s="797"/>
      <c r="E85" s="797"/>
      <c r="F85" s="797"/>
      <c r="G85" s="798"/>
      <c r="K85" s="207" t="s">
        <v>80</v>
      </c>
      <c r="L85" s="206" t="s">
        <v>81</v>
      </c>
      <c r="M85" s="260" t="s">
        <v>82</v>
      </c>
      <c r="N85" s="258" t="s">
        <v>109</v>
      </c>
      <c r="O85" s="258" t="s">
        <v>108</v>
      </c>
      <c r="P85" s="258" t="s">
        <v>111</v>
      </c>
      <c r="Q85" s="260" t="s">
        <v>110</v>
      </c>
    </row>
    <row r="86" spans="1:17" ht="26.25" thickBot="1" x14ac:dyDescent="0.25">
      <c r="A86" s="259" t="s">
        <v>80</v>
      </c>
      <c r="B86" s="258" t="s">
        <v>152</v>
      </c>
      <c r="C86" s="258" t="s">
        <v>151</v>
      </c>
      <c r="D86" s="258" t="s">
        <v>106</v>
      </c>
      <c r="E86" s="258" t="s">
        <v>295</v>
      </c>
      <c r="F86" s="258" t="s">
        <v>105</v>
      </c>
      <c r="G86" s="260" t="s">
        <v>104</v>
      </c>
      <c r="K86" s="527" t="s">
        <v>206</v>
      </c>
      <c r="L86" s="525">
        <f>SUM('Input - Customer Data'!V32:V43)</f>
        <v>1140337.06</v>
      </c>
      <c r="M86" s="525">
        <f>SUM('Input - Customer Data'!W32:W43)</f>
        <v>3144.2000000000003</v>
      </c>
      <c r="N86" s="532">
        <f>'Input - Customer Data'!R6</f>
        <v>1658</v>
      </c>
      <c r="O86" s="525">
        <f>L86/N86</f>
        <v>687.77868516284684</v>
      </c>
      <c r="P86" s="530">
        <f>M86/N86</f>
        <v>1.8963811821471654</v>
      </c>
      <c r="Q86" s="528">
        <f>M86/L86</f>
        <v>2.7572549470592494E-3</v>
      </c>
    </row>
    <row r="87" spans="1:17" x14ac:dyDescent="0.2">
      <c r="A87" s="524">
        <f t="shared" ref="A87:A98" si="19">A33</f>
        <v>2009</v>
      </c>
      <c r="B87" s="523">
        <f>SUM('Input - Customer Data'!N32:N43)</f>
        <v>21799117.200000003</v>
      </c>
      <c r="C87" s="523">
        <f t="shared" ref="C87:C96" si="20">C32</f>
        <v>147644590.16999999</v>
      </c>
      <c r="D87" s="522">
        <f>B87/C87</f>
        <v>0.14764589190095082</v>
      </c>
      <c r="E87" s="523">
        <f t="shared" ref="E87:E97" si="21">E32</f>
        <v>142745764.07020909</v>
      </c>
      <c r="F87" s="523">
        <f>E87*D87</f>
        <v>21075825.651228718</v>
      </c>
      <c r="G87" s="531">
        <f>F87/'Input - Customer Data'!L6</f>
        <v>21075825.651228718</v>
      </c>
      <c r="K87" s="527" t="s">
        <v>207</v>
      </c>
      <c r="L87" s="525">
        <f>SUM('Input - Customer Data'!V44:V55)</f>
        <v>1139918.23</v>
      </c>
      <c r="M87" s="525">
        <f>SUM('Input - Customer Data'!W44:W55)</f>
        <v>3235.1000000000004</v>
      </c>
      <c r="N87" s="532">
        <f>'Input - Customer Data'!R7</f>
        <v>1658</v>
      </c>
      <c r="O87" s="183">
        <f t="shared" ref="O87:O93" si="22">L87/N87</f>
        <v>687.52607358262969</v>
      </c>
      <c r="P87" s="530">
        <f t="shared" ref="P87:P94" si="23">M87/N87</f>
        <v>1.9512062726176118</v>
      </c>
      <c r="Q87" s="528">
        <f t="shared" ref="Q87:Q92" si="24">M87/L87</f>
        <v>2.838010582566085E-3</v>
      </c>
    </row>
    <row r="88" spans="1:17" x14ac:dyDescent="0.2">
      <c r="A88" s="524">
        <f t="shared" si="19"/>
        <v>2010</v>
      </c>
      <c r="B88" s="525">
        <f>SUM('Input - Customer Data'!N44:N55)</f>
        <v>18664981.199999999</v>
      </c>
      <c r="C88" s="525">
        <f t="shared" si="20"/>
        <v>139894245.88</v>
      </c>
      <c r="D88" s="522">
        <f t="shared" ref="D88:D95" si="25">B88/C88</f>
        <v>0.13342207953292554</v>
      </c>
      <c r="E88" s="525">
        <f t="shared" si="21"/>
        <v>140745147.02880377</v>
      </c>
      <c r="F88" s="523">
        <f t="shared" ref="F88:F97" si="26">E88*D88</f>
        <v>18778510.200750355</v>
      </c>
      <c r="G88" s="531">
        <f>F88/'Input - Customer Data'!L7</f>
        <v>18778510.200750355</v>
      </c>
      <c r="K88" s="527" t="s">
        <v>208</v>
      </c>
      <c r="L88" s="525">
        <f>SUM('Input - Customer Data'!V56:V67)</f>
        <v>1139669.76</v>
      </c>
      <c r="M88" s="525">
        <f>SUM('Input - Customer Data'!W56:W67)</f>
        <v>3382.4000000000005</v>
      </c>
      <c r="N88" s="532">
        <f>'Input - Customer Data'!R8</f>
        <v>1680</v>
      </c>
      <c r="O88" s="183">
        <f t="shared" si="22"/>
        <v>678.37485714285719</v>
      </c>
      <c r="P88" s="530">
        <f t="shared" si="23"/>
        <v>2.0133333333333336</v>
      </c>
      <c r="Q88" s="528">
        <f t="shared" si="24"/>
        <v>2.9678772910496465E-3</v>
      </c>
    </row>
    <row r="89" spans="1:17" x14ac:dyDescent="0.2">
      <c r="A89" s="524">
        <f t="shared" si="19"/>
        <v>2011</v>
      </c>
      <c r="B89" s="525">
        <f>SUM('Input - Customer Data'!N56:N67)</f>
        <v>17729306.399999999</v>
      </c>
      <c r="C89" s="525">
        <f t="shared" si="20"/>
        <v>141140527.69999999</v>
      </c>
      <c r="D89" s="522">
        <f t="shared" si="25"/>
        <v>0.12561456789848746</v>
      </c>
      <c r="E89" s="525">
        <f t="shared" si="21"/>
        <v>143068308.5514479</v>
      </c>
      <c r="F89" s="523">
        <f t="shared" si="26"/>
        <v>17971463.758657604</v>
      </c>
      <c r="G89" s="531">
        <f>F89/'Input - Customer Data'!L8</f>
        <v>17971463.758657604</v>
      </c>
      <c r="K89" s="527" t="s">
        <v>209</v>
      </c>
      <c r="L89" s="525">
        <f>SUM('Input - Customer Data'!V68:V79)</f>
        <v>1127165.6900000002</v>
      </c>
      <c r="M89" s="525">
        <f>SUM('Input - Customer Data'!W68:W79)</f>
        <v>3215.5</v>
      </c>
      <c r="N89" s="532">
        <f>'Input - Customer Data'!R9</f>
        <v>1687</v>
      </c>
      <c r="O89" s="183">
        <f t="shared" si="22"/>
        <v>668.14800829875526</v>
      </c>
      <c r="P89" s="530">
        <f t="shared" si="23"/>
        <v>1.9060462359217545</v>
      </c>
      <c r="Q89" s="528">
        <f t="shared" si="24"/>
        <v>2.8527305510869477E-3</v>
      </c>
    </row>
    <row r="90" spans="1:17" x14ac:dyDescent="0.2">
      <c r="A90" s="524">
        <f t="shared" si="19"/>
        <v>2012</v>
      </c>
      <c r="B90" s="525">
        <f>SUM('Input - Customer Data'!N68:N79)</f>
        <v>18104643.600000001</v>
      </c>
      <c r="C90" s="525">
        <f t="shared" si="20"/>
        <v>140278908</v>
      </c>
      <c r="D90" s="522">
        <f t="shared" si="25"/>
        <v>0.12906176600690392</v>
      </c>
      <c r="E90" s="525">
        <f t="shared" si="21"/>
        <v>143978528.4159154</v>
      </c>
      <c r="F90" s="523">
        <f t="shared" si="26"/>
        <v>18582123.144433241</v>
      </c>
      <c r="G90" s="531">
        <f>F90/'Input - Customer Data'!L9</f>
        <v>18582123.144433241</v>
      </c>
      <c r="K90" s="527" t="s">
        <v>210</v>
      </c>
      <c r="L90" s="525">
        <f>SUM('Input - Customer Data'!V80:V91)</f>
        <v>1063521</v>
      </c>
      <c r="M90" s="525">
        <f>SUM('Input - Customer Data'!W80:W91)</f>
        <v>3124.4</v>
      </c>
      <c r="N90" s="532">
        <f>'Input - Customer Data'!R10</f>
        <v>1688</v>
      </c>
      <c r="O90" s="183">
        <f t="shared" si="22"/>
        <v>630.04798578199052</v>
      </c>
      <c r="P90" s="530">
        <f t="shared" si="23"/>
        <v>1.8509478672985782</v>
      </c>
      <c r="Q90" s="528">
        <f t="shared" si="24"/>
        <v>2.9377887225546088E-3</v>
      </c>
    </row>
    <row r="91" spans="1:17" x14ac:dyDescent="0.2">
      <c r="A91" s="524">
        <f t="shared" si="19"/>
        <v>2013</v>
      </c>
      <c r="B91" s="525">
        <f>SUM('Input - Customer Data'!N80:N91)</f>
        <v>19950324</v>
      </c>
      <c r="C91" s="525">
        <f t="shared" si="20"/>
        <v>143716822.60000002</v>
      </c>
      <c r="D91" s="522">
        <f t="shared" si="25"/>
        <v>0.1388169014529827</v>
      </c>
      <c r="E91" s="525">
        <f t="shared" si="21"/>
        <v>143496616.94985288</v>
      </c>
      <c r="F91" s="523">
        <f t="shared" si="26"/>
        <v>19919755.733964134</v>
      </c>
      <c r="G91" s="531">
        <f>F91/'Input - Customer Data'!L10</f>
        <v>19919755.733964134</v>
      </c>
      <c r="K91" s="527" t="s">
        <v>211</v>
      </c>
      <c r="L91" s="183">
        <f>SUM('Input - Customer Data'!V92:V103)</f>
        <v>1151811</v>
      </c>
      <c r="M91" s="183">
        <f>SUM('Input - Customer Data'!W92:W103)</f>
        <v>3174</v>
      </c>
      <c r="N91" s="532">
        <f>'Input - Customer Data'!R11</f>
        <v>1696</v>
      </c>
      <c r="O91" s="183">
        <f t="shared" si="22"/>
        <v>679.13384433962267</v>
      </c>
      <c r="P91" s="530">
        <f t="shared" si="23"/>
        <v>1.8714622641509433</v>
      </c>
      <c r="Q91" s="528">
        <f t="shared" si="24"/>
        <v>2.7556604338732655E-3</v>
      </c>
    </row>
    <row r="92" spans="1:17" x14ac:dyDescent="0.2">
      <c r="A92" s="524">
        <f t="shared" si="19"/>
        <v>2014</v>
      </c>
      <c r="B92" s="525">
        <f>SUM('Input - Customer Data'!N92:N103)</f>
        <v>18608986</v>
      </c>
      <c r="C92" s="525">
        <f t="shared" si="20"/>
        <v>146666557.58999997</v>
      </c>
      <c r="D92" s="522">
        <f t="shared" si="25"/>
        <v>0.12687954436089388</v>
      </c>
      <c r="E92" s="525">
        <f t="shared" si="21"/>
        <v>144472247.66218883</v>
      </c>
      <c r="F92" s="523">
        <f t="shared" si="26"/>
        <v>18330572.956172734</v>
      </c>
      <c r="G92" s="531">
        <f>F92/'Input - Customer Data'!L11</f>
        <v>18330572.956172734</v>
      </c>
      <c r="K92" s="527" t="s">
        <v>212</v>
      </c>
      <c r="L92" s="183">
        <f>SUM('Input - Customer Data'!V104:V115)</f>
        <v>1141797</v>
      </c>
      <c r="M92" s="183">
        <f>SUM('Input - Customer Data'!W104:W115)</f>
        <v>3151.1999999999994</v>
      </c>
      <c r="N92" s="532">
        <f>'Input - Customer Data'!R12</f>
        <v>1705</v>
      </c>
      <c r="O92" s="183">
        <f t="shared" si="22"/>
        <v>669.67565982404687</v>
      </c>
      <c r="P92" s="530">
        <f t="shared" si="23"/>
        <v>1.8482111436950144</v>
      </c>
      <c r="Q92" s="528">
        <f t="shared" si="24"/>
        <v>2.7598601152393986E-3</v>
      </c>
    </row>
    <row r="93" spans="1:17" x14ac:dyDescent="0.2">
      <c r="A93" s="185">
        <f t="shared" si="19"/>
        <v>2015</v>
      </c>
      <c r="B93" s="183">
        <f>SUM('Input - Customer Data'!N104:N115)</f>
        <v>18461823</v>
      </c>
      <c r="C93" s="183">
        <f t="shared" si="20"/>
        <v>145618385.03</v>
      </c>
      <c r="D93" s="522">
        <f t="shared" si="25"/>
        <v>0.12678222599568409</v>
      </c>
      <c r="E93" s="183">
        <f t="shared" si="21"/>
        <v>144603820.11636949</v>
      </c>
      <c r="F93" s="523">
        <f t="shared" si="26"/>
        <v>18333194.201832805</v>
      </c>
      <c r="G93" s="531">
        <f>F93/'Input - Customer Data'!L12</f>
        <v>18333194.201832805</v>
      </c>
      <c r="K93" s="527" t="s">
        <v>213</v>
      </c>
      <c r="L93" s="183">
        <f>SUM('Input - Customer Data'!V116:V127)</f>
        <v>976129</v>
      </c>
      <c r="M93" s="183">
        <f>SUM('Input - Customer Data'!W116:W127)</f>
        <v>2727.2</v>
      </c>
      <c r="N93" s="532">
        <f>'Input - Customer Data'!R13</f>
        <v>1706.5</v>
      </c>
      <c r="O93" s="183">
        <f t="shared" si="22"/>
        <v>572.0064459419865</v>
      </c>
      <c r="P93" s="530">
        <f t="shared" si="23"/>
        <v>1.598124816876648</v>
      </c>
      <c r="Q93" s="528">
        <f>M93/L93</f>
        <v>2.7938930202872775E-3</v>
      </c>
    </row>
    <row r="94" spans="1:17" x14ac:dyDescent="0.2">
      <c r="A94" s="185">
        <f t="shared" si="19"/>
        <v>2016</v>
      </c>
      <c r="B94" s="183">
        <f>SUM('Input - Customer Data'!N116:N127)</f>
        <v>17295612</v>
      </c>
      <c r="C94" s="183">
        <f t="shared" si="20"/>
        <v>142900769.78999999</v>
      </c>
      <c r="D94" s="522">
        <f t="shared" si="25"/>
        <v>0.12103232211706619</v>
      </c>
      <c r="E94" s="183">
        <f t="shared" si="21"/>
        <v>144146024.823457</v>
      </c>
      <c r="F94" s="523">
        <f t="shared" si="26"/>
        <v>17446328.108327266</v>
      </c>
      <c r="G94" s="531">
        <f>F94/'Input - Customer Data'!L13</f>
        <v>17446328.108327266</v>
      </c>
      <c r="K94" s="527" t="s">
        <v>214</v>
      </c>
      <c r="L94" s="183">
        <f>SUM('Input - Customer Data'!V128:V139)</f>
        <v>566049</v>
      </c>
      <c r="M94" s="183">
        <f>SUM('Input - Customer Data'!W128:W139)</f>
        <v>1555.1999999999996</v>
      </c>
      <c r="N94" s="532">
        <f>'Input - Customer Data'!R14</f>
        <v>1704.5</v>
      </c>
      <c r="O94" s="183">
        <f>L94/N94</f>
        <v>332.09093575828689</v>
      </c>
      <c r="P94" s="530">
        <f t="shared" si="23"/>
        <v>0.91240833088882345</v>
      </c>
      <c r="Q94" s="528">
        <f>M94/L94</f>
        <v>2.7474653254400232E-3</v>
      </c>
    </row>
    <row r="95" spans="1:17" x14ac:dyDescent="0.2">
      <c r="A95" s="185">
        <f t="shared" si="19"/>
        <v>2017</v>
      </c>
      <c r="B95" s="183">
        <f>SUM('Input - Customer Data'!N128:N139)</f>
        <v>18344949</v>
      </c>
      <c r="C95" s="183">
        <f t="shared" si="20"/>
        <v>143959401.24000001</v>
      </c>
      <c r="D95" s="522">
        <f t="shared" si="25"/>
        <v>0.12743140664649238</v>
      </c>
      <c r="E95" s="183">
        <f t="shared" si="21"/>
        <v>144563750.38198498</v>
      </c>
      <c r="F95" s="523">
        <f t="shared" si="26"/>
        <v>18421962.061268747</v>
      </c>
      <c r="G95" s="531">
        <f>F95/'Input - Customer Data'!L14</f>
        <v>18421962.061268747</v>
      </c>
      <c r="K95" s="460" t="s">
        <v>215</v>
      </c>
      <c r="L95" s="497">
        <f>N95*O99</f>
        <v>568009.48434912961</v>
      </c>
      <c r="M95" s="497">
        <f>N95*P99</f>
        <v>1560.5863627703009</v>
      </c>
      <c r="N95" s="461">
        <f>'Input - Customer Data'!R24</f>
        <v>1710.403456367013</v>
      </c>
      <c r="O95" s="449">
        <f>L95/N95</f>
        <v>332.09093575828695</v>
      </c>
      <c r="P95" s="451">
        <f>M95/N95</f>
        <v>0.91240833088882345</v>
      </c>
      <c r="Q95" s="450">
        <f>M95/L95</f>
        <v>2.7474653254400227E-3</v>
      </c>
    </row>
    <row r="96" spans="1:17" x14ac:dyDescent="0.2">
      <c r="A96" s="453">
        <f t="shared" si="19"/>
        <v>2018</v>
      </c>
      <c r="B96" s="449">
        <f>SUM('Input - Customer Data'!N140:N151)</f>
        <v>0</v>
      </c>
      <c r="C96" s="449">
        <f t="shared" si="20"/>
        <v>0</v>
      </c>
      <c r="D96" s="454">
        <f>AVERAGE(D87:D95)</f>
        <v>0.13074296732359855</v>
      </c>
      <c r="E96" s="449">
        <f t="shared" si="21"/>
        <v>145032041.76362807</v>
      </c>
      <c r="F96" s="458">
        <f>E96*D96</f>
        <v>18961919.497176804</v>
      </c>
      <c r="G96" s="531">
        <f>F96/'Input - Customer Data'!L19</f>
        <v>18961919.497176804</v>
      </c>
      <c r="K96" s="460" t="s">
        <v>216</v>
      </c>
      <c r="L96" s="497">
        <f>N96*O99</f>
        <v>569976.75874449743</v>
      </c>
      <c r="M96" s="497">
        <f>N96*P99</f>
        <v>1565.9913809572001</v>
      </c>
      <c r="N96" s="461">
        <f>'Input - Customer Data'!R25</f>
        <v>1716.3273590802137</v>
      </c>
      <c r="O96" s="449">
        <f>L96/N96</f>
        <v>332.09093575828689</v>
      </c>
      <c r="P96" s="451">
        <f>M96/N96</f>
        <v>0.91240833088882345</v>
      </c>
      <c r="Q96" s="450">
        <f>M96/L96</f>
        <v>2.7474653254400232E-3</v>
      </c>
    </row>
    <row r="97" spans="1:17" x14ac:dyDescent="0.2">
      <c r="A97" s="453">
        <f t="shared" si="19"/>
        <v>2018</v>
      </c>
      <c r="B97" s="455"/>
      <c r="C97" s="456" t="s">
        <v>107</v>
      </c>
      <c r="D97" s="454">
        <f>AVERAGE(D87:D96)</f>
        <v>0.13074296732359852</v>
      </c>
      <c r="E97" s="449">
        <f t="shared" si="21"/>
        <v>145335432.77389887</v>
      </c>
      <c r="F97" s="458">
        <f t="shared" si="26"/>
        <v>19001585.738118909</v>
      </c>
      <c r="G97" s="531">
        <f>F97/'Input - Customer Data'!L20</f>
        <v>19001585.738118909</v>
      </c>
      <c r="K97" s="377">
        <f>'Bridge&amp;Test Year Class Forecast'!K36</f>
        <v>0</v>
      </c>
      <c r="L97" s="378"/>
      <c r="M97" s="378"/>
      <c r="N97" s="391">
        <f>'Input - Customer Data'!P25</f>
        <v>28.520495990376901</v>
      </c>
      <c r="O97" s="378">
        <f>L77/N77</f>
        <v>1367.7636299592136</v>
      </c>
      <c r="P97" s="390">
        <f>M77/N77</f>
        <v>3.7992819181806947</v>
      </c>
      <c r="Q97" s="379">
        <f>M77/L77</f>
        <v>2.7777328150581019E-3</v>
      </c>
    </row>
    <row r="98" spans="1:17" ht="13.5" thickBot="1" x14ac:dyDescent="0.25">
      <c r="A98" s="389">
        <f t="shared" si="19"/>
        <v>0</v>
      </c>
      <c r="B98" s="381"/>
      <c r="C98" s="381"/>
      <c r="D98" s="382">
        <f>D97</f>
        <v>0.13074296732359852</v>
      </c>
      <c r="E98" s="384">
        <f>E71</f>
        <v>0</v>
      </c>
      <c r="F98" s="384">
        <f>E98*D98</f>
        <v>0</v>
      </c>
      <c r="G98" s="385">
        <f>F98/'Input - Customer Data'!J43</f>
        <v>0</v>
      </c>
      <c r="K98" s="199"/>
      <c r="L98" s="183"/>
      <c r="M98" s="370"/>
      <c r="N98" s="198"/>
      <c r="O98" s="370"/>
      <c r="P98" s="370"/>
      <c r="Q98" s="198"/>
    </row>
    <row r="99" spans="1:17" x14ac:dyDescent="0.2">
      <c r="A99" s="265"/>
      <c r="B99" s="178"/>
      <c r="C99" s="178"/>
      <c r="D99" s="178"/>
      <c r="E99" s="178"/>
      <c r="F99" s="177"/>
      <c r="G99" s="262"/>
      <c r="K99" s="195" t="s">
        <v>107</v>
      </c>
      <c r="L99" s="194"/>
      <c r="M99" s="194"/>
      <c r="N99" s="193"/>
      <c r="O99" s="194">
        <f>AVERAGE(O94)</f>
        <v>332.09093575828689</v>
      </c>
      <c r="P99" s="194">
        <f>AVERAGE(P94)</f>
        <v>0.91240833088882345</v>
      </c>
      <c r="Q99" s="194">
        <f>AVERAGE(Q94)</f>
        <v>2.7474653254400232E-3</v>
      </c>
    </row>
    <row r="100" spans="1:17" ht="13.5" thickBot="1" x14ac:dyDescent="0.25">
      <c r="A100" s="265"/>
      <c r="B100" s="178"/>
      <c r="C100" s="178"/>
      <c r="D100" s="178"/>
      <c r="E100" s="178"/>
      <c r="F100" s="177"/>
      <c r="G100" s="262"/>
      <c r="K100" s="189"/>
      <c r="L100" s="188"/>
      <c r="M100" s="188"/>
      <c r="N100" s="187"/>
      <c r="O100" s="188"/>
      <c r="P100" s="188"/>
      <c r="Q100" s="187"/>
    </row>
    <row r="101" spans="1:17" x14ac:dyDescent="0.2">
      <c r="A101" s="265"/>
      <c r="B101" s="178"/>
      <c r="C101" s="178"/>
      <c r="D101" s="178"/>
      <c r="E101" s="178"/>
      <c r="F101" s="177"/>
      <c r="G101" s="262"/>
    </row>
    <row r="102" spans="1:17" x14ac:dyDescent="0.2">
      <c r="A102" s="265"/>
      <c r="B102" s="178"/>
      <c r="C102" s="178"/>
      <c r="D102" s="178"/>
      <c r="E102" s="178"/>
      <c r="F102" s="177"/>
      <c r="G102" s="262"/>
    </row>
    <row r="103" spans="1:17" ht="15" x14ac:dyDescent="0.2">
      <c r="A103" s="538" t="s">
        <v>103</v>
      </c>
      <c r="B103" s="367"/>
      <c r="C103" s="367"/>
      <c r="D103" s="367"/>
      <c r="E103" s="367"/>
      <c r="F103" s="367"/>
      <c r="G103" s="368"/>
    </row>
    <row r="104" spans="1:17" ht="13.5" thickBot="1" x14ac:dyDescent="0.25">
      <c r="A104" s="263"/>
      <c r="B104" s="176"/>
      <c r="C104" s="176"/>
      <c r="D104" s="176"/>
      <c r="E104" s="176"/>
      <c r="F104" s="176"/>
      <c r="G104" s="264"/>
    </row>
    <row r="105" spans="1:17" x14ac:dyDescent="0.2">
      <c r="A105" s="544" t="s">
        <v>218</v>
      </c>
      <c r="B105" s="545"/>
      <c r="C105" s="545"/>
      <c r="D105" s="545"/>
      <c r="E105" s="545"/>
      <c r="F105" s="545"/>
      <c r="G105" s="546"/>
    </row>
    <row r="106" spans="1:17" ht="38.25" x14ac:dyDescent="0.2">
      <c r="A106" s="547" t="s">
        <v>80</v>
      </c>
      <c r="B106" s="542" t="s">
        <v>100</v>
      </c>
      <c r="C106" s="542" t="s">
        <v>99</v>
      </c>
      <c r="D106" s="549" t="s">
        <v>98</v>
      </c>
      <c r="E106" s="542"/>
      <c r="F106" s="549"/>
      <c r="G106" s="203" t="s">
        <v>83</v>
      </c>
    </row>
    <row r="107" spans="1:17" x14ac:dyDescent="0.2">
      <c r="A107" s="550"/>
      <c r="B107" s="370"/>
      <c r="C107" s="370"/>
      <c r="D107" s="370"/>
      <c r="E107" s="370"/>
      <c r="F107" s="370"/>
      <c r="G107" s="172"/>
    </row>
    <row r="108" spans="1:17" ht="13.5" thickBot="1" x14ac:dyDescent="0.25">
      <c r="A108" s="386">
        <f>A54</f>
        <v>0</v>
      </c>
      <c r="B108" s="387">
        <f>'Input - Customer Data'!J53-'Input - Customer Data'!J48+B107</f>
        <v>10</v>
      </c>
      <c r="C108" s="384">
        <f>G98</f>
        <v>0</v>
      </c>
      <c r="D108" s="384">
        <f>B108*C108</f>
        <v>0</v>
      </c>
      <c r="E108" s="384"/>
      <c r="F108" s="384"/>
      <c r="G108" s="388">
        <f>F98+D108</f>
        <v>0</v>
      </c>
    </row>
  </sheetData>
  <sheetProtection selectLockedCells="1" selectUnlockedCells="1"/>
  <mergeCells count="14">
    <mergeCell ref="A85:G85"/>
    <mergeCell ref="K84:Q84"/>
    <mergeCell ref="A57:G57"/>
    <mergeCell ref="A30:G30"/>
    <mergeCell ref="A48:G48"/>
    <mergeCell ref="K64:Q64"/>
    <mergeCell ref="K43:Q43"/>
    <mergeCell ref="K1:N1"/>
    <mergeCell ref="K3:N3"/>
    <mergeCell ref="A3:G3"/>
    <mergeCell ref="A1:G1"/>
    <mergeCell ref="C23:C24"/>
    <mergeCell ref="A21:G21"/>
    <mergeCell ref="K22:N22"/>
  </mergeCells>
  <pageMargins left="0.7" right="0.7" top="0.75" bottom="0.75" header="0.3" footer="0.3"/>
  <pageSetup scale="3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B1:W489"/>
  <sheetViews>
    <sheetView showGridLines="0" topLeftCell="A160" workbookViewId="0">
      <selection activeCell="M88" sqref="M88"/>
    </sheetView>
  </sheetViews>
  <sheetFormatPr defaultColWidth="9.33203125" defaultRowHeight="12.75" x14ac:dyDescent="0.2"/>
  <cols>
    <col min="1" max="1" width="2" style="12" customWidth="1"/>
    <col min="2" max="2" width="4.33203125" style="12" customWidth="1"/>
    <col min="3" max="3" width="20.5" style="12" customWidth="1"/>
    <col min="4" max="4" width="17.33203125" style="12" customWidth="1"/>
    <col min="5" max="5" width="2.6640625" style="12" customWidth="1"/>
    <col min="6" max="6" width="11.5" style="12" customWidth="1"/>
    <col min="7" max="8" width="17.33203125" style="12" customWidth="1"/>
    <col min="9" max="9" width="16.83203125" style="12" customWidth="1"/>
    <col min="10" max="10" width="3.1640625" style="12" customWidth="1"/>
    <col min="11" max="11" width="11.33203125" style="12" customWidth="1"/>
    <col min="12" max="13" width="16.1640625" style="12" customWidth="1"/>
    <col min="14" max="14" width="17.6640625" style="12" bestFit="1" customWidth="1"/>
    <col min="15" max="15" width="18" style="12" customWidth="1"/>
    <col min="16" max="16" width="2.6640625" style="12" customWidth="1"/>
    <col min="17" max="17" width="15" style="12" customWidth="1"/>
    <col min="18" max="18" width="12.33203125" style="12" customWidth="1"/>
    <col min="19" max="19" width="13.33203125" style="12" customWidth="1"/>
    <col min="20" max="20" width="16.33203125" style="12" customWidth="1"/>
    <col min="21" max="21" width="16" style="12" customWidth="1"/>
    <col min="22" max="22" width="3.83203125" style="12" customWidth="1"/>
    <col min="23" max="16384" width="9.33203125" style="12"/>
  </cols>
  <sheetData>
    <row r="1" spans="2:22" x14ac:dyDescent="0.2">
      <c r="B1" s="667"/>
      <c r="C1" s="667"/>
      <c r="D1" s="667"/>
      <c r="E1" s="667"/>
      <c r="F1" s="667"/>
      <c r="G1" s="667"/>
      <c r="H1" s="667"/>
      <c r="I1" s="667"/>
      <c r="J1" s="667"/>
      <c r="K1" s="667"/>
      <c r="L1" s="667"/>
      <c r="M1" s="667"/>
      <c r="N1" s="667"/>
      <c r="O1" s="667"/>
      <c r="P1" s="667"/>
      <c r="Q1" s="667"/>
      <c r="R1" s="667"/>
      <c r="S1" s="667"/>
      <c r="T1" s="591" t="s">
        <v>246</v>
      </c>
      <c r="U1" s="592">
        <v>0</v>
      </c>
    </row>
    <row r="2" spans="2:22" x14ac:dyDescent="0.2">
      <c r="B2" s="667"/>
      <c r="C2" s="667"/>
      <c r="D2" s="667"/>
      <c r="E2" s="667"/>
      <c r="F2" s="667"/>
      <c r="G2" s="667"/>
      <c r="H2" s="667"/>
      <c r="I2" s="667"/>
      <c r="J2" s="667"/>
      <c r="K2" s="667"/>
      <c r="L2" s="667"/>
      <c r="M2" s="667"/>
      <c r="N2" s="667"/>
      <c r="O2" s="667"/>
      <c r="P2" s="667"/>
      <c r="Q2" s="667"/>
      <c r="R2" s="667"/>
      <c r="S2" s="667"/>
      <c r="T2" s="591" t="s">
        <v>247</v>
      </c>
      <c r="U2" s="593"/>
    </row>
    <row r="3" spans="2:22" x14ac:dyDescent="0.2">
      <c r="B3" s="667"/>
      <c r="C3" s="667"/>
      <c r="D3" s="667"/>
      <c r="E3" s="667"/>
      <c r="F3" s="667"/>
      <c r="G3" s="667"/>
      <c r="H3" s="667"/>
      <c r="I3" s="667"/>
      <c r="J3" s="667"/>
      <c r="K3" s="667"/>
      <c r="L3" s="667"/>
      <c r="M3" s="667"/>
      <c r="N3" s="667"/>
      <c r="O3" s="667"/>
      <c r="P3" s="667"/>
      <c r="Q3" s="667"/>
      <c r="R3" s="667"/>
      <c r="S3" s="667"/>
      <c r="T3" s="591" t="s">
        <v>248</v>
      </c>
      <c r="U3" s="593"/>
    </row>
    <row r="4" spans="2:22" x14ac:dyDescent="0.2">
      <c r="B4" s="667"/>
      <c r="C4" s="667"/>
      <c r="D4" s="667"/>
      <c r="E4" s="667"/>
      <c r="F4" s="667"/>
      <c r="G4" s="667"/>
      <c r="H4" s="667"/>
      <c r="I4" s="667"/>
      <c r="J4" s="667"/>
      <c r="K4" s="667"/>
      <c r="L4" s="667"/>
      <c r="M4" s="667"/>
      <c r="N4" s="667"/>
      <c r="O4" s="667"/>
      <c r="P4" s="667"/>
      <c r="Q4" s="667"/>
      <c r="R4" s="667"/>
      <c r="S4" s="667"/>
      <c r="T4" s="591" t="s">
        <v>249</v>
      </c>
      <c r="U4" s="593"/>
    </row>
    <row r="5" spans="2:22" x14ac:dyDescent="0.2">
      <c r="B5" s="667"/>
      <c r="C5" s="667"/>
      <c r="D5" s="667"/>
      <c r="E5" s="667"/>
      <c r="F5" s="667"/>
      <c r="G5" s="667"/>
      <c r="H5" s="667"/>
      <c r="I5" s="667"/>
      <c r="J5" s="667"/>
      <c r="K5" s="667"/>
      <c r="L5" s="667"/>
      <c r="M5" s="667"/>
      <c r="N5" s="667"/>
      <c r="O5" s="667"/>
      <c r="P5" s="667"/>
      <c r="Q5" s="667"/>
      <c r="R5" s="667"/>
      <c r="S5" s="667"/>
      <c r="T5" s="591" t="s">
        <v>250</v>
      </c>
      <c r="U5" s="594"/>
    </row>
    <row r="6" spans="2:22" x14ac:dyDescent="0.2">
      <c r="B6" s="667"/>
      <c r="C6" s="667"/>
      <c r="D6" s="667"/>
      <c r="E6" s="667"/>
      <c r="F6" s="667"/>
      <c r="G6" s="667"/>
      <c r="H6" s="667"/>
      <c r="I6" s="667"/>
      <c r="J6" s="667"/>
      <c r="K6" s="667"/>
      <c r="L6" s="667"/>
      <c r="M6" s="667"/>
      <c r="N6" s="667"/>
      <c r="O6" s="667"/>
      <c r="P6" s="667"/>
      <c r="Q6" s="667"/>
      <c r="R6" s="667"/>
      <c r="S6" s="667"/>
      <c r="T6" s="591"/>
      <c r="U6" s="595"/>
    </row>
    <row r="7" spans="2:22" x14ac:dyDescent="0.2">
      <c r="B7" s="667"/>
      <c r="C7" s="667"/>
      <c r="D7" s="667"/>
      <c r="E7" s="667"/>
      <c r="F7" s="667"/>
      <c r="G7" s="667"/>
      <c r="H7" s="667"/>
      <c r="I7" s="667"/>
      <c r="J7" s="667"/>
      <c r="K7" s="667"/>
      <c r="L7" s="667"/>
      <c r="M7" s="667"/>
      <c r="N7" s="667"/>
      <c r="O7" s="667"/>
      <c r="P7" s="667"/>
      <c r="Q7" s="667"/>
      <c r="R7" s="667"/>
      <c r="S7" s="667"/>
      <c r="T7" s="591" t="s">
        <v>251</v>
      </c>
      <c r="U7" s="594"/>
    </row>
    <row r="8" spans="2:22" x14ac:dyDescent="0.2">
      <c r="B8" s="667"/>
      <c r="C8" s="667"/>
      <c r="D8" s="667"/>
      <c r="E8" s="667"/>
      <c r="F8" s="667"/>
      <c r="G8" s="667"/>
      <c r="H8" s="667"/>
      <c r="I8" s="667"/>
      <c r="J8" s="667"/>
      <c r="K8" s="667"/>
      <c r="L8" s="667"/>
      <c r="M8" s="667"/>
    </row>
    <row r="9" spans="2:22" ht="18" x14ac:dyDescent="0.25">
      <c r="B9" s="807" t="s">
        <v>252</v>
      </c>
      <c r="C9" s="807"/>
      <c r="D9" s="807"/>
      <c r="E9" s="807"/>
      <c r="F9" s="807"/>
      <c r="G9" s="807"/>
      <c r="H9" s="807"/>
      <c r="I9" s="807"/>
      <c r="J9" s="807"/>
      <c r="K9" s="807"/>
      <c r="L9" s="807"/>
      <c r="M9" s="807"/>
      <c r="N9" s="807"/>
      <c r="O9" s="807"/>
      <c r="P9" s="807"/>
      <c r="Q9" s="807"/>
      <c r="R9" s="807"/>
      <c r="S9" s="807"/>
      <c r="T9" s="807"/>
      <c r="U9" s="807"/>
      <c r="V9" s="807"/>
    </row>
    <row r="10" spans="2:22" ht="18" x14ac:dyDescent="0.2">
      <c r="B10" s="808" t="s">
        <v>253</v>
      </c>
      <c r="C10" s="808"/>
      <c r="D10" s="808"/>
      <c r="E10" s="808"/>
      <c r="F10" s="808"/>
      <c r="G10" s="808"/>
      <c r="H10" s="808"/>
      <c r="I10" s="808"/>
      <c r="J10" s="808"/>
      <c r="K10" s="808"/>
      <c r="L10" s="808"/>
      <c r="M10" s="808"/>
      <c r="N10" s="808"/>
      <c r="O10" s="808"/>
      <c r="P10" s="808"/>
      <c r="Q10" s="808"/>
      <c r="R10" s="808"/>
      <c r="S10" s="808"/>
      <c r="T10" s="808"/>
      <c r="U10" s="808"/>
      <c r="V10" s="808"/>
    </row>
    <row r="12" spans="2:22" hidden="1" x14ac:dyDescent="0.2">
      <c r="B12" s="596" t="s">
        <v>254</v>
      </c>
      <c r="C12" s="596"/>
      <c r="D12" s="596"/>
      <c r="E12" s="596"/>
      <c r="F12" s="596"/>
      <c r="G12" s="596"/>
      <c r="H12" s="596"/>
      <c r="I12" s="596"/>
      <c r="J12" s="596"/>
      <c r="K12" s="596"/>
      <c r="L12" s="596"/>
      <c r="M12" s="596"/>
      <c r="N12" s="596"/>
      <c r="O12" s="596"/>
      <c r="P12" s="596"/>
      <c r="Q12" s="596"/>
      <c r="R12" s="596"/>
      <c r="S12" s="596"/>
      <c r="T12" s="596"/>
      <c r="U12" s="596"/>
      <c r="V12" s="596"/>
    </row>
    <row r="13" spans="2:22" hidden="1" x14ac:dyDescent="0.2">
      <c r="B13" s="596"/>
      <c r="C13" s="596"/>
      <c r="D13" s="596"/>
      <c r="E13" s="596"/>
      <c r="F13" s="596"/>
      <c r="G13" s="596"/>
      <c r="H13" s="596"/>
      <c r="I13" s="596"/>
      <c r="J13" s="596"/>
      <c r="K13" s="596"/>
      <c r="L13" s="596"/>
      <c r="M13" s="596"/>
      <c r="N13" s="596"/>
      <c r="O13" s="596"/>
      <c r="P13" s="596"/>
      <c r="Q13" s="596"/>
      <c r="R13" s="596"/>
      <c r="S13" s="596"/>
      <c r="T13" s="596"/>
      <c r="U13" s="596"/>
      <c r="V13" s="596"/>
    </row>
    <row r="14" spans="2:22" hidden="1" x14ac:dyDescent="0.2">
      <c r="B14" s="596" t="s">
        <v>255</v>
      </c>
      <c r="C14" s="596" t="s">
        <v>256</v>
      </c>
      <c r="D14" s="596"/>
      <c r="E14" s="596"/>
      <c r="F14" s="596"/>
      <c r="G14" s="596"/>
      <c r="H14" s="596"/>
      <c r="I14" s="596"/>
      <c r="J14" s="596"/>
      <c r="K14" s="596"/>
      <c r="L14" s="596"/>
      <c r="M14" s="596"/>
      <c r="N14" s="596"/>
      <c r="O14" s="596"/>
      <c r="P14" s="596"/>
      <c r="Q14" s="596"/>
      <c r="R14" s="596"/>
      <c r="S14" s="596"/>
      <c r="T14" s="596"/>
      <c r="U14" s="596"/>
      <c r="V14" s="596"/>
    </row>
    <row r="15" spans="2:22" hidden="1" x14ac:dyDescent="0.2">
      <c r="B15" s="596" t="s">
        <v>257</v>
      </c>
      <c r="C15" s="596" t="s">
        <v>258</v>
      </c>
      <c r="D15" s="596"/>
      <c r="E15" s="596"/>
      <c r="F15" s="596"/>
      <c r="G15" s="596"/>
      <c r="H15" s="596"/>
      <c r="I15" s="596"/>
      <c r="J15" s="596"/>
      <c r="K15" s="596"/>
      <c r="L15" s="596"/>
      <c r="M15" s="596"/>
      <c r="N15" s="596"/>
      <c r="O15" s="596"/>
      <c r="P15" s="596"/>
      <c r="Q15" s="596"/>
      <c r="R15" s="596"/>
      <c r="S15" s="596"/>
      <c r="T15" s="596"/>
      <c r="U15" s="596"/>
      <c r="V15" s="596"/>
    </row>
    <row r="16" spans="2:22" hidden="1" x14ac:dyDescent="0.2">
      <c r="B16" s="596" t="s">
        <v>259</v>
      </c>
      <c r="C16" s="596" t="s">
        <v>260</v>
      </c>
      <c r="D16" s="596"/>
      <c r="E16" s="596"/>
      <c r="F16" s="596"/>
      <c r="G16" s="596"/>
      <c r="H16" s="596"/>
      <c r="I16" s="596"/>
      <c r="J16" s="596"/>
      <c r="K16" s="596"/>
      <c r="L16" s="596"/>
      <c r="M16" s="596"/>
      <c r="N16" s="596"/>
      <c r="O16" s="596"/>
      <c r="P16" s="596"/>
      <c r="Q16" s="596"/>
      <c r="R16" s="596"/>
      <c r="S16" s="596"/>
      <c r="T16" s="596"/>
      <c r="U16" s="596"/>
      <c r="V16" s="596"/>
    </row>
    <row r="17" spans="2:22" hidden="1" x14ac:dyDescent="0.2">
      <c r="B17" s="596" t="s">
        <v>261</v>
      </c>
      <c r="C17" s="596" t="s">
        <v>240</v>
      </c>
      <c r="D17" s="596"/>
      <c r="E17" s="596"/>
      <c r="F17" s="596"/>
      <c r="G17" s="596"/>
      <c r="H17" s="596"/>
      <c r="I17" s="596"/>
      <c r="J17" s="596"/>
      <c r="K17" s="596"/>
      <c r="L17" s="596"/>
      <c r="M17" s="596"/>
      <c r="N17" s="596"/>
      <c r="O17" s="596"/>
      <c r="P17" s="596"/>
      <c r="Q17" s="596"/>
      <c r="R17" s="596"/>
      <c r="S17" s="596"/>
      <c r="T17" s="596"/>
      <c r="U17" s="596"/>
      <c r="V17" s="596"/>
    </row>
    <row r="18" spans="2:22" hidden="1" x14ac:dyDescent="0.2">
      <c r="B18" s="596"/>
      <c r="C18" s="596"/>
      <c r="D18" s="596"/>
      <c r="E18" s="596"/>
      <c r="F18" s="596"/>
      <c r="G18" s="596"/>
      <c r="H18" s="596"/>
      <c r="I18" s="596"/>
      <c r="J18" s="596"/>
      <c r="K18" s="596"/>
      <c r="L18" s="596"/>
      <c r="M18" s="596"/>
      <c r="N18" s="596"/>
      <c r="O18" s="596"/>
      <c r="P18" s="596"/>
      <c r="Q18" s="596"/>
      <c r="R18" s="596"/>
      <c r="S18" s="596"/>
      <c r="T18" s="596"/>
      <c r="U18" s="596"/>
      <c r="V18" s="596"/>
    </row>
    <row r="19" spans="2:22" ht="27" hidden="1" customHeight="1" x14ac:dyDescent="0.2">
      <c r="B19" s="809" t="s">
        <v>262</v>
      </c>
      <c r="C19" s="809"/>
      <c r="D19" s="809"/>
      <c r="E19" s="809"/>
      <c r="F19" s="809"/>
      <c r="G19" s="809"/>
      <c r="H19" s="809"/>
      <c r="I19" s="809"/>
      <c r="J19" s="809"/>
      <c r="K19" s="809"/>
      <c r="L19" s="809"/>
      <c r="M19" s="809"/>
      <c r="N19" s="809"/>
      <c r="O19" s="809"/>
      <c r="P19" s="809"/>
      <c r="Q19" s="809"/>
      <c r="R19" s="809"/>
      <c r="S19" s="809"/>
      <c r="T19" s="809"/>
      <c r="U19" s="809"/>
      <c r="V19" s="809"/>
    </row>
    <row r="20" spans="2:22" hidden="1" x14ac:dyDescent="0.2">
      <c r="B20" s="596"/>
      <c r="C20" s="596"/>
      <c r="D20" s="596"/>
      <c r="E20" s="596"/>
      <c r="F20" s="596"/>
      <c r="G20" s="596"/>
      <c r="H20" s="596"/>
      <c r="I20" s="596"/>
      <c r="J20" s="596"/>
      <c r="K20" s="596"/>
      <c r="L20" s="596"/>
      <c r="M20" s="596"/>
      <c r="N20" s="596"/>
      <c r="O20" s="596"/>
      <c r="P20" s="596"/>
      <c r="Q20" s="596"/>
      <c r="R20" s="596"/>
      <c r="S20" s="596"/>
      <c r="T20" s="596"/>
      <c r="U20" s="596"/>
      <c r="V20" s="596"/>
    </row>
    <row r="21" spans="2:22" ht="27.75" hidden="1" customHeight="1" x14ac:dyDescent="0.2">
      <c r="B21" s="809" t="s">
        <v>263</v>
      </c>
      <c r="C21" s="809"/>
      <c r="D21" s="809"/>
      <c r="E21" s="809"/>
      <c r="F21" s="809"/>
      <c r="G21" s="809"/>
      <c r="H21" s="809"/>
      <c r="I21" s="809"/>
      <c r="J21" s="809"/>
      <c r="K21" s="809"/>
      <c r="L21" s="809"/>
      <c r="M21" s="809"/>
      <c r="N21" s="809"/>
      <c r="O21" s="809"/>
      <c r="P21" s="809"/>
      <c r="Q21" s="809"/>
      <c r="R21" s="809"/>
      <c r="S21" s="809"/>
      <c r="T21" s="809"/>
      <c r="U21" s="809"/>
      <c r="V21" s="809"/>
    </row>
    <row r="22" spans="2:22" hidden="1" x14ac:dyDescent="0.2">
      <c r="B22" s="596"/>
      <c r="C22" s="596"/>
      <c r="D22" s="596"/>
      <c r="E22" s="596"/>
      <c r="F22" s="596"/>
      <c r="G22" s="596"/>
      <c r="H22" s="596"/>
      <c r="I22" s="596"/>
      <c r="J22" s="596"/>
      <c r="K22" s="596"/>
      <c r="L22" s="596"/>
      <c r="M22" s="596"/>
      <c r="N22" s="596"/>
      <c r="O22" s="596"/>
      <c r="P22" s="596"/>
      <c r="Q22" s="596"/>
      <c r="R22" s="596"/>
      <c r="S22" s="596"/>
      <c r="T22" s="596"/>
      <c r="U22" s="596"/>
      <c r="V22" s="596"/>
    </row>
    <row r="23" spans="2:22" ht="24.75" hidden="1" customHeight="1" x14ac:dyDescent="0.2">
      <c r="B23" s="809" t="s">
        <v>264</v>
      </c>
      <c r="C23" s="809"/>
      <c r="D23" s="809"/>
      <c r="E23" s="809"/>
      <c r="F23" s="809"/>
      <c r="G23" s="809"/>
      <c r="H23" s="809"/>
      <c r="I23" s="809"/>
      <c r="J23" s="809"/>
      <c r="K23" s="809"/>
      <c r="L23" s="809"/>
      <c r="M23" s="809"/>
      <c r="N23" s="809"/>
      <c r="O23" s="809"/>
      <c r="P23" s="809"/>
      <c r="Q23" s="809"/>
      <c r="R23" s="809"/>
      <c r="S23" s="809"/>
      <c r="T23" s="809"/>
      <c r="U23" s="809"/>
      <c r="V23" s="809"/>
    </row>
    <row r="24" spans="2:22" hidden="1" x14ac:dyDescent="0.2">
      <c r="B24" s="596"/>
      <c r="C24" s="596"/>
      <c r="D24" s="596"/>
      <c r="E24" s="596"/>
      <c r="F24" s="596"/>
      <c r="G24" s="596"/>
      <c r="H24" s="596"/>
      <c r="I24" s="596"/>
      <c r="J24" s="596"/>
      <c r="K24" s="596"/>
      <c r="L24" s="596"/>
      <c r="M24" s="596"/>
      <c r="N24" s="596"/>
      <c r="O24" s="596"/>
      <c r="P24" s="596"/>
      <c r="Q24" s="596"/>
      <c r="R24" s="596"/>
      <c r="S24" s="596"/>
      <c r="T24" s="596"/>
      <c r="U24" s="596"/>
      <c r="V24" s="596"/>
    </row>
    <row r="25" spans="2:22" ht="26.25" hidden="1" customHeight="1" x14ac:dyDescent="0.2">
      <c r="B25" s="809" t="s">
        <v>265</v>
      </c>
      <c r="C25" s="809"/>
      <c r="D25" s="809"/>
      <c r="E25" s="809"/>
      <c r="F25" s="809"/>
      <c r="G25" s="809"/>
      <c r="H25" s="809"/>
      <c r="I25" s="809"/>
      <c r="J25" s="809"/>
      <c r="K25" s="809"/>
      <c r="L25" s="809"/>
      <c r="M25" s="809"/>
      <c r="N25" s="809"/>
      <c r="O25" s="809"/>
      <c r="P25" s="809"/>
      <c r="Q25" s="809"/>
      <c r="R25" s="809"/>
      <c r="S25" s="809"/>
      <c r="T25" s="809"/>
      <c r="U25" s="809"/>
      <c r="V25" s="809"/>
    </row>
    <row r="26" spans="2:22" hidden="1" x14ac:dyDescent="0.2">
      <c r="B26" s="596"/>
      <c r="C26" s="596"/>
      <c r="D26" s="596"/>
      <c r="E26" s="596"/>
      <c r="F26" s="596"/>
      <c r="G26" s="596"/>
      <c r="H26" s="596"/>
      <c r="I26" s="596"/>
      <c r="J26" s="596"/>
      <c r="K26" s="596"/>
      <c r="L26" s="596"/>
      <c r="M26" s="596"/>
      <c r="N26" s="596"/>
      <c r="O26" s="596"/>
      <c r="P26" s="596"/>
      <c r="Q26" s="596"/>
      <c r="R26" s="596"/>
      <c r="S26" s="596"/>
      <c r="T26" s="596"/>
      <c r="U26" s="596"/>
      <c r="V26" s="596"/>
    </row>
    <row r="27" spans="2:22" ht="30.75" hidden="1" customHeight="1" x14ac:dyDescent="0.2">
      <c r="B27" s="810" t="s">
        <v>266</v>
      </c>
      <c r="C27" s="810"/>
      <c r="D27" s="810"/>
      <c r="E27" s="810"/>
      <c r="F27" s="810"/>
      <c r="G27" s="810"/>
      <c r="H27" s="810"/>
      <c r="I27" s="810"/>
      <c r="J27" s="810"/>
      <c r="K27" s="810"/>
      <c r="L27" s="810"/>
      <c r="M27" s="810"/>
      <c r="N27" s="810"/>
      <c r="O27" s="810"/>
      <c r="P27" s="810"/>
      <c r="Q27" s="810"/>
      <c r="R27" s="810"/>
      <c r="S27" s="810"/>
      <c r="T27" s="810"/>
      <c r="U27" s="810"/>
      <c r="V27" s="810"/>
    </row>
    <row r="28" spans="2:22" ht="13.5" customHeight="1" x14ac:dyDescent="0.2">
      <c r="B28" s="668"/>
      <c r="C28" s="668"/>
      <c r="D28" s="668"/>
      <c r="E28" s="668"/>
      <c r="F28" s="668"/>
      <c r="G28" s="668"/>
      <c r="H28" s="668"/>
      <c r="I28" s="668"/>
      <c r="J28" s="668"/>
      <c r="K28" s="668"/>
      <c r="L28" s="668"/>
      <c r="M28" s="668"/>
      <c r="N28" s="668"/>
      <c r="O28" s="668"/>
      <c r="P28" s="668"/>
      <c r="Q28" s="668"/>
      <c r="R28" s="668"/>
      <c r="S28" s="668"/>
      <c r="T28" s="668"/>
      <c r="U28" s="668"/>
      <c r="V28" s="668"/>
    </row>
    <row r="29" spans="2:22" ht="15.75" customHeight="1" x14ac:dyDescent="0.2">
      <c r="B29" s="811" t="s">
        <v>267</v>
      </c>
      <c r="C29" s="811"/>
      <c r="D29" s="811"/>
      <c r="E29" s="811"/>
      <c r="F29" s="811"/>
      <c r="G29" s="811"/>
      <c r="H29" s="811"/>
      <c r="I29" s="811"/>
      <c r="J29" s="811"/>
      <c r="K29" s="811"/>
      <c r="L29" s="811"/>
      <c r="M29" s="811"/>
      <c r="N29" s="811"/>
      <c r="O29" s="811"/>
      <c r="P29" s="811"/>
      <c r="Q29" s="811"/>
      <c r="R29" s="811"/>
      <c r="S29" s="811"/>
      <c r="T29" s="811"/>
      <c r="U29" s="811"/>
      <c r="V29" s="811"/>
    </row>
    <row r="30" spans="2:22" ht="15.75" customHeight="1" x14ac:dyDescent="0.2">
      <c r="B30" s="669"/>
      <c r="C30" s="669"/>
      <c r="D30" s="669"/>
      <c r="E30" s="669"/>
      <c r="F30" s="669"/>
      <c r="G30" s="669"/>
      <c r="H30" s="669"/>
      <c r="I30" s="669"/>
      <c r="J30" s="669"/>
      <c r="K30" s="669"/>
      <c r="L30" s="669"/>
      <c r="M30" s="669"/>
      <c r="N30" s="669"/>
      <c r="O30" s="669"/>
      <c r="P30" s="669"/>
      <c r="Q30" s="669"/>
      <c r="R30" s="669"/>
      <c r="S30" s="669"/>
      <c r="T30" s="669"/>
      <c r="U30" s="669"/>
      <c r="V30" s="669"/>
    </row>
    <row r="31" spans="2:22" ht="15.75" customHeight="1" x14ac:dyDescent="0.2">
      <c r="B31" s="669" t="s">
        <v>268</v>
      </c>
      <c r="C31" s="669"/>
      <c r="D31" s="670"/>
      <c r="E31" s="669"/>
      <c r="F31" s="669" t="s">
        <v>269</v>
      </c>
      <c r="G31" s="669"/>
      <c r="H31" s="671"/>
      <c r="I31" s="672"/>
      <c r="J31" s="669"/>
      <c r="K31" s="669" t="s">
        <v>270</v>
      </c>
      <c r="L31" s="669"/>
      <c r="M31" s="669"/>
      <c r="N31" s="669"/>
      <c r="O31" s="669"/>
      <c r="P31" s="669"/>
      <c r="Q31" s="669"/>
      <c r="R31" s="669"/>
      <c r="S31" s="669"/>
      <c r="T31" s="669"/>
      <c r="U31" s="669"/>
      <c r="V31" s="669"/>
    </row>
    <row r="32" spans="2:22" ht="15.75" customHeight="1" x14ac:dyDescent="0.2">
      <c r="B32" s="669"/>
      <c r="C32" s="669"/>
      <c r="D32" s="669"/>
      <c r="E32" s="669"/>
      <c r="F32" s="669"/>
      <c r="G32" s="669"/>
      <c r="H32" s="669"/>
      <c r="I32" s="669"/>
      <c r="J32" s="669"/>
      <c r="K32" s="669"/>
      <c r="L32" s="669"/>
      <c r="M32" s="669"/>
      <c r="N32" s="669"/>
      <c r="O32" s="669"/>
      <c r="P32" s="669"/>
      <c r="Q32" s="669"/>
      <c r="R32" s="669"/>
      <c r="S32" s="669"/>
      <c r="T32" s="669"/>
      <c r="U32" s="669"/>
      <c r="V32" s="669"/>
    </row>
    <row r="33" spans="2:23" ht="15.75" customHeight="1" x14ac:dyDescent="0.2">
      <c r="B33" s="669"/>
      <c r="C33" s="669"/>
      <c r="D33" s="673"/>
      <c r="E33" s="669"/>
      <c r="F33" s="669" t="s">
        <v>271</v>
      </c>
      <c r="G33" s="669"/>
      <c r="H33" s="669"/>
      <c r="I33" s="674"/>
      <c r="J33" s="669"/>
      <c r="K33" s="669" t="s">
        <v>272</v>
      </c>
      <c r="L33" s="669"/>
      <c r="M33" s="669"/>
      <c r="N33" s="669"/>
      <c r="O33" s="669"/>
      <c r="P33" s="669"/>
      <c r="Q33" s="669"/>
      <c r="R33" s="669"/>
      <c r="S33" s="669"/>
      <c r="T33" s="669"/>
      <c r="U33" s="669"/>
      <c r="V33" s="669"/>
    </row>
    <row r="34" spans="2:23" ht="15.75" customHeight="1" x14ac:dyDescent="0.2">
      <c r="B34" s="669"/>
      <c r="C34" s="669"/>
      <c r="D34" s="669"/>
      <c r="E34" s="669"/>
      <c r="F34" s="669"/>
      <c r="G34" s="669"/>
      <c r="H34" s="669"/>
      <c r="I34" s="669"/>
      <c r="J34" s="669"/>
      <c r="K34" s="669"/>
      <c r="L34" s="669"/>
      <c r="M34" s="669"/>
      <c r="N34" s="669"/>
      <c r="O34" s="669"/>
      <c r="P34" s="669"/>
      <c r="Q34" s="669"/>
      <c r="R34" s="669"/>
      <c r="S34" s="669"/>
      <c r="T34" s="669"/>
      <c r="U34" s="669"/>
      <c r="V34" s="669"/>
    </row>
    <row r="35" spans="2:23" ht="15.75" customHeight="1" x14ac:dyDescent="0.2">
      <c r="B35" s="675" t="s">
        <v>273</v>
      </c>
      <c r="C35" s="671"/>
      <c r="D35" s="671"/>
      <c r="E35" s="669"/>
      <c r="F35" s="669"/>
      <c r="G35" s="669"/>
      <c r="H35" s="669"/>
      <c r="I35" s="669"/>
      <c r="J35" s="669"/>
      <c r="K35" s="669"/>
      <c r="L35" s="669"/>
      <c r="M35" s="669"/>
      <c r="N35" s="669"/>
      <c r="O35" s="669"/>
      <c r="P35" s="669"/>
      <c r="Q35" s="669"/>
      <c r="R35" s="669"/>
      <c r="S35" s="669"/>
      <c r="T35" s="669"/>
      <c r="U35" s="669"/>
      <c r="V35" s="669"/>
    </row>
    <row r="36" spans="2:23" ht="15.75" customHeight="1" thickBot="1" x14ac:dyDescent="0.25">
      <c r="B36" s="671"/>
      <c r="C36" s="671"/>
      <c r="D36" s="671"/>
      <c r="E36" s="669"/>
      <c r="F36" s="676"/>
      <c r="G36" s="676"/>
      <c r="H36" s="676"/>
      <c r="I36" s="676"/>
      <c r="J36" s="669"/>
      <c r="K36" s="669"/>
      <c r="L36" s="669"/>
      <c r="M36" s="669"/>
      <c r="N36" s="669"/>
      <c r="O36" s="669"/>
      <c r="P36" s="669"/>
      <c r="Q36" s="669"/>
      <c r="R36" s="669"/>
      <c r="S36" s="669"/>
      <c r="T36" s="669"/>
      <c r="U36" s="669"/>
      <c r="V36" s="669"/>
    </row>
    <row r="37" spans="2:23" ht="15.75" customHeight="1" x14ac:dyDescent="0.2">
      <c r="C37" s="597"/>
      <c r="D37" s="598" t="s">
        <v>274</v>
      </c>
      <c r="E37" s="599"/>
      <c r="F37" s="600"/>
      <c r="G37" s="600"/>
      <c r="H37" s="600"/>
      <c r="I37" s="600"/>
      <c r="J37" s="601"/>
      <c r="K37" s="812" t="s">
        <v>275</v>
      </c>
      <c r="L37" s="813"/>
      <c r="M37" s="813"/>
      <c r="N37" s="813"/>
      <c r="O37" s="814"/>
      <c r="P37" s="669"/>
      <c r="Q37" s="669"/>
      <c r="R37" s="669"/>
      <c r="S37" s="669"/>
      <c r="T37" s="669"/>
      <c r="U37" s="669"/>
      <c r="V37" s="669"/>
      <c r="W37" s="669"/>
    </row>
    <row r="38" spans="2:23" ht="39.75" customHeight="1" thickBot="1" x14ac:dyDescent="0.25">
      <c r="C38" s="677"/>
      <c r="D38" s="602" t="s">
        <v>311</v>
      </c>
      <c r="E38" s="603"/>
      <c r="F38" s="815"/>
      <c r="G38" s="815"/>
      <c r="H38" s="815"/>
      <c r="I38" s="604"/>
      <c r="J38" s="605"/>
      <c r="K38" s="606"/>
      <c r="L38" s="607" t="s">
        <v>276</v>
      </c>
      <c r="M38" s="607" t="s">
        <v>277</v>
      </c>
      <c r="N38" s="608"/>
      <c r="O38" s="609" t="s">
        <v>277</v>
      </c>
      <c r="P38" s="669"/>
      <c r="Q38" s="669"/>
      <c r="R38" s="669"/>
      <c r="S38" s="669"/>
      <c r="T38" s="669"/>
      <c r="U38" s="669"/>
      <c r="V38" s="669"/>
      <c r="W38" s="669"/>
    </row>
    <row r="39" spans="2:23" ht="15.75" customHeight="1" x14ac:dyDescent="0.2">
      <c r="C39" s="610" t="s">
        <v>278</v>
      </c>
      <c r="D39" s="611">
        <f t="shared" ref="D39:D44" si="0">D40-1</f>
        <v>2011</v>
      </c>
      <c r="E39" s="678"/>
      <c r="F39" s="612"/>
      <c r="G39" s="613"/>
      <c r="H39" s="679"/>
      <c r="I39" s="679"/>
      <c r="J39" s="680"/>
      <c r="K39" s="614" t="s">
        <v>223</v>
      </c>
      <c r="L39" s="666">
        <f>'Wholesale Analysis'!B10</f>
        <v>156500644.44999999</v>
      </c>
      <c r="M39" s="666">
        <f>'Bridge&amp;Test Year Class Forecast'!E9</f>
        <v>143496616.94985288</v>
      </c>
      <c r="N39" s="680" t="str">
        <f>IF(D39=2013,"Board-approved","")</f>
        <v/>
      </c>
      <c r="O39" s="681"/>
      <c r="P39" s="669"/>
      <c r="Q39" s="669"/>
      <c r="R39" s="669"/>
      <c r="S39" s="669"/>
      <c r="T39" s="669"/>
      <c r="U39" s="669"/>
      <c r="V39" s="669"/>
      <c r="W39" s="669"/>
    </row>
    <row r="40" spans="2:23" ht="15.75" customHeight="1" x14ac:dyDescent="0.2">
      <c r="C40" s="610" t="s">
        <v>278</v>
      </c>
      <c r="D40" s="611">
        <f t="shared" si="0"/>
        <v>2012</v>
      </c>
      <c r="E40" s="678"/>
      <c r="F40" s="612"/>
      <c r="G40" s="613"/>
      <c r="H40" s="679"/>
      <c r="I40" s="679"/>
      <c r="J40" s="680"/>
      <c r="K40" s="614" t="s">
        <v>223</v>
      </c>
      <c r="L40" s="666">
        <f>'Wholesale Analysis'!B11</f>
        <v>154795353.84</v>
      </c>
      <c r="M40" s="666">
        <f>'Bridge&amp;Test Year Class Forecast'!E10</f>
        <v>144472247.66218883</v>
      </c>
      <c r="N40" s="680" t="str">
        <f t="shared" ref="N40:N45" si="1">IF(D40=2013,"Board-approved","")</f>
        <v/>
      </c>
      <c r="O40" s="681"/>
      <c r="P40" s="669"/>
      <c r="Q40" s="669"/>
      <c r="R40" s="669"/>
      <c r="S40" s="669"/>
      <c r="T40" s="669"/>
      <c r="U40" s="669"/>
      <c r="V40" s="669"/>
      <c r="W40" s="669"/>
    </row>
    <row r="41" spans="2:23" ht="15.75" customHeight="1" x14ac:dyDescent="0.2">
      <c r="C41" s="610" t="s">
        <v>278</v>
      </c>
      <c r="D41" s="611">
        <f t="shared" si="0"/>
        <v>2013</v>
      </c>
      <c r="E41" s="678"/>
      <c r="F41" s="612"/>
      <c r="G41" s="613"/>
      <c r="H41" s="679"/>
      <c r="I41" s="612"/>
      <c r="J41" s="680"/>
      <c r="K41" s="614" t="s">
        <v>223</v>
      </c>
      <c r="L41" s="666">
        <f>'Wholesale Analysis'!B12</f>
        <v>148717979.18000001</v>
      </c>
      <c r="M41" s="666">
        <f>'Bridge&amp;Test Year Class Forecast'!E11</f>
        <v>144603820.11636949</v>
      </c>
      <c r="N41" s="680" t="str">
        <f t="shared" si="1"/>
        <v>Board-approved</v>
      </c>
      <c r="O41" s="616"/>
      <c r="P41" s="669"/>
      <c r="Q41" s="669"/>
      <c r="R41" s="669"/>
      <c r="S41" s="669"/>
      <c r="T41" s="669"/>
      <c r="U41" s="669"/>
      <c r="V41" s="669"/>
      <c r="W41" s="669"/>
    </row>
    <row r="42" spans="2:23" ht="15.75" customHeight="1" x14ac:dyDescent="0.2">
      <c r="C42" s="610" t="s">
        <v>278</v>
      </c>
      <c r="D42" s="611">
        <f t="shared" si="0"/>
        <v>2014</v>
      </c>
      <c r="E42" s="678"/>
      <c r="F42" s="612"/>
      <c r="G42" s="613"/>
      <c r="H42" s="679"/>
      <c r="I42" s="679"/>
      <c r="J42" s="680"/>
      <c r="K42" s="614" t="s">
        <v>223</v>
      </c>
      <c r="L42" s="666">
        <f>'Wholesale Analysis'!B13</f>
        <v>144221924.34</v>
      </c>
      <c r="M42" s="666">
        <f>'Bridge&amp;Test Year Class Forecast'!E12</f>
        <v>144146024.823457</v>
      </c>
      <c r="N42" s="680" t="str">
        <f t="shared" si="1"/>
        <v/>
      </c>
      <c r="O42" s="681"/>
      <c r="P42" s="669"/>
      <c r="Q42" s="669"/>
      <c r="R42" s="669"/>
      <c r="S42" s="669"/>
      <c r="T42" s="669"/>
      <c r="U42" s="669"/>
      <c r="V42" s="669"/>
      <c r="W42" s="669"/>
    </row>
    <row r="43" spans="2:23" ht="15.75" customHeight="1" x14ac:dyDescent="0.2">
      <c r="C43" s="610" t="s">
        <v>278</v>
      </c>
      <c r="D43" s="611">
        <f t="shared" si="0"/>
        <v>2015</v>
      </c>
      <c r="E43" s="678"/>
      <c r="F43" s="612"/>
      <c r="G43" s="613"/>
      <c r="H43" s="679"/>
      <c r="I43" s="679"/>
      <c r="J43" s="680"/>
      <c r="K43" s="614" t="s">
        <v>223</v>
      </c>
      <c r="L43" s="666">
        <f>'Wholesale Analysis'!B14</f>
        <v>145136098.44</v>
      </c>
      <c r="M43" s="666">
        <f>'Bridge&amp;Test Year Class Forecast'!E13</f>
        <v>144563750.38198498</v>
      </c>
      <c r="N43" s="680" t="str">
        <f t="shared" si="1"/>
        <v/>
      </c>
      <c r="O43" s="681"/>
      <c r="P43" s="669"/>
      <c r="Q43" s="669"/>
      <c r="R43" s="669"/>
      <c r="S43" s="669"/>
      <c r="T43" s="669"/>
      <c r="U43" s="669"/>
      <c r="V43" s="669"/>
      <c r="W43" s="669"/>
    </row>
    <row r="44" spans="2:23" ht="15.75" customHeight="1" x14ac:dyDescent="0.2">
      <c r="C44" s="610" t="s">
        <v>54</v>
      </c>
      <c r="D44" s="611">
        <f t="shared" si="0"/>
        <v>2016</v>
      </c>
      <c r="E44" s="678"/>
      <c r="F44" s="612"/>
      <c r="G44" s="613"/>
      <c r="H44" s="679"/>
      <c r="I44" s="679"/>
      <c r="J44" s="680"/>
      <c r="K44" s="614" t="s">
        <v>224</v>
      </c>
      <c r="L44" s="682"/>
      <c r="M44" s="666">
        <f>'Bridge&amp;Test Year Class Forecast'!E14</f>
        <v>145032041.76362807</v>
      </c>
      <c r="N44" s="680" t="str">
        <f t="shared" si="1"/>
        <v/>
      </c>
      <c r="O44" s="681"/>
      <c r="P44" s="669"/>
      <c r="Q44" s="669"/>
      <c r="R44" s="669"/>
      <c r="S44" s="669"/>
      <c r="T44" s="669"/>
      <c r="U44" s="669"/>
      <c r="V44" s="669"/>
      <c r="W44" s="669"/>
    </row>
    <row r="45" spans="2:23" ht="15.75" customHeight="1" thickBot="1" x14ac:dyDescent="0.25">
      <c r="C45" s="617" t="s">
        <v>53</v>
      </c>
      <c r="D45" s="618">
        <v>2017</v>
      </c>
      <c r="E45" s="683"/>
      <c r="F45" s="619"/>
      <c r="G45" s="620"/>
      <c r="H45" s="684"/>
      <c r="I45" s="684"/>
      <c r="J45" s="685"/>
      <c r="K45" s="614" t="s">
        <v>224</v>
      </c>
      <c r="L45" s="686"/>
      <c r="M45" s="666">
        <f>'Bridge&amp;Test Year Class Forecast'!E15</f>
        <v>145335432.77389887</v>
      </c>
      <c r="N45" s="680" t="str">
        <f t="shared" si="1"/>
        <v/>
      </c>
      <c r="O45" s="687"/>
      <c r="P45" s="669"/>
      <c r="Q45" s="669"/>
      <c r="R45" s="669"/>
      <c r="S45" s="669"/>
      <c r="T45" s="669"/>
      <c r="U45" s="669"/>
      <c r="V45" s="669"/>
      <c r="W45" s="669"/>
    </row>
    <row r="46" spans="2:23" ht="15.75" customHeight="1" thickBot="1" x14ac:dyDescent="0.25">
      <c r="C46" s="621"/>
      <c r="D46" s="688"/>
      <c r="F46" s="689"/>
      <c r="G46" s="689"/>
      <c r="H46" s="689"/>
      <c r="I46" s="622"/>
      <c r="J46" s="689"/>
      <c r="K46" s="690"/>
      <c r="O46" s="623">
        <f>SUM(O39:O44)</f>
        <v>0</v>
      </c>
      <c r="P46" s="669"/>
      <c r="Q46" s="669"/>
      <c r="R46" s="669"/>
      <c r="S46" s="669"/>
      <c r="T46" s="669"/>
      <c r="U46" s="669"/>
      <c r="V46" s="669"/>
      <c r="W46" s="669"/>
    </row>
    <row r="47" spans="2:23" ht="33" customHeight="1" thickBot="1" x14ac:dyDescent="0.25">
      <c r="C47" s="624" t="s">
        <v>279</v>
      </c>
      <c r="D47" s="690"/>
      <c r="E47" s="690"/>
      <c r="F47" s="691"/>
      <c r="G47" s="625"/>
      <c r="H47" s="691"/>
      <c r="I47" s="626"/>
      <c r="J47" s="692"/>
      <c r="K47" s="627" t="s">
        <v>80</v>
      </c>
      <c r="L47" s="816" t="s">
        <v>280</v>
      </c>
      <c r="M47" s="816"/>
      <c r="N47" s="629"/>
      <c r="O47" s="630" t="s">
        <v>281</v>
      </c>
      <c r="P47" s="669"/>
      <c r="Q47" s="669"/>
      <c r="R47" s="669"/>
      <c r="S47" s="669"/>
      <c r="T47" s="669"/>
      <c r="U47" s="669"/>
      <c r="V47" s="669"/>
      <c r="W47" s="669"/>
    </row>
    <row r="48" spans="2:23" ht="15.75" customHeight="1" x14ac:dyDescent="0.2">
      <c r="C48" s="631"/>
      <c r="D48" s="632">
        <f t="shared" ref="D48:D54" si="2">D39</f>
        <v>2011</v>
      </c>
      <c r="E48" s="693"/>
      <c r="F48" s="679"/>
      <c r="G48" s="694"/>
      <c r="H48" s="679"/>
      <c r="I48" s="694"/>
      <c r="J48" s="680"/>
      <c r="K48" s="611">
        <f>D48</f>
        <v>2011</v>
      </c>
      <c r="L48" s="695"/>
      <c r="M48" s="695"/>
      <c r="N48" s="693"/>
      <c r="O48" s="681"/>
      <c r="P48" s="669"/>
      <c r="Q48" s="669"/>
      <c r="R48" s="669"/>
      <c r="S48" s="669"/>
      <c r="T48" s="669"/>
      <c r="U48" s="669"/>
      <c r="V48" s="669"/>
      <c r="W48" s="669"/>
    </row>
    <row r="49" spans="2:23" ht="15.75" customHeight="1" x14ac:dyDescent="0.2">
      <c r="C49" s="631"/>
      <c r="D49" s="632">
        <f t="shared" si="2"/>
        <v>2012</v>
      </c>
      <c r="E49" s="693"/>
      <c r="F49" s="679"/>
      <c r="G49" s="696"/>
      <c r="H49" s="679"/>
      <c r="I49" s="694"/>
      <c r="J49" s="680"/>
      <c r="K49" s="611">
        <f t="shared" ref="K49:K55" si="3">D49</f>
        <v>2012</v>
      </c>
      <c r="L49" s="697">
        <f t="shared" ref="L49:M52" si="4">IF(L39=0,"",L40/L39-1)</f>
        <v>-1.0896380752890789E-2</v>
      </c>
      <c r="M49" s="697">
        <f t="shared" si="4"/>
        <v>6.7989805827748384E-3</v>
      </c>
      <c r="N49" s="693"/>
      <c r="O49" s="681"/>
      <c r="P49" s="669"/>
      <c r="Q49" s="669"/>
      <c r="R49" s="669"/>
      <c r="S49" s="669"/>
      <c r="T49" s="669"/>
      <c r="U49" s="669"/>
      <c r="V49" s="669"/>
      <c r="W49" s="669"/>
    </row>
    <row r="50" spans="2:23" ht="15.75" customHeight="1" x14ac:dyDescent="0.2">
      <c r="C50" s="631"/>
      <c r="D50" s="632">
        <f t="shared" si="2"/>
        <v>2013</v>
      </c>
      <c r="E50" s="693"/>
      <c r="F50" s="679"/>
      <c r="G50" s="696"/>
      <c r="H50" s="679"/>
      <c r="I50" s="694"/>
      <c r="J50" s="680"/>
      <c r="K50" s="611">
        <f t="shared" si="3"/>
        <v>2013</v>
      </c>
      <c r="L50" s="697">
        <f t="shared" si="4"/>
        <v>-3.9260704596351781E-2</v>
      </c>
      <c r="M50" s="697">
        <f t="shared" si="4"/>
        <v>9.1071092413752552E-4</v>
      </c>
      <c r="N50" s="693"/>
      <c r="O50" s="681"/>
      <c r="P50" s="669"/>
      <c r="Q50" s="669"/>
      <c r="R50" s="669"/>
      <c r="S50" s="669"/>
      <c r="T50" s="669"/>
      <c r="U50" s="669"/>
      <c r="V50" s="669"/>
      <c r="W50" s="669"/>
    </row>
    <row r="51" spans="2:23" ht="15.75" customHeight="1" x14ac:dyDescent="0.2">
      <c r="C51" s="631"/>
      <c r="D51" s="632">
        <f t="shared" si="2"/>
        <v>2014</v>
      </c>
      <c r="E51" s="693"/>
      <c r="F51" s="679"/>
      <c r="G51" s="696"/>
      <c r="H51" s="679"/>
      <c r="I51" s="694"/>
      <c r="J51" s="680"/>
      <c r="K51" s="611">
        <f t="shared" si="3"/>
        <v>2014</v>
      </c>
      <c r="L51" s="697">
        <f t="shared" si="4"/>
        <v>-3.0232086697185578E-2</v>
      </c>
      <c r="M51" s="697">
        <f t="shared" si="4"/>
        <v>-3.1658589139904603E-3</v>
      </c>
      <c r="N51" s="693"/>
      <c r="O51" s="681"/>
      <c r="P51" s="669"/>
      <c r="Q51" s="669"/>
      <c r="R51" s="669"/>
      <c r="S51" s="669"/>
      <c r="T51" s="669"/>
      <c r="U51" s="669"/>
      <c r="V51" s="669"/>
      <c r="W51" s="669"/>
    </row>
    <row r="52" spans="2:23" ht="15.75" customHeight="1" x14ac:dyDescent="0.2">
      <c r="C52" s="631"/>
      <c r="D52" s="632">
        <f t="shared" si="2"/>
        <v>2015</v>
      </c>
      <c r="E52" s="693"/>
      <c r="F52" s="679"/>
      <c r="G52" s="696"/>
      <c r="H52" s="679"/>
      <c r="I52" s="694"/>
      <c r="J52" s="680"/>
      <c r="K52" s="611">
        <f t="shared" si="3"/>
        <v>2015</v>
      </c>
      <c r="L52" s="697">
        <f t="shared" si="4"/>
        <v>6.3386624757886256E-3</v>
      </c>
      <c r="M52" s="697">
        <f t="shared" si="4"/>
        <v>2.8979332523362267E-3</v>
      </c>
      <c r="N52" s="693"/>
      <c r="O52" s="681"/>
      <c r="P52" s="669"/>
      <c r="Q52" s="669"/>
      <c r="R52" s="669"/>
      <c r="S52" s="669"/>
      <c r="T52" s="669"/>
      <c r="U52" s="669"/>
      <c r="V52" s="669"/>
      <c r="W52" s="669"/>
    </row>
    <row r="53" spans="2:23" ht="15.75" customHeight="1" x14ac:dyDescent="0.2">
      <c r="C53" s="631"/>
      <c r="D53" s="632">
        <f t="shared" si="2"/>
        <v>2016</v>
      </c>
      <c r="E53" s="693"/>
      <c r="F53" s="679"/>
      <c r="G53" s="696"/>
      <c r="H53" s="679"/>
      <c r="I53" s="694"/>
      <c r="J53" s="680"/>
      <c r="K53" s="611">
        <f t="shared" si="3"/>
        <v>2016</v>
      </c>
      <c r="L53" s="697" t="str">
        <f>IF(K44="Forecast","",IF(L43=0,"",L44/L43-1))</f>
        <v/>
      </c>
      <c r="M53" s="697">
        <f>IF(M43=0,"",M44/M43-1)</f>
        <v>3.23934167732709E-3</v>
      </c>
      <c r="N53" s="693"/>
      <c r="O53" s="681"/>
      <c r="P53" s="669"/>
      <c r="Q53" s="669"/>
      <c r="R53" s="669"/>
      <c r="S53" s="669"/>
      <c r="T53" s="669"/>
      <c r="U53" s="669"/>
      <c r="V53" s="669"/>
      <c r="W53" s="669"/>
    </row>
    <row r="54" spans="2:23" ht="15.75" customHeight="1" x14ac:dyDescent="0.2">
      <c r="C54" s="631"/>
      <c r="D54" s="632">
        <f t="shared" si="2"/>
        <v>2017</v>
      </c>
      <c r="E54" s="693"/>
      <c r="F54" s="679"/>
      <c r="G54" s="696"/>
      <c r="H54" s="679"/>
      <c r="I54" s="696"/>
      <c r="J54" s="680"/>
      <c r="K54" s="611">
        <f t="shared" si="3"/>
        <v>2017</v>
      </c>
      <c r="L54" s="697" t="str">
        <f>IF(K45="Forecast","",IF(L44=0,"",L45/L44-1))</f>
        <v/>
      </c>
      <c r="M54" s="697">
        <f>IF(M44=0,"",M45/M44-1)</f>
        <v>2.0918895340746868E-3</v>
      </c>
      <c r="N54" s="693"/>
      <c r="O54" s="698" t="str">
        <f>IF(O46=0,"",M45/O46-1)</f>
        <v/>
      </c>
      <c r="P54" s="669"/>
      <c r="Q54" s="669"/>
      <c r="R54" s="669"/>
      <c r="S54" s="669"/>
      <c r="T54" s="669"/>
      <c r="U54" s="669"/>
      <c r="V54" s="669"/>
      <c r="W54" s="669"/>
    </row>
    <row r="55" spans="2:23" ht="31.5" customHeight="1" thickBot="1" x14ac:dyDescent="0.25">
      <c r="C55" s="633"/>
      <c r="D55" s="634" t="s">
        <v>282</v>
      </c>
      <c r="E55" s="699"/>
      <c r="F55" s="684"/>
      <c r="G55" s="700"/>
      <c r="H55" s="684"/>
      <c r="I55" s="701"/>
      <c r="J55" s="702"/>
      <c r="K55" s="703" t="str">
        <f t="shared" si="3"/>
        <v>Geometric Mean</v>
      </c>
      <c r="L55" s="704"/>
      <c r="M55" s="704">
        <f>IF(M39=0,"",(M45/M39)^(1/(K54-K48-1)-1))</f>
        <v>0.98986535268988352</v>
      </c>
      <c r="N55" s="699"/>
      <c r="O55" s="705" t="s">
        <v>312</v>
      </c>
      <c r="P55" s="669"/>
      <c r="Q55" s="669"/>
      <c r="R55" s="669"/>
      <c r="S55" s="669"/>
      <c r="T55" s="669"/>
      <c r="U55" s="669"/>
      <c r="V55" s="669"/>
      <c r="W55" s="669"/>
    </row>
    <row r="56" spans="2:23" ht="15.75" customHeight="1" x14ac:dyDescent="0.2">
      <c r="B56" s="669"/>
      <c r="C56" s="669"/>
      <c r="D56" s="669"/>
      <c r="E56" s="669"/>
      <c r="F56" s="669"/>
      <c r="G56" s="669"/>
      <c r="H56" s="669"/>
      <c r="I56" s="669"/>
      <c r="J56" s="669"/>
      <c r="K56" s="669"/>
      <c r="L56" s="669"/>
      <c r="M56" s="669"/>
      <c r="N56" s="669"/>
      <c r="O56" s="669"/>
      <c r="P56" s="669"/>
      <c r="Q56" s="669"/>
      <c r="R56" s="669"/>
      <c r="S56" s="669"/>
      <c r="T56" s="669"/>
      <c r="U56" s="669"/>
      <c r="V56" s="669"/>
    </row>
    <row r="57" spans="2:23" ht="20.25" customHeight="1" x14ac:dyDescent="0.2">
      <c r="B57" s="706" t="s">
        <v>283</v>
      </c>
      <c r="C57" s="669"/>
      <c r="D57" s="669"/>
      <c r="E57" s="669"/>
      <c r="F57" s="669"/>
      <c r="G57" s="669"/>
      <c r="H57" s="669"/>
      <c r="I57" s="669"/>
      <c r="J57" s="669"/>
      <c r="K57" s="669"/>
      <c r="L57" s="669"/>
      <c r="M57" s="669"/>
      <c r="N57" s="669"/>
      <c r="O57" s="669"/>
      <c r="P57" s="669"/>
      <c r="Q57" s="669"/>
      <c r="R57" s="669"/>
      <c r="S57" s="669"/>
      <c r="T57" s="669"/>
      <c r="U57" s="669"/>
      <c r="V57" s="669"/>
    </row>
    <row r="58" spans="2:23" ht="14.25" customHeight="1" thickBot="1" x14ac:dyDescent="0.25">
      <c r="B58" s="669"/>
      <c r="C58" s="669"/>
      <c r="D58" s="669"/>
      <c r="E58" s="669"/>
      <c r="F58" s="669"/>
      <c r="G58" s="669"/>
      <c r="H58" s="669"/>
      <c r="I58" s="669"/>
      <c r="J58" s="669"/>
      <c r="K58" s="669"/>
      <c r="L58" s="669"/>
      <c r="M58" s="669"/>
      <c r="N58" s="669"/>
      <c r="O58" s="669"/>
      <c r="P58" s="669"/>
      <c r="Q58" s="669"/>
      <c r="R58" s="669"/>
      <c r="S58" s="669"/>
      <c r="T58" s="669"/>
      <c r="U58" s="669"/>
      <c r="V58" s="669"/>
    </row>
    <row r="59" spans="2:23" ht="13.5" thickBot="1" x14ac:dyDescent="0.25">
      <c r="B59" s="635">
        <v>1</v>
      </c>
      <c r="C59" s="636" t="s">
        <v>284</v>
      </c>
      <c r="D59" s="817" t="s">
        <v>64</v>
      </c>
      <c r="E59" s="818"/>
      <c r="F59" s="819"/>
      <c r="G59" s="707"/>
      <c r="H59" s="12" t="s">
        <v>285</v>
      </c>
      <c r="N59" s="708" t="s">
        <v>81</v>
      </c>
      <c r="O59" s="709"/>
      <c r="P59" s="709"/>
      <c r="Q59" s="709"/>
      <c r="R59" s="709"/>
      <c r="S59" s="709"/>
      <c r="T59" s="709"/>
      <c r="U59" s="709"/>
    </row>
    <row r="60" spans="2:23" ht="13.5" thickBot="1" x14ac:dyDescent="0.25">
      <c r="Q60" s="699"/>
      <c r="R60" s="699"/>
      <c r="S60" s="699"/>
      <c r="T60" s="699"/>
      <c r="U60" s="699"/>
    </row>
    <row r="61" spans="2:23" ht="12.75" customHeight="1" x14ac:dyDescent="0.2">
      <c r="C61" s="597"/>
      <c r="D61" s="598" t="s">
        <v>274</v>
      </c>
      <c r="E61" s="598"/>
      <c r="F61" s="820" t="s">
        <v>286</v>
      </c>
      <c r="G61" s="821"/>
      <c r="H61" s="821"/>
      <c r="I61" s="822"/>
      <c r="J61" s="598"/>
      <c r="K61" s="812" t="s">
        <v>275</v>
      </c>
      <c r="L61" s="813"/>
      <c r="M61" s="813"/>
      <c r="N61" s="813"/>
      <c r="O61" s="814"/>
      <c r="P61" s="599"/>
      <c r="Q61" s="823" t="str">
        <f>CONCATENATE("Consumption (kWh) per ",LEFT(F61,LEN(F61)-1))</f>
        <v>Consumption (kWh) per Customer</v>
      </c>
      <c r="R61" s="824"/>
      <c r="S61" s="824"/>
      <c r="T61" s="824"/>
      <c r="U61" s="825"/>
      <c r="V61" s="637"/>
    </row>
    <row r="62" spans="2:23" ht="38.25" customHeight="1" thickBot="1" x14ac:dyDescent="0.25">
      <c r="C62" s="677"/>
      <c r="D62" s="602" t="s">
        <v>311</v>
      </c>
      <c r="E62" s="610"/>
      <c r="F62" s="826"/>
      <c r="G62" s="827"/>
      <c r="H62" s="828"/>
      <c r="I62" s="638"/>
      <c r="J62" s="610"/>
      <c r="K62" s="606"/>
      <c r="L62" s="607" t="s">
        <v>276</v>
      </c>
      <c r="M62" s="607" t="s">
        <v>277</v>
      </c>
      <c r="N62" s="608"/>
      <c r="O62" s="609" t="s">
        <v>277</v>
      </c>
      <c r="P62" s="610"/>
      <c r="Q62" s="639"/>
      <c r="R62" s="640" t="str">
        <f>L62</f>
        <v>Actual (Weather actual)</v>
      </c>
      <c r="S62" s="641" t="str">
        <f>M62</f>
        <v>Weather-normalized</v>
      </c>
      <c r="T62" s="641"/>
      <c r="U62" s="642" t="str">
        <f>O62</f>
        <v>Weather-normalized</v>
      </c>
      <c r="V62" s="637"/>
    </row>
    <row r="63" spans="2:23" x14ac:dyDescent="0.2">
      <c r="C63" s="610" t="s">
        <v>278</v>
      </c>
      <c r="D63" s="611">
        <f t="shared" ref="D63:D68" si="5">D64-1</f>
        <v>2011</v>
      </c>
      <c r="E63" s="710"/>
      <c r="F63" s="643" t="str">
        <f>K39</f>
        <v>Actual</v>
      </c>
      <c r="G63" s="644">
        <f>'Input - Customer Data'!F10</f>
        <v>5805</v>
      </c>
      <c r="H63" s="680" t="str">
        <f t="shared" ref="H63:H69" si="6">IF(D63=2013,"Board-approved","")</f>
        <v/>
      </c>
      <c r="I63" s="681"/>
      <c r="J63" s="710"/>
      <c r="K63" s="645" t="str">
        <f>F63</f>
        <v>Actual</v>
      </c>
      <c r="L63" s="666">
        <f>'Bridge&amp;Test Year Class Forecast'!B9</f>
        <v>45223786</v>
      </c>
      <c r="M63" s="666">
        <f>'Bridge&amp;Test Year Class Forecast'!F9</f>
        <v>45154493.254599124</v>
      </c>
      <c r="N63" s="646" t="str">
        <f>H63</f>
        <v/>
      </c>
      <c r="O63" s="681"/>
      <c r="P63" s="710"/>
      <c r="Q63" s="645" t="str">
        <f>K63</f>
        <v>Actual</v>
      </c>
      <c r="R63" s="711">
        <f>IF(G63=0,"",L63/G63)</f>
        <v>7790.4885443583116</v>
      </c>
      <c r="S63" s="693">
        <f>IF(G63=0,"",M63/G63)</f>
        <v>7778.5518095777988</v>
      </c>
      <c r="T63" s="693" t="str">
        <f>N63</f>
        <v/>
      </c>
      <c r="U63" s="693" t="str">
        <f>IF(T63="","",IF(I63=0,"",O63/I63))</f>
        <v/>
      </c>
      <c r="V63" s="678"/>
    </row>
    <row r="64" spans="2:23" x14ac:dyDescent="0.2">
      <c r="C64" s="610" t="s">
        <v>278</v>
      </c>
      <c r="D64" s="611">
        <f t="shared" si="5"/>
        <v>2012</v>
      </c>
      <c r="E64" s="710"/>
      <c r="F64" s="647" t="str">
        <f t="shared" ref="F64:F69" si="7">K40</f>
        <v>Actual</v>
      </c>
      <c r="G64" s="644">
        <f>'Input - Customer Data'!F11</f>
        <v>5911.5</v>
      </c>
      <c r="H64" s="680" t="str">
        <f t="shared" si="6"/>
        <v/>
      </c>
      <c r="I64" s="681"/>
      <c r="J64" s="710"/>
      <c r="K64" s="645" t="str">
        <f t="shared" ref="K64:K69" si="8">F64</f>
        <v>Actual</v>
      </c>
      <c r="L64" s="666">
        <f>'Bridge&amp;Test Year Class Forecast'!B10</f>
        <v>46477809</v>
      </c>
      <c r="M64" s="666">
        <f>'Bridge&amp;Test Year Class Forecast'!F10</f>
        <v>45782444.498456918</v>
      </c>
      <c r="N64" s="646" t="str">
        <f t="shared" ref="N64:N69" si="9">H64</f>
        <v/>
      </c>
      <c r="O64" s="681"/>
      <c r="P64" s="710"/>
      <c r="Q64" s="645" t="str">
        <f t="shared" ref="Q64:Q69" si="10">K64</f>
        <v>Actual</v>
      </c>
      <c r="R64" s="711">
        <f t="shared" ref="R64:R69" si="11">IF(G64=0,"",L64/G64)</f>
        <v>7862.2699822380109</v>
      </c>
      <c r="S64" s="693">
        <f t="shared" ref="S64:S69" si="12">IF(G64=0,"",M64/G64)</f>
        <v>7744.6408692306386</v>
      </c>
      <c r="T64" s="693" t="str">
        <f t="shared" ref="T64:T69" si="13">N64</f>
        <v/>
      </c>
      <c r="U64" s="693" t="str">
        <f t="shared" ref="U64:U69" si="14">IF(T64="","",IF(I64=0,"",O64/I64))</f>
        <v/>
      </c>
      <c r="V64" s="678"/>
    </row>
    <row r="65" spans="2:22" x14ac:dyDescent="0.2">
      <c r="C65" s="610" t="s">
        <v>278</v>
      </c>
      <c r="D65" s="611">
        <f t="shared" si="5"/>
        <v>2013</v>
      </c>
      <c r="E65" s="710"/>
      <c r="F65" s="647" t="str">
        <f t="shared" si="7"/>
        <v>Actual</v>
      </c>
      <c r="G65" s="644">
        <f>'Input - Customer Data'!F12</f>
        <v>5946.5</v>
      </c>
      <c r="H65" s="680" t="str">
        <f t="shared" si="6"/>
        <v>Board-approved</v>
      </c>
      <c r="I65" s="616"/>
      <c r="J65" s="710"/>
      <c r="K65" s="645" t="str">
        <f t="shared" si="8"/>
        <v>Actual</v>
      </c>
      <c r="L65" s="666">
        <f>'Bridge&amp;Test Year Class Forecast'!B11</f>
        <v>46177614</v>
      </c>
      <c r="M65" s="666">
        <f>'Bridge&amp;Test Year Class Forecast'!F11</f>
        <v>45855881.363355793</v>
      </c>
      <c r="N65" s="646" t="str">
        <f t="shared" si="9"/>
        <v>Board-approved</v>
      </c>
      <c r="O65" s="616"/>
      <c r="P65" s="710"/>
      <c r="Q65" s="645" t="str">
        <f t="shared" si="10"/>
        <v>Actual</v>
      </c>
      <c r="R65" s="711">
        <f t="shared" si="11"/>
        <v>7765.5114773396117</v>
      </c>
      <c r="S65" s="693">
        <f t="shared" si="12"/>
        <v>7711.4069390996037</v>
      </c>
      <c r="T65" s="693" t="str">
        <f t="shared" si="13"/>
        <v>Board-approved</v>
      </c>
      <c r="U65" s="693" t="str">
        <f t="shared" si="14"/>
        <v/>
      </c>
      <c r="V65" s="678"/>
    </row>
    <row r="66" spans="2:22" x14ac:dyDescent="0.2">
      <c r="C66" s="610" t="s">
        <v>278</v>
      </c>
      <c r="D66" s="611">
        <f t="shared" si="5"/>
        <v>2014</v>
      </c>
      <c r="E66" s="710"/>
      <c r="F66" s="647" t="str">
        <f t="shared" si="7"/>
        <v>Actual</v>
      </c>
      <c r="G66" s="644">
        <f>'Input - Customer Data'!F13</f>
        <v>5961</v>
      </c>
      <c r="H66" s="680" t="str">
        <f t="shared" si="6"/>
        <v/>
      </c>
      <c r="I66" s="681"/>
      <c r="J66" s="710"/>
      <c r="K66" s="645" t="str">
        <f t="shared" si="8"/>
        <v>Actual</v>
      </c>
      <c r="L66" s="666">
        <f>'Bridge&amp;Test Year Class Forecast'!B12</f>
        <v>45098159</v>
      </c>
      <c r="M66" s="666">
        <f>'Bridge&amp;Test Year Class Forecast'!F12</f>
        <v>45491149.951531768</v>
      </c>
      <c r="N66" s="646" t="str">
        <f t="shared" si="9"/>
        <v/>
      </c>
      <c r="O66" s="681"/>
      <c r="P66" s="710"/>
      <c r="Q66" s="645" t="str">
        <f t="shared" si="10"/>
        <v>Actual</v>
      </c>
      <c r="R66" s="711">
        <f t="shared" si="11"/>
        <v>7565.5358161382319</v>
      </c>
      <c r="S66" s="693">
        <f t="shared" si="12"/>
        <v>7631.4628336741771</v>
      </c>
      <c r="T66" s="693" t="str">
        <f t="shared" si="13"/>
        <v/>
      </c>
      <c r="U66" s="693" t="str">
        <f t="shared" si="14"/>
        <v/>
      </c>
      <c r="V66" s="678"/>
    </row>
    <row r="67" spans="2:22" x14ac:dyDescent="0.2">
      <c r="C67" s="610" t="s">
        <v>278</v>
      </c>
      <c r="D67" s="611">
        <f t="shared" si="5"/>
        <v>2015</v>
      </c>
      <c r="E67" s="710"/>
      <c r="F67" s="647" t="str">
        <f t="shared" si="7"/>
        <v>Actual</v>
      </c>
      <c r="G67" s="644">
        <f>'Input - Customer Data'!F14</f>
        <v>5988.5</v>
      </c>
      <c r="H67" s="680" t="str">
        <f t="shared" si="6"/>
        <v/>
      </c>
      <c r="I67" s="681"/>
      <c r="J67" s="710"/>
      <c r="K67" s="645" t="str">
        <f t="shared" si="8"/>
        <v>Actual</v>
      </c>
      <c r="L67" s="666">
        <f>'Bridge&amp;Test Year Class Forecast'!B13</f>
        <v>44914361</v>
      </c>
      <c r="M67" s="666">
        <f>'Bridge&amp;Test Year Class Forecast'!F13</f>
        <v>45102913.851007625</v>
      </c>
      <c r="N67" s="646" t="str">
        <f t="shared" si="9"/>
        <v/>
      </c>
      <c r="O67" s="681"/>
      <c r="P67" s="710"/>
      <c r="Q67" s="645" t="str">
        <f t="shared" si="10"/>
        <v>Actual</v>
      </c>
      <c r="R67" s="711">
        <f t="shared" si="11"/>
        <v>7500.102028888703</v>
      </c>
      <c r="S67" s="693">
        <f t="shared" si="12"/>
        <v>7531.5878518840491</v>
      </c>
      <c r="T67" s="693" t="str">
        <f t="shared" si="13"/>
        <v/>
      </c>
      <c r="U67" s="693" t="str">
        <f t="shared" si="14"/>
        <v/>
      </c>
      <c r="V67" s="678"/>
    </row>
    <row r="68" spans="2:22" x14ac:dyDescent="0.2">
      <c r="C68" s="610" t="s">
        <v>54</v>
      </c>
      <c r="D68" s="611">
        <f t="shared" si="5"/>
        <v>2016</v>
      </c>
      <c r="E68" s="710"/>
      <c r="F68" s="647" t="str">
        <f t="shared" si="7"/>
        <v>Forecast</v>
      </c>
      <c r="G68" s="644">
        <f>'Input - Customer Data'!F19</f>
        <v>6047.4668331756211</v>
      </c>
      <c r="H68" s="680" t="str">
        <f t="shared" si="6"/>
        <v/>
      </c>
      <c r="I68" s="681"/>
      <c r="J68" s="710"/>
      <c r="K68" s="645" t="str">
        <f t="shared" si="8"/>
        <v>Forecast</v>
      </c>
      <c r="L68" s="682"/>
      <c r="M68" s="666">
        <f>'Bridge&amp;Test Year Class Forecast'!F14</f>
        <v>45507125.129285187</v>
      </c>
      <c r="N68" s="646" t="str">
        <f t="shared" si="9"/>
        <v/>
      </c>
      <c r="O68" s="681"/>
      <c r="P68" s="710"/>
      <c r="Q68" s="645" t="str">
        <f t="shared" si="10"/>
        <v>Forecast</v>
      </c>
      <c r="R68" s="711">
        <f t="shared" si="11"/>
        <v>0</v>
      </c>
      <c r="S68" s="693">
        <f t="shared" si="12"/>
        <v>7524.9896170804914</v>
      </c>
      <c r="T68" s="693" t="str">
        <f t="shared" si="13"/>
        <v/>
      </c>
      <c r="U68" s="693" t="str">
        <f t="shared" si="14"/>
        <v/>
      </c>
      <c r="V68" s="678"/>
    </row>
    <row r="69" spans="2:22" ht="13.5" thickBot="1" x14ac:dyDescent="0.25">
      <c r="C69" s="617" t="s">
        <v>53</v>
      </c>
      <c r="D69" s="618">
        <v>2017</v>
      </c>
      <c r="E69" s="677"/>
      <c r="F69" s="648" t="str">
        <f t="shared" si="7"/>
        <v>Forecast</v>
      </c>
      <c r="G69" s="644">
        <f>'Input - Customer Data'!F20</f>
        <v>6107.0142937896262</v>
      </c>
      <c r="H69" s="685" t="str">
        <f t="shared" si="6"/>
        <v/>
      </c>
      <c r="I69" s="687"/>
      <c r="J69" s="677"/>
      <c r="K69" s="650" t="str">
        <f t="shared" si="8"/>
        <v>Forecast</v>
      </c>
      <c r="L69" s="686"/>
      <c r="M69" s="666">
        <f>'Bridge&amp;Test Year Class Forecast'!F15</f>
        <v>45602321.008068956</v>
      </c>
      <c r="N69" s="651" t="str">
        <f t="shared" si="9"/>
        <v/>
      </c>
      <c r="O69" s="687"/>
      <c r="P69" s="677"/>
      <c r="Q69" s="650" t="str">
        <f t="shared" si="10"/>
        <v>Forecast</v>
      </c>
      <c r="R69" s="712">
        <f t="shared" si="11"/>
        <v>0</v>
      </c>
      <c r="S69" s="699">
        <f t="shared" si="12"/>
        <v>7467.2039091906308</v>
      </c>
      <c r="T69" s="699" t="str">
        <f t="shared" si="13"/>
        <v/>
      </c>
      <c r="U69" s="699" t="str">
        <f t="shared" si="14"/>
        <v/>
      </c>
      <c r="V69" s="678"/>
    </row>
    <row r="70" spans="2:22" ht="13.5" thickBot="1" x14ac:dyDescent="0.25">
      <c r="B70" s="693"/>
      <c r="C70" s="652"/>
      <c r="I70" s="623">
        <f>SUM(I63:I68)</f>
        <v>0</v>
      </c>
      <c r="O70" s="623">
        <f>SUM(O63:O68)</f>
        <v>0</v>
      </c>
      <c r="U70" s="623">
        <f>SUM(U63:U68)</f>
        <v>0</v>
      </c>
    </row>
    <row r="71" spans="2:22" ht="39" thickBot="1" x14ac:dyDescent="0.25">
      <c r="C71" s="653" t="s">
        <v>279</v>
      </c>
      <c r="D71" s="654" t="s">
        <v>80</v>
      </c>
      <c r="E71" s="688"/>
      <c r="F71" s="688"/>
      <c r="G71" s="628" t="s">
        <v>280</v>
      </c>
      <c r="H71" s="688"/>
      <c r="I71" s="630" t="s">
        <v>287</v>
      </c>
      <c r="J71" s="713"/>
      <c r="K71" s="627" t="s">
        <v>80</v>
      </c>
      <c r="L71" s="816" t="s">
        <v>280</v>
      </c>
      <c r="M71" s="816"/>
      <c r="N71" s="688"/>
      <c r="O71" s="630" t="str">
        <f>I71</f>
        <v>Test Year Versus Board-approved</v>
      </c>
      <c r="P71" s="597"/>
      <c r="Q71" s="627" t="s">
        <v>80</v>
      </c>
      <c r="R71" s="816" t="s">
        <v>280</v>
      </c>
      <c r="S71" s="816"/>
      <c r="T71" s="688"/>
      <c r="U71" s="630" t="str">
        <f>O71</f>
        <v>Test Year Versus Board-approved</v>
      </c>
    </row>
    <row r="72" spans="2:22" x14ac:dyDescent="0.2">
      <c r="C72" s="710"/>
      <c r="D72" s="655">
        <f t="shared" ref="D72:D78" si="15">D63</f>
        <v>2011</v>
      </c>
      <c r="E72" s="693"/>
      <c r="F72" s="693"/>
      <c r="G72" s="714"/>
      <c r="H72" s="693"/>
      <c r="I72" s="715"/>
      <c r="J72" s="716"/>
      <c r="K72" s="611">
        <f>D72</f>
        <v>2011</v>
      </c>
      <c r="L72" s="695"/>
      <c r="M72" s="695"/>
      <c r="N72" s="693"/>
      <c r="O72" s="681"/>
      <c r="P72" s="710"/>
      <c r="Q72" s="611">
        <f>K72</f>
        <v>2011</v>
      </c>
      <c r="R72" s="717"/>
      <c r="S72" s="717"/>
      <c r="T72" s="693"/>
      <c r="U72" s="681"/>
    </row>
    <row r="73" spans="2:22" x14ac:dyDescent="0.2">
      <c r="C73" s="710"/>
      <c r="D73" s="656">
        <f t="shared" si="15"/>
        <v>2012</v>
      </c>
      <c r="E73" s="693"/>
      <c r="F73" s="693"/>
      <c r="G73" s="718">
        <f t="shared" ref="G73:G78" si="16">IF(G63=0,"",G64/G63-1)</f>
        <v>1.8346253229974074E-2</v>
      </c>
      <c r="H73" s="693"/>
      <c r="I73" s="715"/>
      <c r="J73" s="716"/>
      <c r="K73" s="611">
        <f t="shared" ref="K73:K79" si="17">D73</f>
        <v>2012</v>
      </c>
      <c r="L73" s="697">
        <f t="shared" ref="L73:M76" si="18">IF(L63=0,"",L64/L63-1)</f>
        <v>2.7729279454842715E-2</v>
      </c>
      <c r="M73" s="697">
        <f t="shared" si="18"/>
        <v>1.3906727738414615E-2</v>
      </c>
      <c r="N73" s="693"/>
      <c r="O73" s="681"/>
      <c r="P73" s="710"/>
      <c r="Q73" s="611">
        <f t="shared" ref="Q73:Q79" si="19">K73</f>
        <v>2012</v>
      </c>
      <c r="R73" s="719">
        <f>IF(R63="","",IF(R63=0,"",R64/R63-1))</f>
        <v>9.2139841386047472E-3</v>
      </c>
      <c r="S73" s="719">
        <f>IF(S63="","",IF(S63=0,"",S64/S63-1))</f>
        <v>-4.35954418988449E-3</v>
      </c>
      <c r="T73" s="693"/>
      <c r="U73" s="681"/>
    </row>
    <row r="74" spans="2:22" x14ac:dyDescent="0.2">
      <c r="C74" s="710"/>
      <c r="D74" s="656">
        <f t="shared" si="15"/>
        <v>2013</v>
      </c>
      <c r="E74" s="693"/>
      <c r="F74" s="693"/>
      <c r="G74" s="718">
        <f t="shared" si="16"/>
        <v>5.9206631142687538E-3</v>
      </c>
      <c r="H74" s="693"/>
      <c r="I74" s="715"/>
      <c r="J74" s="716"/>
      <c r="K74" s="611">
        <f t="shared" si="17"/>
        <v>2013</v>
      </c>
      <c r="L74" s="697">
        <f t="shared" si="18"/>
        <v>-6.4588888000293165E-3</v>
      </c>
      <c r="M74" s="697">
        <f t="shared" si="18"/>
        <v>1.6040398389245425E-3</v>
      </c>
      <c r="N74" s="693"/>
      <c r="O74" s="681"/>
      <c r="P74" s="710"/>
      <c r="Q74" s="611">
        <f t="shared" si="19"/>
        <v>2013</v>
      </c>
      <c r="R74" s="719">
        <f t="shared" ref="R74:S78" si="20">IF(R64="","",IF(R64=0,"",R65/R64-1))</f>
        <v>-1.2306688159652412E-2</v>
      </c>
      <c r="S74" s="719">
        <f t="shared" si="20"/>
        <v>-4.2912164285205945E-3</v>
      </c>
      <c r="T74" s="693"/>
      <c r="U74" s="681"/>
    </row>
    <row r="75" spans="2:22" x14ac:dyDescent="0.2">
      <c r="C75" s="710"/>
      <c r="D75" s="656">
        <f t="shared" si="15"/>
        <v>2014</v>
      </c>
      <c r="E75" s="693"/>
      <c r="F75" s="693"/>
      <c r="G75" s="718">
        <f t="shared" si="16"/>
        <v>2.4384091482385628E-3</v>
      </c>
      <c r="H75" s="693"/>
      <c r="I75" s="715"/>
      <c r="J75" s="716"/>
      <c r="K75" s="611">
        <f t="shared" si="17"/>
        <v>2014</v>
      </c>
      <c r="L75" s="697">
        <f t="shared" si="18"/>
        <v>-2.3376153648822173E-2</v>
      </c>
      <c r="M75" s="697">
        <f t="shared" si="18"/>
        <v>-7.9538632991031921E-3</v>
      </c>
      <c r="N75" s="693"/>
      <c r="O75" s="681"/>
      <c r="P75" s="710"/>
      <c r="Q75" s="611">
        <f t="shared" si="19"/>
        <v>2014</v>
      </c>
      <c r="R75" s="719">
        <f t="shared" si="20"/>
        <v>-2.5751769446858086E-2</v>
      </c>
      <c r="S75" s="719">
        <f t="shared" si="20"/>
        <v>-1.0366993475610986E-2</v>
      </c>
      <c r="T75" s="693"/>
      <c r="U75" s="681"/>
    </row>
    <row r="76" spans="2:22" x14ac:dyDescent="0.2">
      <c r="C76" s="710"/>
      <c r="D76" s="656">
        <f t="shared" si="15"/>
        <v>2015</v>
      </c>
      <c r="E76" s="693"/>
      <c r="F76" s="693"/>
      <c r="G76" s="718">
        <f t="shared" si="16"/>
        <v>4.6133199127662561E-3</v>
      </c>
      <c r="H76" s="693"/>
      <c r="I76" s="715"/>
      <c r="J76" s="716"/>
      <c r="K76" s="611">
        <f t="shared" si="17"/>
        <v>2015</v>
      </c>
      <c r="L76" s="697">
        <f t="shared" si="18"/>
        <v>-4.0755100446561165E-3</v>
      </c>
      <c r="M76" s="697">
        <f t="shared" si="18"/>
        <v>-8.5343215315020204E-3</v>
      </c>
      <c r="N76" s="693"/>
      <c r="O76" s="681"/>
      <c r="P76" s="710"/>
      <c r="Q76" s="611">
        <f t="shared" si="19"/>
        <v>2015</v>
      </c>
      <c r="R76" s="719">
        <f t="shared" si="20"/>
        <v>-8.6489296779153069E-3</v>
      </c>
      <c r="S76" s="719">
        <f t="shared" si="20"/>
        <v>-1.3087265700807094E-2</v>
      </c>
      <c r="T76" s="693"/>
      <c r="U76" s="681"/>
    </row>
    <row r="77" spans="2:22" x14ac:dyDescent="0.2">
      <c r="C77" s="710"/>
      <c r="D77" s="656">
        <f t="shared" si="15"/>
        <v>2016</v>
      </c>
      <c r="E77" s="693"/>
      <c r="F77" s="693"/>
      <c r="G77" s="718">
        <f t="shared" si="16"/>
        <v>9.8466783294015592E-3</v>
      </c>
      <c r="H77" s="693"/>
      <c r="I77" s="715"/>
      <c r="J77" s="716"/>
      <c r="K77" s="611">
        <f t="shared" si="17"/>
        <v>2016</v>
      </c>
      <c r="L77" s="697" t="str">
        <f>IF(K68="Forecast","",IF(L67=0,"",L68/L67-1))</f>
        <v/>
      </c>
      <c r="M77" s="697">
        <f>IF(M67=0,"",M68/M67-1)</f>
        <v>8.9619770379543162E-3</v>
      </c>
      <c r="N77" s="693"/>
      <c r="O77" s="681"/>
      <c r="P77" s="710"/>
      <c r="Q77" s="611">
        <f t="shared" si="19"/>
        <v>2016</v>
      </c>
      <c r="R77" s="719" t="str">
        <f>IF(Q68="Forecast","",IF(R67=0,"",R68/R67-1))</f>
        <v/>
      </c>
      <c r="S77" s="719">
        <f t="shared" si="20"/>
        <v>-8.7607486406826585E-4</v>
      </c>
      <c r="T77" s="693"/>
      <c r="U77" s="681"/>
    </row>
    <row r="78" spans="2:22" x14ac:dyDescent="0.2">
      <c r="C78" s="710"/>
      <c r="D78" s="656">
        <f t="shared" si="15"/>
        <v>2017</v>
      </c>
      <c r="E78" s="693"/>
      <c r="F78" s="693"/>
      <c r="G78" s="718">
        <f t="shared" si="16"/>
        <v>9.8466783294015592E-3</v>
      </c>
      <c r="H78" s="693"/>
      <c r="I78" s="720" t="str">
        <f>IF(I70=0,"",G69/I70-1)</f>
        <v/>
      </c>
      <c r="J78" s="716"/>
      <c r="K78" s="611">
        <f t="shared" si="17"/>
        <v>2017</v>
      </c>
      <c r="L78" s="697" t="str">
        <f>IF(K69="Forecast","",IF(L68=0,"",L69/L68-1))</f>
        <v/>
      </c>
      <c r="M78" s="697">
        <f>IF(M68=0,"",M69/M68-1)</f>
        <v>2.0918895340744648E-3</v>
      </c>
      <c r="N78" s="693"/>
      <c r="O78" s="698" t="str">
        <f>IF(O70=0,"",M69/O70-1)</f>
        <v/>
      </c>
      <c r="P78" s="710"/>
      <c r="Q78" s="611">
        <f t="shared" si="19"/>
        <v>2017</v>
      </c>
      <c r="R78" s="719" t="str">
        <f>IF(Q69="Forecast","",IF(R68=0,"",R69/R68-1))</f>
        <v/>
      </c>
      <c r="S78" s="719">
        <f t="shared" si="20"/>
        <v>-7.6791744348320146E-3</v>
      </c>
      <c r="T78" s="693"/>
      <c r="U78" s="698" t="str">
        <f>IF(U70=0,"",S69/U70-1)</f>
        <v/>
      </c>
    </row>
    <row r="79" spans="2:22" ht="26.25" thickBot="1" x14ac:dyDescent="0.25">
      <c r="C79" s="677"/>
      <c r="D79" s="721" t="s">
        <v>282</v>
      </c>
      <c r="E79" s="699"/>
      <c r="F79" s="699"/>
      <c r="G79" s="722">
        <f>IF(G63=0,"",GEOMEAN(G73:G78))</f>
        <v>7.0081420767009704E-3</v>
      </c>
      <c r="H79" s="699"/>
      <c r="I79" s="723" t="s">
        <v>312</v>
      </c>
      <c r="J79" s="702"/>
      <c r="K79" s="703" t="str">
        <f t="shared" si="17"/>
        <v>Geometric Mean</v>
      </c>
      <c r="L79" s="704"/>
      <c r="M79" s="704">
        <f>IF(M63=0,"",(M69/M63)^(1/(K78-K72-1)-1))</f>
        <v>0.99213602711377025</v>
      </c>
      <c r="N79" s="699"/>
      <c r="O79" s="705" t="s">
        <v>312</v>
      </c>
      <c r="P79" s="677"/>
      <c r="Q79" s="703" t="str">
        <f t="shared" si="19"/>
        <v>Geometric Mean</v>
      </c>
      <c r="R79" s="724"/>
      <c r="S79" s="704">
        <f>IF(S63="","",IF(S63=0,"",(S69/S63)^(1/(Q78-Q72-1)-1)))</f>
        <v>1.0332194909713304</v>
      </c>
      <c r="T79" s="699"/>
      <c r="U79" s="705" t="s">
        <v>312</v>
      </c>
    </row>
    <row r="81" spans="3:21" ht="13.5" thickBot="1" x14ac:dyDescent="0.25">
      <c r="Q81" s="699"/>
      <c r="R81" s="699"/>
      <c r="S81" s="699"/>
      <c r="T81" s="699"/>
      <c r="U81" s="699"/>
    </row>
    <row r="82" spans="3:21" x14ac:dyDescent="0.2">
      <c r="C82" s="597"/>
      <c r="D82" s="598" t="s">
        <v>274</v>
      </c>
      <c r="E82" s="598"/>
      <c r="F82" s="829" t="s">
        <v>240</v>
      </c>
      <c r="G82" s="830"/>
      <c r="H82" s="830"/>
      <c r="I82" s="831"/>
      <c r="K82" s="812" t="str">
        <f>IF(ISBLANK(N59),"",CONCATENATE("Demand (",N59,")"))</f>
        <v>Demand (kWh)</v>
      </c>
      <c r="L82" s="813"/>
      <c r="M82" s="813"/>
      <c r="N82" s="813"/>
      <c r="O82" s="814"/>
      <c r="Q82" s="823" t="str">
        <f>CONCATENATE("Demand (",N59,") per ",LEFT(F61,LEN(F61)-1))</f>
        <v>Demand (kWh) per Customer</v>
      </c>
      <c r="R82" s="824"/>
      <c r="S82" s="824"/>
      <c r="T82" s="824"/>
      <c r="U82" s="825"/>
    </row>
    <row r="83" spans="3:21" ht="39" thickBot="1" x14ac:dyDescent="0.25">
      <c r="C83" s="677"/>
      <c r="D83" s="602" t="s">
        <v>311</v>
      </c>
      <c r="E83" s="610"/>
      <c r="F83" s="826"/>
      <c r="G83" s="827"/>
      <c r="H83" s="827"/>
      <c r="I83" s="638"/>
      <c r="K83" s="606"/>
      <c r="L83" s="607" t="s">
        <v>276</v>
      </c>
      <c r="M83" s="607" t="s">
        <v>277</v>
      </c>
      <c r="N83" s="608"/>
      <c r="O83" s="609" t="str">
        <f>M83</f>
        <v>Weather-normalized</v>
      </c>
      <c r="Q83" s="657"/>
      <c r="R83" s="607" t="str">
        <f>L83</f>
        <v>Actual (Weather actual)</v>
      </c>
      <c r="S83" s="607" t="str">
        <f>M83</f>
        <v>Weather-normalized</v>
      </c>
      <c r="T83" s="607"/>
      <c r="U83" s="658" t="str">
        <f>O83</f>
        <v>Weather-normalized</v>
      </c>
    </row>
    <row r="84" spans="3:21" x14ac:dyDescent="0.2">
      <c r="C84" s="610" t="s">
        <v>278</v>
      </c>
      <c r="D84" s="611">
        <f t="shared" ref="D84:D89" si="21">D85-1</f>
        <v>2011</v>
      </c>
      <c r="E84" s="710"/>
      <c r="F84" s="643" t="str">
        <f t="shared" ref="F84:F90" si="22">F63</f>
        <v>Actual</v>
      </c>
      <c r="G84" s="659"/>
      <c r="H84" s="679" t="str">
        <f t="shared" ref="H84:H90" si="23">IF(D84=2013,"Board-approved","")</f>
        <v/>
      </c>
      <c r="I84" s="725"/>
      <c r="K84" s="645" t="str">
        <f t="shared" ref="K84:K90" si="24">K63</f>
        <v>Actual</v>
      </c>
      <c r="L84" s="615"/>
      <c r="M84" s="615"/>
      <c r="N84" s="646" t="str">
        <f t="shared" ref="N84:N90" si="25">N63</f>
        <v/>
      </c>
      <c r="O84" s="681"/>
      <c r="Q84" s="645" t="str">
        <f>K84</f>
        <v>Actual</v>
      </c>
      <c r="R84" s="693" t="str">
        <f>IF(G84=0,"",L84/G84)</f>
        <v/>
      </c>
      <c r="S84" s="678" t="str">
        <f>IF(G84=0,"",M84/G84)</f>
        <v/>
      </c>
      <c r="T84" s="678" t="str">
        <f>N84</f>
        <v/>
      </c>
      <c r="U84" s="710" t="str">
        <f>IF(T84="","",IF(I84=0,"",O84/I84))</f>
        <v/>
      </c>
    </row>
    <row r="85" spans="3:21" x14ac:dyDescent="0.2">
      <c r="C85" s="610" t="s">
        <v>278</v>
      </c>
      <c r="D85" s="611">
        <f t="shared" si="21"/>
        <v>2012</v>
      </c>
      <c r="E85" s="710"/>
      <c r="F85" s="647" t="str">
        <f t="shared" si="22"/>
        <v>Actual</v>
      </c>
      <c r="G85" s="659"/>
      <c r="H85" s="679" t="str">
        <f t="shared" si="23"/>
        <v/>
      </c>
      <c r="I85" s="681"/>
      <c r="K85" s="645" t="str">
        <f t="shared" si="24"/>
        <v>Actual</v>
      </c>
      <c r="L85" s="615"/>
      <c r="M85" s="615"/>
      <c r="N85" s="646" t="str">
        <f t="shared" si="25"/>
        <v/>
      </c>
      <c r="O85" s="681"/>
      <c r="Q85" s="645" t="str">
        <f t="shared" ref="Q85:Q90" si="26">K85</f>
        <v>Actual</v>
      </c>
      <c r="R85" s="693" t="str">
        <f t="shared" ref="R85:R90" si="27">IF(G85=0,"",L85/G85)</f>
        <v/>
      </c>
      <c r="S85" s="678" t="str">
        <f t="shared" ref="S85:S90" si="28">IF(G85=0,"",M85/G85)</f>
        <v/>
      </c>
      <c r="T85" s="678" t="str">
        <f t="shared" ref="T85:T90" si="29">N85</f>
        <v/>
      </c>
      <c r="U85" s="710" t="str">
        <f t="shared" ref="U85:U90" si="30">IF(T85="","",IF(I85=0,"",O85/I85))</f>
        <v/>
      </c>
    </row>
    <row r="86" spans="3:21" x14ac:dyDescent="0.2">
      <c r="C86" s="610" t="s">
        <v>278</v>
      </c>
      <c r="D86" s="611">
        <f t="shared" si="21"/>
        <v>2013</v>
      </c>
      <c r="E86" s="710"/>
      <c r="F86" s="647" t="str">
        <f t="shared" si="22"/>
        <v>Actual</v>
      </c>
      <c r="G86" s="659"/>
      <c r="H86" s="679" t="str">
        <f t="shared" si="23"/>
        <v>Board-approved</v>
      </c>
      <c r="I86" s="660"/>
      <c r="K86" s="645" t="str">
        <f t="shared" si="24"/>
        <v>Actual</v>
      </c>
      <c r="L86" s="615"/>
      <c r="M86" s="615"/>
      <c r="N86" s="646" t="str">
        <f t="shared" si="25"/>
        <v>Board-approved</v>
      </c>
      <c r="O86" s="616"/>
      <c r="Q86" s="645" t="str">
        <f t="shared" si="26"/>
        <v>Actual</v>
      </c>
      <c r="R86" s="693" t="str">
        <f t="shared" si="27"/>
        <v/>
      </c>
      <c r="S86" s="678" t="str">
        <f t="shared" si="28"/>
        <v/>
      </c>
      <c r="T86" s="678" t="str">
        <f t="shared" si="29"/>
        <v>Board-approved</v>
      </c>
      <c r="U86" s="710" t="str">
        <f t="shared" si="30"/>
        <v/>
      </c>
    </row>
    <row r="87" spans="3:21" x14ac:dyDescent="0.2">
      <c r="C87" s="610" t="s">
        <v>278</v>
      </c>
      <c r="D87" s="611">
        <f t="shared" si="21"/>
        <v>2014</v>
      </c>
      <c r="E87" s="710"/>
      <c r="F87" s="647" t="str">
        <f t="shared" si="22"/>
        <v>Actual</v>
      </c>
      <c r="G87" s="659"/>
      <c r="H87" s="679" t="str">
        <f t="shared" si="23"/>
        <v/>
      </c>
      <c r="I87" s="681"/>
      <c r="K87" s="645" t="str">
        <f t="shared" si="24"/>
        <v>Actual</v>
      </c>
      <c r="L87" s="615"/>
      <c r="M87" s="615"/>
      <c r="N87" s="646" t="str">
        <f t="shared" si="25"/>
        <v/>
      </c>
      <c r="O87" s="681"/>
      <c r="Q87" s="645" t="str">
        <f t="shared" si="26"/>
        <v>Actual</v>
      </c>
      <c r="R87" s="693" t="str">
        <f t="shared" si="27"/>
        <v/>
      </c>
      <c r="S87" s="678" t="str">
        <f t="shared" si="28"/>
        <v/>
      </c>
      <c r="T87" s="678" t="str">
        <f t="shared" si="29"/>
        <v/>
      </c>
      <c r="U87" s="710" t="str">
        <f t="shared" si="30"/>
        <v/>
      </c>
    </row>
    <row r="88" spans="3:21" x14ac:dyDescent="0.2">
      <c r="C88" s="610" t="s">
        <v>278</v>
      </c>
      <c r="D88" s="611">
        <f t="shared" si="21"/>
        <v>2015</v>
      </c>
      <c r="E88" s="710"/>
      <c r="F88" s="647" t="str">
        <f t="shared" si="22"/>
        <v>Actual</v>
      </c>
      <c r="G88" s="659"/>
      <c r="H88" s="679" t="str">
        <f t="shared" si="23"/>
        <v/>
      </c>
      <c r="I88" s="681"/>
      <c r="K88" s="645" t="str">
        <f t="shared" si="24"/>
        <v>Actual</v>
      </c>
      <c r="L88" s="615"/>
      <c r="M88" s="615"/>
      <c r="N88" s="646" t="str">
        <f t="shared" si="25"/>
        <v/>
      </c>
      <c r="O88" s="681"/>
      <c r="Q88" s="645" t="str">
        <f t="shared" si="26"/>
        <v>Actual</v>
      </c>
      <c r="R88" s="693" t="str">
        <f t="shared" si="27"/>
        <v/>
      </c>
      <c r="S88" s="678" t="str">
        <f t="shared" si="28"/>
        <v/>
      </c>
      <c r="T88" s="678" t="str">
        <f t="shared" si="29"/>
        <v/>
      </c>
      <c r="U88" s="710" t="str">
        <f t="shared" si="30"/>
        <v/>
      </c>
    </row>
    <row r="89" spans="3:21" x14ac:dyDescent="0.2">
      <c r="C89" s="610" t="s">
        <v>288</v>
      </c>
      <c r="D89" s="611">
        <f t="shared" si="21"/>
        <v>2016</v>
      </c>
      <c r="E89" s="710"/>
      <c r="F89" s="647" t="str">
        <f t="shared" si="22"/>
        <v>Forecast</v>
      </c>
      <c r="G89" s="659"/>
      <c r="H89" s="679" t="str">
        <f t="shared" si="23"/>
        <v/>
      </c>
      <c r="I89" s="681"/>
      <c r="K89" s="645" t="str">
        <f t="shared" si="24"/>
        <v>Forecast</v>
      </c>
      <c r="L89" s="682"/>
      <c r="M89" s="726"/>
      <c r="N89" s="646" t="str">
        <f t="shared" si="25"/>
        <v/>
      </c>
      <c r="O89" s="681"/>
      <c r="Q89" s="645" t="str">
        <f t="shared" si="26"/>
        <v>Forecast</v>
      </c>
      <c r="R89" s="693" t="str">
        <f t="shared" si="27"/>
        <v/>
      </c>
      <c r="S89" s="678" t="str">
        <f t="shared" si="28"/>
        <v/>
      </c>
      <c r="T89" s="678" t="str">
        <f t="shared" si="29"/>
        <v/>
      </c>
      <c r="U89" s="710" t="str">
        <f t="shared" si="30"/>
        <v/>
      </c>
    </row>
    <row r="90" spans="3:21" ht="13.5" thickBot="1" x14ac:dyDescent="0.25">
      <c r="C90" s="617" t="s">
        <v>289</v>
      </c>
      <c r="D90" s="618">
        <v>2017</v>
      </c>
      <c r="E90" s="677"/>
      <c r="F90" s="648" t="str">
        <f t="shared" si="22"/>
        <v>Forecast</v>
      </c>
      <c r="G90" s="661"/>
      <c r="H90" s="684" t="str">
        <f t="shared" si="23"/>
        <v/>
      </c>
      <c r="I90" s="687"/>
      <c r="K90" s="650" t="str">
        <f t="shared" si="24"/>
        <v>Forecast</v>
      </c>
      <c r="L90" s="686"/>
      <c r="M90" s="727"/>
      <c r="N90" s="651" t="str">
        <f t="shared" si="25"/>
        <v/>
      </c>
      <c r="O90" s="687"/>
      <c r="Q90" s="728" t="str">
        <f t="shared" si="26"/>
        <v>Forecast</v>
      </c>
      <c r="R90" s="683" t="str">
        <f t="shared" si="27"/>
        <v/>
      </c>
      <c r="S90" s="683" t="str">
        <f t="shared" si="28"/>
        <v/>
      </c>
      <c r="T90" s="683" t="str">
        <f t="shared" si="29"/>
        <v/>
      </c>
      <c r="U90" s="677" t="str">
        <f t="shared" si="30"/>
        <v/>
      </c>
    </row>
    <row r="91" spans="3:21" ht="13.5" thickBot="1" x14ac:dyDescent="0.25">
      <c r="C91" s="652"/>
      <c r="I91" s="623">
        <f>SUM(I84:I89)</f>
        <v>0</v>
      </c>
      <c r="J91" s="693"/>
      <c r="O91" s="623">
        <f>SUM(O84:O89)</f>
        <v>0</v>
      </c>
      <c r="U91" s="623">
        <f>SUM(U84:U89)</f>
        <v>0</v>
      </c>
    </row>
    <row r="92" spans="3:21" ht="39" customHeight="1" thickBot="1" x14ac:dyDescent="0.25">
      <c r="C92" s="653" t="s">
        <v>279</v>
      </c>
      <c r="D92" s="654" t="s">
        <v>80</v>
      </c>
      <c r="E92" s="628"/>
      <c r="F92" s="628"/>
      <c r="G92" s="628" t="s">
        <v>280</v>
      </c>
      <c r="H92" s="628"/>
      <c r="I92" s="630" t="str">
        <f>I71</f>
        <v>Test Year Versus Board-approved</v>
      </c>
      <c r="J92" s="662"/>
      <c r="K92" s="627" t="s">
        <v>80</v>
      </c>
      <c r="L92" s="816" t="s">
        <v>280</v>
      </c>
      <c r="M92" s="816"/>
      <c r="N92" s="628"/>
      <c r="O92" s="630" t="str">
        <f>I92</f>
        <v>Test Year Versus Board-approved</v>
      </c>
      <c r="P92" s="663"/>
      <c r="Q92" s="627" t="s">
        <v>80</v>
      </c>
      <c r="R92" s="816" t="s">
        <v>280</v>
      </c>
      <c r="S92" s="816"/>
      <c r="T92" s="628"/>
      <c r="U92" s="630" t="str">
        <f>O92</f>
        <v>Test Year Versus Board-approved</v>
      </c>
    </row>
    <row r="93" spans="3:21" x14ac:dyDescent="0.2">
      <c r="C93" s="710"/>
      <c r="D93" s="664">
        <f t="shared" ref="D93:D99" si="31">D84</f>
        <v>2011</v>
      </c>
      <c r="E93" s="690"/>
      <c r="F93" s="693"/>
      <c r="G93" s="714"/>
      <c r="H93" s="693"/>
      <c r="I93" s="715"/>
      <c r="J93" s="710"/>
      <c r="K93" s="611">
        <f>D93</f>
        <v>2011</v>
      </c>
      <c r="L93" s="695"/>
      <c r="M93" s="695"/>
      <c r="N93" s="693"/>
      <c r="O93" s="616"/>
      <c r="P93" s="710"/>
      <c r="Q93" s="611">
        <f>K93</f>
        <v>2011</v>
      </c>
      <c r="R93" s="717"/>
      <c r="S93" s="717"/>
      <c r="T93" s="693"/>
      <c r="U93" s="681"/>
    </row>
    <row r="94" spans="3:21" x14ac:dyDescent="0.2">
      <c r="C94" s="710"/>
      <c r="D94" s="656">
        <f t="shared" si="31"/>
        <v>2012</v>
      </c>
      <c r="E94" s="693"/>
      <c r="F94" s="693"/>
      <c r="G94" s="718" t="str">
        <f t="shared" ref="G94:G99" si="32">IF(G84=0,"",G85/G84-1)</f>
        <v/>
      </c>
      <c r="H94" s="693"/>
      <c r="I94" s="715"/>
      <c r="J94" s="710"/>
      <c r="K94" s="611">
        <f t="shared" ref="K94:K100" si="33">D94</f>
        <v>2012</v>
      </c>
      <c r="L94" s="697" t="str">
        <f>IF(L84=0,"",L85/L84-1)</f>
        <v/>
      </c>
      <c r="M94" s="697" t="str">
        <f>IF(M84=0,"",M85/M84-1)</f>
        <v/>
      </c>
      <c r="N94" s="693"/>
      <c r="O94" s="616"/>
      <c r="P94" s="710"/>
      <c r="Q94" s="611">
        <f t="shared" ref="Q94:Q100" si="34">K94</f>
        <v>2012</v>
      </c>
      <c r="R94" s="719" t="str">
        <f>IF(R84="","",IF(R84=0,"",R85/R84-1))</f>
        <v/>
      </c>
      <c r="S94" s="719" t="str">
        <f>IF(S84="","",IF(S84=0,"",S85/S84-1))</f>
        <v/>
      </c>
      <c r="T94" s="693"/>
      <c r="U94" s="681"/>
    </row>
    <row r="95" spans="3:21" x14ac:dyDescent="0.2">
      <c r="C95" s="710"/>
      <c r="D95" s="665">
        <f t="shared" si="31"/>
        <v>2013</v>
      </c>
      <c r="E95" s="693"/>
      <c r="F95" s="693"/>
      <c r="G95" s="718" t="str">
        <f t="shared" si="32"/>
        <v/>
      </c>
      <c r="H95" s="693"/>
      <c r="I95" s="715"/>
      <c r="J95" s="710"/>
      <c r="K95" s="611">
        <f t="shared" si="33"/>
        <v>2013</v>
      </c>
      <c r="L95" s="697" t="str">
        <f t="shared" ref="L95:M99" si="35">IF(L85=0,"",L86/L85-1)</f>
        <v/>
      </c>
      <c r="M95" s="697" t="str">
        <f t="shared" si="35"/>
        <v/>
      </c>
      <c r="N95" s="693"/>
      <c r="O95" s="616"/>
      <c r="P95" s="710"/>
      <c r="Q95" s="611">
        <f t="shared" si="34"/>
        <v>2013</v>
      </c>
      <c r="R95" s="719" t="str">
        <f t="shared" ref="R95:S99" si="36">IF(R85="","",IF(R85=0,"",R86/R85-1))</f>
        <v/>
      </c>
      <c r="S95" s="719" t="str">
        <f t="shared" si="36"/>
        <v/>
      </c>
      <c r="T95" s="693"/>
      <c r="U95" s="681"/>
    </row>
    <row r="96" spans="3:21" x14ac:dyDescent="0.2">
      <c r="C96" s="710"/>
      <c r="D96" s="656">
        <f t="shared" si="31"/>
        <v>2014</v>
      </c>
      <c r="E96" s="693"/>
      <c r="F96" s="693"/>
      <c r="G96" s="718" t="str">
        <f t="shared" si="32"/>
        <v/>
      </c>
      <c r="H96" s="693"/>
      <c r="I96" s="715"/>
      <c r="J96" s="710"/>
      <c r="K96" s="611">
        <f t="shared" si="33"/>
        <v>2014</v>
      </c>
      <c r="L96" s="697" t="str">
        <f t="shared" si="35"/>
        <v/>
      </c>
      <c r="M96" s="697" t="str">
        <f t="shared" si="35"/>
        <v/>
      </c>
      <c r="N96" s="693"/>
      <c r="O96" s="616"/>
      <c r="P96" s="710"/>
      <c r="Q96" s="611">
        <f t="shared" si="34"/>
        <v>2014</v>
      </c>
      <c r="R96" s="719" t="str">
        <f t="shared" si="36"/>
        <v/>
      </c>
      <c r="S96" s="719" t="str">
        <f t="shared" si="36"/>
        <v/>
      </c>
      <c r="T96" s="693"/>
      <c r="U96" s="681"/>
    </row>
    <row r="97" spans="2:22" x14ac:dyDescent="0.2">
      <c r="C97" s="710"/>
      <c r="D97" s="656">
        <f t="shared" si="31"/>
        <v>2015</v>
      </c>
      <c r="E97" s="693"/>
      <c r="F97" s="693"/>
      <c r="G97" s="718" t="str">
        <f t="shared" si="32"/>
        <v/>
      </c>
      <c r="H97" s="693"/>
      <c r="I97" s="715"/>
      <c r="J97" s="710"/>
      <c r="K97" s="611">
        <f t="shared" si="33"/>
        <v>2015</v>
      </c>
      <c r="L97" s="697" t="str">
        <f t="shared" si="35"/>
        <v/>
      </c>
      <c r="M97" s="697" t="str">
        <f t="shared" si="35"/>
        <v/>
      </c>
      <c r="N97" s="693"/>
      <c r="O97" s="616"/>
      <c r="P97" s="710"/>
      <c r="Q97" s="611">
        <f t="shared" si="34"/>
        <v>2015</v>
      </c>
      <c r="R97" s="719" t="str">
        <f t="shared" si="36"/>
        <v/>
      </c>
      <c r="S97" s="719" t="str">
        <f t="shared" si="36"/>
        <v/>
      </c>
      <c r="T97" s="693"/>
      <c r="U97" s="681"/>
    </row>
    <row r="98" spans="2:22" x14ac:dyDescent="0.2">
      <c r="C98" s="710"/>
      <c r="D98" s="656">
        <f t="shared" si="31"/>
        <v>2016</v>
      </c>
      <c r="E98" s="693"/>
      <c r="F98" s="693"/>
      <c r="G98" s="718" t="str">
        <f t="shared" si="32"/>
        <v/>
      </c>
      <c r="H98" s="693"/>
      <c r="I98" s="715"/>
      <c r="J98" s="710"/>
      <c r="K98" s="611">
        <f t="shared" si="33"/>
        <v>2016</v>
      </c>
      <c r="L98" s="697" t="str">
        <f>IF(K89="Forecast","",IF(L88=0,"",L89/L88-1))</f>
        <v/>
      </c>
      <c r="M98" s="697" t="str">
        <f t="shared" si="35"/>
        <v/>
      </c>
      <c r="N98" s="693"/>
      <c r="O98" s="616"/>
      <c r="P98" s="710"/>
      <c r="Q98" s="611">
        <f t="shared" si="34"/>
        <v>2016</v>
      </c>
      <c r="R98" s="719" t="str">
        <f>IF(Q89="Forecast","",IF(R88=0,"",R89/R88-1))</f>
        <v/>
      </c>
      <c r="S98" s="719" t="str">
        <f t="shared" si="36"/>
        <v/>
      </c>
      <c r="T98" s="693"/>
      <c r="U98" s="681"/>
    </row>
    <row r="99" spans="2:22" x14ac:dyDescent="0.2">
      <c r="C99" s="710"/>
      <c r="D99" s="665">
        <f t="shared" si="31"/>
        <v>2017</v>
      </c>
      <c r="E99" s="693"/>
      <c r="F99" s="693"/>
      <c r="G99" s="718" t="str">
        <f t="shared" si="32"/>
        <v/>
      </c>
      <c r="H99" s="693"/>
      <c r="I99" s="720" t="str">
        <f>IF(I91=0,"",G90/I91-1)</f>
        <v/>
      </c>
      <c r="J99" s="710"/>
      <c r="K99" s="611">
        <f t="shared" si="33"/>
        <v>2017</v>
      </c>
      <c r="L99" s="697" t="str">
        <f>IF(K90="Forecast","",IF(L89=0,"",L90/L89-1))</f>
        <v/>
      </c>
      <c r="M99" s="697" t="str">
        <f t="shared" si="35"/>
        <v/>
      </c>
      <c r="N99" s="693"/>
      <c r="O99" s="729" t="str">
        <f>IF(O91=0,"",M90/O91-1)</f>
        <v/>
      </c>
      <c r="P99" s="710"/>
      <c r="Q99" s="611">
        <f t="shared" si="34"/>
        <v>2017</v>
      </c>
      <c r="R99" s="719" t="str">
        <f>IF(Q90="Forecast","",IF(R89=0,"",R90/R89-1))</f>
        <v/>
      </c>
      <c r="S99" s="719" t="str">
        <f t="shared" si="36"/>
        <v/>
      </c>
      <c r="T99" s="693"/>
      <c r="U99" s="698" t="str">
        <f>IF(U91=0,"",S90/U91-1)</f>
        <v/>
      </c>
    </row>
    <row r="100" spans="2:22" ht="26.25" thickBot="1" x14ac:dyDescent="0.25">
      <c r="C100" s="677"/>
      <c r="D100" s="721" t="s">
        <v>282</v>
      </c>
      <c r="E100" s="699"/>
      <c r="F100" s="699"/>
      <c r="G100" s="722" t="str">
        <f>IF(G84=0,"",GEOMEAN(G94:G99))</f>
        <v/>
      </c>
      <c r="H100" s="699"/>
      <c r="I100" s="705" t="s">
        <v>312</v>
      </c>
      <c r="J100" s="710"/>
      <c r="K100" s="703" t="str">
        <f t="shared" si="33"/>
        <v>Geometric Mean</v>
      </c>
      <c r="L100" s="704"/>
      <c r="M100" s="704" t="str">
        <f>IF(M84=0,"",GEOMEAN(M94:M99))</f>
        <v/>
      </c>
      <c r="N100" s="699"/>
      <c r="O100" s="705" t="s">
        <v>312</v>
      </c>
      <c r="P100" s="677"/>
      <c r="Q100" s="703" t="str">
        <f t="shared" si="34"/>
        <v>Geometric Mean</v>
      </c>
      <c r="R100" s="724"/>
      <c r="S100" s="704" t="str">
        <f>IF(S84="","",IF(S84=0,"",(S90/S84)^(1/(Q99-Q93-1)-1)))</f>
        <v/>
      </c>
      <c r="T100" s="699"/>
      <c r="U100" s="705" t="s">
        <v>312</v>
      </c>
    </row>
    <row r="101" spans="2:22" ht="13.5" thickBot="1" x14ac:dyDescent="0.25"/>
    <row r="102" spans="2:22" ht="13.5" thickBot="1" x14ac:dyDescent="0.25">
      <c r="B102" s="635">
        <v>2</v>
      </c>
      <c r="C102" s="636" t="s">
        <v>284</v>
      </c>
      <c r="D102" s="817" t="s">
        <v>290</v>
      </c>
      <c r="E102" s="818"/>
      <c r="F102" s="819"/>
      <c r="G102" s="707"/>
      <c r="H102" s="12" t="s">
        <v>285</v>
      </c>
      <c r="N102" s="708" t="s">
        <v>81</v>
      </c>
      <c r="O102" s="709"/>
      <c r="P102" s="709"/>
      <c r="Q102" s="709"/>
      <c r="R102" s="709"/>
      <c r="S102" s="709"/>
      <c r="T102" s="709"/>
      <c r="U102" s="709"/>
    </row>
    <row r="103" spans="2:22" ht="13.5" thickBot="1" x14ac:dyDescent="0.25">
      <c r="Q103" s="699"/>
      <c r="R103" s="699"/>
      <c r="S103" s="699"/>
      <c r="T103" s="699"/>
      <c r="U103" s="699"/>
    </row>
    <row r="104" spans="2:22" ht="12.75" customHeight="1" x14ac:dyDescent="0.2">
      <c r="C104" s="597"/>
      <c r="D104" s="598" t="s">
        <v>274</v>
      </c>
      <c r="E104" s="598"/>
      <c r="F104" s="820" t="s">
        <v>286</v>
      </c>
      <c r="G104" s="821"/>
      <c r="H104" s="821"/>
      <c r="I104" s="822"/>
      <c r="J104" s="598"/>
      <c r="K104" s="812" t="s">
        <v>275</v>
      </c>
      <c r="L104" s="813"/>
      <c r="M104" s="813"/>
      <c r="N104" s="813"/>
      <c r="O104" s="814"/>
      <c r="P104" s="599"/>
      <c r="Q104" s="823" t="str">
        <f>CONCATENATE("Consumption (kWh) per ",LEFT(F104,LEN(F104)-1))</f>
        <v>Consumption (kWh) per Customer</v>
      </c>
      <c r="R104" s="824"/>
      <c r="S104" s="824"/>
      <c r="T104" s="824"/>
      <c r="U104" s="825"/>
      <c r="V104" s="637"/>
    </row>
    <row r="105" spans="2:22" ht="39" thickBot="1" x14ac:dyDescent="0.25">
      <c r="C105" s="677"/>
      <c r="D105" s="602" t="s">
        <v>311</v>
      </c>
      <c r="E105" s="610"/>
      <c r="F105" s="826"/>
      <c r="G105" s="827"/>
      <c r="H105" s="828"/>
      <c r="I105" s="638"/>
      <c r="J105" s="610"/>
      <c r="K105" s="606"/>
      <c r="L105" s="607" t="s">
        <v>276</v>
      </c>
      <c r="M105" s="607" t="s">
        <v>277</v>
      </c>
      <c r="N105" s="608"/>
      <c r="O105" s="609" t="s">
        <v>277</v>
      </c>
      <c r="P105" s="610"/>
      <c r="Q105" s="639"/>
      <c r="R105" s="640" t="str">
        <f>L105</f>
        <v>Actual (Weather actual)</v>
      </c>
      <c r="S105" s="641" t="str">
        <f>M105</f>
        <v>Weather-normalized</v>
      </c>
      <c r="T105" s="641"/>
      <c r="U105" s="642" t="str">
        <f>O105</f>
        <v>Weather-normalized</v>
      </c>
      <c r="V105" s="637"/>
    </row>
    <row r="106" spans="2:22" x14ac:dyDescent="0.2">
      <c r="C106" s="610" t="s">
        <v>278</v>
      </c>
      <c r="D106" s="611">
        <f t="shared" ref="D106:D111" si="37">D107-1</f>
        <v>2011</v>
      </c>
      <c r="E106" s="710"/>
      <c r="F106" s="643" t="str">
        <f>F63</f>
        <v>Actual</v>
      </c>
      <c r="G106" s="644">
        <f>'Input - Customer Data'!H10</f>
        <v>707.5</v>
      </c>
      <c r="H106" s="680" t="str">
        <f t="shared" ref="H106:H112" si="38">IF(D106=2013,"Board-approved","")</f>
        <v/>
      </c>
      <c r="I106" s="681"/>
      <c r="J106" s="710"/>
      <c r="K106" s="645" t="str">
        <f>F106</f>
        <v>Actual</v>
      </c>
      <c r="L106" s="666">
        <f>'Bridge&amp;Test Year Class Forecast'!B36</f>
        <v>20304130</v>
      </c>
      <c r="M106" s="666">
        <f>'Bridge&amp;Test Year Class Forecast'!F36</f>
        <v>20273019.625678923</v>
      </c>
      <c r="N106" s="646" t="str">
        <f>H106</f>
        <v/>
      </c>
      <c r="O106" s="681"/>
      <c r="P106" s="710"/>
      <c r="Q106" s="645" t="str">
        <f>K106</f>
        <v>Actual</v>
      </c>
      <c r="R106" s="711">
        <f>IF(G106=0,"",L106/G106)</f>
        <v>28698.416961130741</v>
      </c>
      <c r="S106" s="693">
        <f>IF(G106=0,"",M106/G106)</f>
        <v>28654.444700606251</v>
      </c>
      <c r="T106" s="693" t="str">
        <f>N106</f>
        <v/>
      </c>
      <c r="U106" s="693" t="str">
        <f>IF(T106="","",IF(I106=0,"",O106/I106))</f>
        <v/>
      </c>
      <c r="V106" s="678"/>
    </row>
    <row r="107" spans="2:22" x14ac:dyDescent="0.2">
      <c r="C107" s="610" t="s">
        <v>278</v>
      </c>
      <c r="D107" s="611">
        <f t="shared" si="37"/>
        <v>2012</v>
      </c>
      <c r="E107" s="710"/>
      <c r="F107" s="647" t="str">
        <f t="shared" ref="F107:F112" si="39">F64</f>
        <v>Actual</v>
      </c>
      <c r="G107" s="644">
        <f>'Input - Customer Data'!H11</f>
        <v>711</v>
      </c>
      <c r="H107" s="680" t="str">
        <f t="shared" si="38"/>
        <v/>
      </c>
      <c r="I107" s="681"/>
      <c r="J107" s="710"/>
      <c r="K107" s="645" t="str">
        <f t="shared" ref="K107:K112" si="40">F107</f>
        <v>Actual</v>
      </c>
      <c r="L107" s="666">
        <f>'Bridge&amp;Test Year Class Forecast'!B37</f>
        <v>20342402</v>
      </c>
      <c r="M107" s="666">
        <f>'Bridge&amp;Test Year Class Forecast'!F37</f>
        <v>20038054.946400315</v>
      </c>
      <c r="N107" s="646" t="str">
        <f t="shared" ref="N107:N112" si="41">H107</f>
        <v/>
      </c>
      <c r="O107" s="681"/>
      <c r="P107" s="710"/>
      <c r="Q107" s="645" t="str">
        <f t="shared" ref="Q107:Q112" si="42">K107</f>
        <v>Actual</v>
      </c>
      <c r="R107" s="711">
        <f t="shared" ref="R107:R112" si="43">IF(G107=0,"",L107/G107)</f>
        <v>28610.973277074543</v>
      </c>
      <c r="S107" s="693">
        <f t="shared" ref="S107:S112" si="44">IF(G107=0,"",M107/G107)</f>
        <v>28182.91834936753</v>
      </c>
      <c r="T107" s="693" t="str">
        <f t="shared" ref="T107:T112" si="45">N107</f>
        <v/>
      </c>
      <c r="U107" s="693" t="str">
        <f t="shared" ref="U107:U112" si="46">IF(T107="","",IF(I107=0,"",O107/I107))</f>
        <v/>
      </c>
      <c r="V107" s="678"/>
    </row>
    <row r="108" spans="2:22" x14ac:dyDescent="0.2">
      <c r="C108" s="610" t="s">
        <v>278</v>
      </c>
      <c r="D108" s="611">
        <f t="shared" si="37"/>
        <v>2013</v>
      </c>
      <c r="E108" s="710"/>
      <c r="F108" s="647" t="str">
        <f t="shared" si="39"/>
        <v>Actual</v>
      </c>
      <c r="G108" s="644">
        <f>'Input - Customer Data'!H12</f>
        <v>715</v>
      </c>
      <c r="H108" s="680" t="str">
        <f t="shared" si="38"/>
        <v>Board-approved</v>
      </c>
      <c r="I108" s="616"/>
      <c r="J108" s="710"/>
      <c r="K108" s="645" t="str">
        <f t="shared" si="40"/>
        <v>Actual</v>
      </c>
      <c r="L108" s="666">
        <f>'Bridge&amp;Test Year Class Forecast'!B38</f>
        <v>20579869</v>
      </c>
      <c r="M108" s="666">
        <f>'Bridge&amp;Test Year Class Forecast'!F38</f>
        <v>20436483.169905741</v>
      </c>
      <c r="N108" s="646" t="str">
        <f t="shared" si="41"/>
        <v>Board-approved</v>
      </c>
      <c r="O108" s="616"/>
      <c r="P108" s="710"/>
      <c r="Q108" s="645" t="str">
        <f t="shared" si="42"/>
        <v>Actual</v>
      </c>
      <c r="R108" s="711">
        <f t="shared" si="43"/>
        <v>28783.033566433565</v>
      </c>
      <c r="S108" s="693">
        <f t="shared" si="44"/>
        <v>28582.493943924113</v>
      </c>
      <c r="T108" s="693" t="str">
        <f t="shared" si="45"/>
        <v>Board-approved</v>
      </c>
      <c r="U108" s="693" t="str">
        <f t="shared" si="46"/>
        <v/>
      </c>
      <c r="V108" s="678"/>
    </row>
    <row r="109" spans="2:22" x14ac:dyDescent="0.2">
      <c r="C109" s="610" t="s">
        <v>278</v>
      </c>
      <c r="D109" s="611">
        <f t="shared" si="37"/>
        <v>2014</v>
      </c>
      <c r="E109" s="710"/>
      <c r="F109" s="647" t="str">
        <f t="shared" si="39"/>
        <v>Actual</v>
      </c>
      <c r="G109" s="644">
        <f>'Input - Customer Data'!H13</f>
        <v>730</v>
      </c>
      <c r="H109" s="680" t="str">
        <f t="shared" si="38"/>
        <v/>
      </c>
      <c r="I109" s="681"/>
      <c r="J109" s="710"/>
      <c r="K109" s="645" t="str">
        <f t="shared" si="40"/>
        <v>Actual</v>
      </c>
      <c r="L109" s="666">
        <f>'Bridge&amp;Test Year Class Forecast'!B39</f>
        <v>21387560</v>
      </c>
      <c r="M109" s="666">
        <f>'Bridge&amp;Test Year Class Forecast'!F39</f>
        <v>21573933.850767229</v>
      </c>
      <c r="N109" s="646" t="str">
        <f t="shared" si="41"/>
        <v/>
      </c>
      <c r="O109" s="681"/>
      <c r="P109" s="710"/>
      <c r="Q109" s="645" t="str">
        <f t="shared" si="42"/>
        <v>Actual</v>
      </c>
      <c r="R109" s="711">
        <f t="shared" si="43"/>
        <v>29298.027397260274</v>
      </c>
      <c r="S109" s="693">
        <f t="shared" si="44"/>
        <v>29553.334042146889</v>
      </c>
      <c r="T109" s="693" t="str">
        <f t="shared" si="45"/>
        <v/>
      </c>
      <c r="U109" s="693" t="str">
        <f t="shared" si="46"/>
        <v/>
      </c>
      <c r="V109" s="678"/>
    </row>
    <row r="110" spans="2:22" x14ac:dyDescent="0.2">
      <c r="C110" s="610" t="s">
        <v>278</v>
      </c>
      <c r="D110" s="611">
        <f t="shared" si="37"/>
        <v>2015</v>
      </c>
      <c r="E110" s="710"/>
      <c r="F110" s="647" t="str">
        <f t="shared" si="39"/>
        <v>Actual</v>
      </c>
      <c r="G110" s="644">
        <f>'Input - Customer Data'!H14</f>
        <v>741.5</v>
      </c>
      <c r="H110" s="680" t="str">
        <f t="shared" si="38"/>
        <v/>
      </c>
      <c r="I110" s="681"/>
      <c r="J110" s="710"/>
      <c r="K110" s="645" t="str">
        <f t="shared" si="40"/>
        <v>Actual</v>
      </c>
      <c r="L110" s="666">
        <f>'Bridge&amp;Test Year Class Forecast'!B40</f>
        <v>23270825</v>
      </c>
      <c r="M110" s="666">
        <f>'Bridge&amp;Test Year Class Forecast'!F40</f>
        <v>23368517.147931248</v>
      </c>
      <c r="N110" s="646" t="str">
        <f t="shared" si="41"/>
        <v/>
      </c>
      <c r="O110" s="681"/>
      <c r="P110" s="710"/>
      <c r="Q110" s="645" t="str">
        <f t="shared" si="42"/>
        <v>Actual</v>
      </c>
      <c r="R110" s="711">
        <f t="shared" si="43"/>
        <v>31383.445718138908</v>
      </c>
      <c r="S110" s="693">
        <f t="shared" si="44"/>
        <v>31515.19507475556</v>
      </c>
      <c r="T110" s="693" t="str">
        <f t="shared" si="45"/>
        <v/>
      </c>
      <c r="U110" s="693" t="str">
        <f t="shared" si="46"/>
        <v/>
      </c>
      <c r="V110" s="678"/>
    </row>
    <row r="111" spans="2:22" x14ac:dyDescent="0.2">
      <c r="C111" s="610" t="s">
        <v>54</v>
      </c>
      <c r="D111" s="611">
        <f t="shared" si="37"/>
        <v>2016</v>
      </c>
      <c r="E111" s="710"/>
      <c r="F111" s="647" t="str">
        <f t="shared" si="39"/>
        <v>Forecast</v>
      </c>
      <c r="G111" s="644">
        <f>'Input - Customer Data'!H19</f>
        <v>749.77562632069578</v>
      </c>
      <c r="H111" s="680" t="str">
        <f t="shared" si="38"/>
        <v/>
      </c>
      <c r="I111" s="681"/>
      <c r="J111" s="710"/>
      <c r="K111" s="645" t="str">
        <f t="shared" si="40"/>
        <v>Forecast</v>
      </c>
      <c r="L111" s="682"/>
      <c r="M111" s="666">
        <f>'Bridge&amp;Test Year Class Forecast'!F41</f>
        <v>20960878.592927814</v>
      </c>
      <c r="N111" s="646" t="str">
        <f t="shared" si="41"/>
        <v/>
      </c>
      <c r="O111" s="681"/>
      <c r="P111" s="710"/>
      <c r="Q111" s="645" t="str">
        <f t="shared" si="42"/>
        <v>Forecast</v>
      </c>
      <c r="R111" s="711">
        <f t="shared" si="43"/>
        <v>0</v>
      </c>
      <c r="S111" s="693">
        <f t="shared" si="44"/>
        <v>27956.201638331702</v>
      </c>
      <c r="T111" s="693" t="str">
        <f t="shared" si="45"/>
        <v/>
      </c>
      <c r="U111" s="693" t="str">
        <f t="shared" si="46"/>
        <v/>
      </c>
      <c r="V111" s="678"/>
    </row>
    <row r="112" spans="2:22" ht="13.5" thickBot="1" x14ac:dyDescent="0.25">
      <c r="C112" s="617" t="s">
        <v>53</v>
      </c>
      <c r="D112" s="618">
        <v>2017</v>
      </c>
      <c r="E112" s="677"/>
      <c r="F112" s="648" t="str">
        <f t="shared" si="39"/>
        <v>Forecast</v>
      </c>
      <c r="G112" s="649">
        <f>'Input - Customer Data'!H20</f>
        <v>758.14361405878844</v>
      </c>
      <c r="H112" s="685" t="str">
        <f t="shared" si="38"/>
        <v/>
      </c>
      <c r="I112" s="687"/>
      <c r="J112" s="677"/>
      <c r="K112" s="650" t="str">
        <f t="shared" si="40"/>
        <v>Forecast</v>
      </c>
      <c r="L112" s="686"/>
      <c r="M112" s="666">
        <f>'Bridge&amp;Test Year Class Forecast'!F42</f>
        <v>21004726.435481369</v>
      </c>
      <c r="N112" s="651" t="str">
        <f t="shared" si="41"/>
        <v/>
      </c>
      <c r="O112" s="687"/>
      <c r="P112" s="677"/>
      <c r="Q112" s="650" t="str">
        <f t="shared" si="42"/>
        <v>Forecast</v>
      </c>
      <c r="R112" s="712">
        <f t="shared" si="43"/>
        <v>0</v>
      </c>
      <c r="S112" s="699">
        <f t="shared" si="44"/>
        <v>27705.471688972913</v>
      </c>
      <c r="T112" s="699" t="str">
        <f t="shared" si="45"/>
        <v/>
      </c>
      <c r="U112" s="699" t="str">
        <f t="shared" si="46"/>
        <v/>
      </c>
      <c r="V112" s="678"/>
    </row>
    <row r="113" spans="2:21" ht="13.5" thickBot="1" x14ac:dyDescent="0.25">
      <c r="B113" s="693"/>
      <c r="C113" s="652"/>
      <c r="I113" s="623">
        <f>SUM(I106:I111)</f>
        <v>0</v>
      </c>
      <c r="O113" s="623">
        <f>SUM(O106:O111)</f>
        <v>0</v>
      </c>
      <c r="U113" s="623">
        <f>SUM(U106:U111)</f>
        <v>0</v>
      </c>
    </row>
    <row r="114" spans="2:21" ht="39" thickBot="1" x14ac:dyDescent="0.25">
      <c r="C114" s="653" t="s">
        <v>279</v>
      </c>
      <c r="D114" s="654" t="s">
        <v>80</v>
      </c>
      <c r="E114" s="688"/>
      <c r="F114" s="688"/>
      <c r="G114" s="628" t="s">
        <v>280</v>
      </c>
      <c r="H114" s="688"/>
      <c r="I114" s="630" t="s">
        <v>287</v>
      </c>
      <c r="J114" s="713"/>
      <c r="K114" s="627" t="s">
        <v>80</v>
      </c>
      <c r="L114" s="816" t="s">
        <v>280</v>
      </c>
      <c r="M114" s="816"/>
      <c r="N114" s="688"/>
      <c r="O114" s="630" t="str">
        <f>I114</f>
        <v>Test Year Versus Board-approved</v>
      </c>
      <c r="P114" s="597"/>
      <c r="Q114" s="627" t="s">
        <v>80</v>
      </c>
      <c r="R114" s="816" t="s">
        <v>280</v>
      </c>
      <c r="S114" s="816"/>
      <c r="T114" s="688"/>
      <c r="U114" s="630" t="str">
        <f>O114</f>
        <v>Test Year Versus Board-approved</v>
      </c>
    </row>
    <row r="115" spans="2:21" x14ac:dyDescent="0.2">
      <c r="C115" s="710"/>
      <c r="D115" s="655">
        <f t="shared" ref="D115:D121" si="47">D106</f>
        <v>2011</v>
      </c>
      <c r="E115" s="693"/>
      <c r="F115" s="693"/>
      <c r="G115" s="714"/>
      <c r="H115" s="693"/>
      <c r="I115" s="715"/>
      <c r="J115" s="716"/>
      <c r="K115" s="611">
        <f>D115</f>
        <v>2011</v>
      </c>
      <c r="L115" s="695"/>
      <c r="M115" s="695"/>
      <c r="N115" s="693"/>
      <c r="O115" s="681"/>
      <c r="P115" s="710"/>
      <c r="Q115" s="611">
        <f>K115</f>
        <v>2011</v>
      </c>
      <c r="R115" s="717"/>
      <c r="S115" s="717"/>
      <c r="T115" s="693"/>
      <c r="U115" s="681"/>
    </row>
    <row r="116" spans="2:21" x14ac:dyDescent="0.2">
      <c r="C116" s="710"/>
      <c r="D116" s="656">
        <f t="shared" si="47"/>
        <v>2012</v>
      </c>
      <c r="E116" s="693"/>
      <c r="F116" s="693"/>
      <c r="G116" s="718">
        <f t="shared" ref="G116:G121" si="48">IF(G106=0,"",G107/G106-1)</f>
        <v>4.9469964664310417E-3</v>
      </c>
      <c r="H116" s="693"/>
      <c r="I116" s="715"/>
      <c r="J116" s="716"/>
      <c r="K116" s="611">
        <f t="shared" ref="K116:K122" si="49">D116</f>
        <v>2012</v>
      </c>
      <c r="L116" s="697">
        <f t="shared" ref="L116:M119" si="50">IF(L106=0,"",L107/L106-1)</f>
        <v>1.884936709920515E-3</v>
      </c>
      <c r="M116" s="697">
        <f t="shared" si="50"/>
        <v>-1.1590018833750326E-2</v>
      </c>
      <c r="N116" s="693"/>
      <c r="O116" s="681"/>
      <c r="P116" s="710"/>
      <c r="Q116" s="611">
        <f t="shared" ref="Q116:Q122" si="51">K116</f>
        <v>2012</v>
      </c>
      <c r="R116" s="719">
        <f>IF(R106="","",IF(R106=0,"",R107/R106-1))</f>
        <v>-3.046986325922818E-3</v>
      </c>
      <c r="S116" s="719">
        <f>IF(S106="","",IF(S106=0,"",S107/S106-1))</f>
        <v>-1.6455609458338016E-2</v>
      </c>
      <c r="T116" s="693"/>
      <c r="U116" s="681"/>
    </row>
    <row r="117" spans="2:21" x14ac:dyDescent="0.2">
      <c r="C117" s="710"/>
      <c r="D117" s="656">
        <f t="shared" si="47"/>
        <v>2013</v>
      </c>
      <c r="E117" s="693"/>
      <c r="F117" s="693"/>
      <c r="G117" s="718">
        <f t="shared" si="48"/>
        <v>5.6258790436005679E-3</v>
      </c>
      <c r="H117" s="693"/>
      <c r="I117" s="715"/>
      <c r="J117" s="716"/>
      <c r="K117" s="611">
        <f t="shared" si="49"/>
        <v>2013</v>
      </c>
      <c r="L117" s="697">
        <f t="shared" si="50"/>
        <v>1.1673498537684956E-2</v>
      </c>
      <c r="M117" s="697">
        <f t="shared" si="50"/>
        <v>1.9883577750993364E-2</v>
      </c>
      <c r="N117" s="693"/>
      <c r="O117" s="681"/>
      <c r="P117" s="710"/>
      <c r="Q117" s="611">
        <f t="shared" si="51"/>
        <v>2013</v>
      </c>
      <c r="R117" s="719">
        <f t="shared" ref="R117:S121" si="52">IF(R107="","",IF(R107=0,"",R108/R107-1))</f>
        <v>6.0137866577538723E-3</v>
      </c>
      <c r="S117" s="719">
        <f t="shared" si="52"/>
        <v>1.4177935357980731E-2</v>
      </c>
      <c r="T117" s="693"/>
      <c r="U117" s="681"/>
    </row>
    <row r="118" spans="2:21" x14ac:dyDescent="0.2">
      <c r="C118" s="710"/>
      <c r="D118" s="656">
        <f t="shared" si="47"/>
        <v>2014</v>
      </c>
      <c r="E118" s="693"/>
      <c r="F118" s="693"/>
      <c r="G118" s="718">
        <f t="shared" si="48"/>
        <v>2.0979020979021046E-2</v>
      </c>
      <c r="H118" s="693"/>
      <c r="I118" s="715"/>
      <c r="J118" s="716"/>
      <c r="K118" s="611">
        <f t="shared" si="49"/>
        <v>2014</v>
      </c>
      <c r="L118" s="697">
        <f t="shared" si="50"/>
        <v>3.9246654096777744E-2</v>
      </c>
      <c r="M118" s="697">
        <f t="shared" si="50"/>
        <v>5.5657848339408567E-2</v>
      </c>
      <c r="N118" s="693"/>
      <c r="O118" s="681"/>
      <c r="P118" s="710"/>
      <c r="Q118" s="611">
        <f t="shared" si="51"/>
        <v>2014</v>
      </c>
      <c r="R118" s="719">
        <f t="shared" si="52"/>
        <v>1.7892270793419263E-2</v>
      </c>
      <c r="S118" s="719">
        <f t="shared" si="52"/>
        <v>3.3966248715995961E-2</v>
      </c>
      <c r="T118" s="693"/>
      <c r="U118" s="681"/>
    </row>
    <row r="119" spans="2:21" x14ac:dyDescent="0.2">
      <c r="C119" s="710"/>
      <c r="D119" s="656">
        <f t="shared" si="47"/>
        <v>2015</v>
      </c>
      <c r="E119" s="693"/>
      <c r="F119" s="693"/>
      <c r="G119" s="718">
        <f t="shared" si="48"/>
        <v>1.5753424657534154E-2</v>
      </c>
      <c r="H119" s="693"/>
      <c r="I119" s="715"/>
      <c r="J119" s="716"/>
      <c r="K119" s="611">
        <f t="shared" si="49"/>
        <v>2015</v>
      </c>
      <c r="L119" s="697">
        <f t="shared" si="50"/>
        <v>8.8054224044257445E-2</v>
      </c>
      <c r="M119" s="697">
        <f t="shared" si="50"/>
        <v>8.3182942414565586E-2</v>
      </c>
      <c r="N119" s="693"/>
      <c r="O119" s="681"/>
      <c r="P119" s="710"/>
      <c r="Q119" s="611">
        <f t="shared" si="51"/>
        <v>2015</v>
      </c>
      <c r="R119" s="719">
        <f t="shared" si="52"/>
        <v>7.1179478829815235E-2</v>
      </c>
      <c r="S119" s="719">
        <f t="shared" si="52"/>
        <v>6.6383746409484745E-2</v>
      </c>
      <c r="T119" s="693"/>
      <c r="U119" s="681"/>
    </row>
    <row r="120" spans="2:21" x14ac:dyDescent="0.2">
      <c r="C120" s="710"/>
      <c r="D120" s="656">
        <f t="shared" si="47"/>
        <v>2016</v>
      </c>
      <c r="E120" s="693"/>
      <c r="F120" s="693"/>
      <c r="G120" s="718">
        <f t="shared" si="48"/>
        <v>1.1160655860682045E-2</v>
      </c>
      <c r="H120" s="693"/>
      <c r="I120" s="715"/>
      <c r="J120" s="716"/>
      <c r="K120" s="611">
        <f t="shared" si="49"/>
        <v>2016</v>
      </c>
      <c r="L120" s="697" t="str">
        <f>IF(K111="Forecast","",IF(L110=0,"",L111/L110-1))</f>
        <v/>
      </c>
      <c r="M120" s="697">
        <f>IF(M110=0,"",M111/M110-1)</f>
        <v>-0.10302915412913038</v>
      </c>
      <c r="N120" s="693"/>
      <c r="O120" s="681"/>
      <c r="P120" s="710"/>
      <c r="Q120" s="611">
        <f t="shared" si="51"/>
        <v>2016</v>
      </c>
      <c r="R120" s="719" t="str">
        <f>IF(Q111="Forecast","",IF(R110=0,"",R111/R110-1))</f>
        <v/>
      </c>
      <c r="S120" s="719">
        <f t="shared" si="52"/>
        <v>-0.1129294433361987</v>
      </c>
      <c r="T120" s="693"/>
      <c r="U120" s="681"/>
    </row>
    <row r="121" spans="2:21" x14ac:dyDescent="0.2">
      <c r="C121" s="710"/>
      <c r="D121" s="656">
        <f t="shared" si="47"/>
        <v>2017</v>
      </c>
      <c r="E121" s="693"/>
      <c r="F121" s="693"/>
      <c r="G121" s="718">
        <f t="shared" si="48"/>
        <v>1.1160655860682045E-2</v>
      </c>
      <c r="H121" s="693"/>
      <c r="I121" s="720" t="str">
        <f>IF(I113=0,"",G112/I113-1)</f>
        <v/>
      </c>
      <c r="J121" s="716"/>
      <c r="K121" s="611">
        <f t="shared" si="49"/>
        <v>2017</v>
      </c>
      <c r="L121" s="697" t="str">
        <f>IF(K112="Forecast","",IF(L111=0,"",L112/L111-1))</f>
        <v/>
      </c>
      <c r="M121" s="697">
        <f>IF(M111=0,"",M112/M111-1)</f>
        <v>2.0918895340746868E-3</v>
      </c>
      <c r="N121" s="693"/>
      <c r="O121" s="698" t="str">
        <f>IF(O113=0,"",M112/O113-1)</f>
        <v/>
      </c>
      <c r="P121" s="710"/>
      <c r="Q121" s="611">
        <f t="shared" si="51"/>
        <v>2017</v>
      </c>
      <c r="R121" s="719" t="str">
        <f>IF(Q112="Forecast","",IF(R111=0,"",R112/R111-1))</f>
        <v/>
      </c>
      <c r="S121" s="719">
        <f t="shared" si="52"/>
        <v>-8.9686700862467994E-3</v>
      </c>
      <c r="T121" s="693"/>
      <c r="U121" s="698" t="str">
        <f>IF(U113=0,"",S112/U113-1)</f>
        <v/>
      </c>
    </row>
    <row r="122" spans="2:21" ht="26.25" thickBot="1" x14ac:dyDescent="0.25">
      <c r="C122" s="677"/>
      <c r="D122" s="721" t="s">
        <v>282</v>
      </c>
      <c r="E122" s="699"/>
      <c r="F122" s="699"/>
      <c r="G122" s="722">
        <f>IF(G106=0,"",GEOMEAN(G116:G121))</f>
        <v>1.0229284801859619E-2</v>
      </c>
      <c r="H122" s="699"/>
      <c r="I122" s="723" t="s">
        <v>312</v>
      </c>
      <c r="J122" s="702"/>
      <c r="K122" s="703" t="str">
        <f t="shared" si="49"/>
        <v>Geometric Mean</v>
      </c>
      <c r="L122" s="704"/>
      <c r="M122" s="704">
        <f>IF(M106=0,"",(M112/M106)^(1/(K121-K115-1)-1))</f>
        <v>0.97203326781510535</v>
      </c>
      <c r="N122" s="699"/>
      <c r="O122" s="705" t="s">
        <v>312</v>
      </c>
      <c r="P122" s="677"/>
      <c r="Q122" s="703" t="str">
        <f t="shared" si="51"/>
        <v>Geometric Mean</v>
      </c>
      <c r="R122" s="724"/>
      <c r="S122" s="704">
        <f>IF(S106="","",IF(S106=0,"",(S112/S106)^(1/(Q121-Q115-1)-1)))</f>
        <v>1.0273091552447422</v>
      </c>
      <c r="T122" s="699"/>
      <c r="U122" s="705" t="s">
        <v>312</v>
      </c>
    </row>
    <row r="124" spans="2:21" ht="13.5" thickBot="1" x14ac:dyDescent="0.25">
      <c r="Q124" s="699"/>
      <c r="R124" s="699"/>
      <c r="S124" s="699"/>
      <c r="T124" s="699"/>
      <c r="U124" s="699"/>
    </row>
    <row r="125" spans="2:21" ht="12.75" customHeight="1" x14ac:dyDescent="0.2">
      <c r="C125" s="597"/>
      <c r="D125" s="598" t="s">
        <v>274</v>
      </c>
      <c r="E125" s="598"/>
      <c r="F125" s="829" t="s">
        <v>240</v>
      </c>
      <c r="G125" s="830"/>
      <c r="H125" s="830"/>
      <c r="I125" s="831"/>
      <c r="K125" s="812" t="str">
        <f>IF(ISBLANK(N102),"",CONCATENATE("Demand (",N102,")"))</f>
        <v>Demand (kWh)</v>
      </c>
      <c r="L125" s="813"/>
      <c r="M125" s="813"/>
      <c r="N125" s="813"/>
      <c r="O125" s="814"/>
      <c r="Q125" s="823" t="str">
        <f>CONCATENATE("Demand (",N102,") per ",LEFT(F104,LEN(F104)-1))</f>
        <v>Demand (kWh) per Customer</v>
      </c>
      <c r="R125" s="824"/>
      <c r="S125" s="824"/>
      <c r="T125" s="824"/>
      <c r="U125" s="825"/>
    </row>
    <row r="126" spans="2:21" ht="39" thickBot="1" x14ac:dyDescent="0.25">
      <c r="C126" s="677"/>
      <c r="D126" s="602" t="s">
        <v>311</v>
      </c>
      <c r="E126" s="610"/>
      <c r="F126" s="826"/>
      <c r="G126" s="827"/>
      <c r="H126" s="827"/>
      <c r="I126" s="638"/>
      <c r="K126" s="606"/>
      <c r="L126" s="607" t="s">
        <v>276</v>
      </c>
      <c r="M126" s="607" t="s">
        <v>277</v>
      </c>
      <c r="N126" s="608"/>
      <c r="O126" s="609" t="str">
        <f>M126</f>
        <v>Weather-normalized</v>
      </c>
      <c r="Q126" s="657"/>
      <c r="R126" s="607" t="str">
        <f>L126</f>
        <v>Actual (Weather actual)</v>
      </c>
      <c r="S126" s="607" t="str">
        <f>M126</f>
        <v>Weather-normalized</v>
      </c>
      <c r="T126" s="607"/>
      <c r="U126" s="658" t="str">
        <f>O126</f>
        <v>Weather-normalized</v>
      </c>
    </row>
    <row r="127" spans="2:21" x14ac:dyDescent="0.2">
      <c r="C127" s="610" t="s">
        <v>278</v>
      </c>
      <c r="D127" s="611">
        <f t="shared" ref="D127:D132" si="53">D128-1</f>
        <v>2011</v>
      </c>
      <c r="E127" s="710"/>
      <c r="F127" s="643" t="str">
        <f t="shared" ref="F127:F133" si="54">F106</f>
        <v>Actual</v>
      </c>
      <c r="G127" s="659"/>
      <c r="H127" s="679" t="str">
        <f t="shared" ref="H127:H133" si="55">IF(D127=2013,"Board-approved","")</f>
        <v/>
      </c>
      <c r="I127" s="725"/>
      <c r="K127" s="645" t="str">
        <f t="shared" ref="K127:K133" si="56">K106</f>
        <v>Actual</v>
      </c>
      <c r="L127" s="615"/>
      <c r="M127" s="615"/>
      <c r="N127" s="646" t="str">
        <f t="shared" ref="N127:N133" si="57">N106</f>
        <v/>
      </c>
      <c r="O127" s="681"/>
      <c r="Q127" s="645" t="str">
        <f>K127</f>
        <v>Actual</v>
      </c>
      <c r="R127" s="693" t="str">
        <f>IF(G127=0,"",L127/G127)</f>
        <v/>
      </c>
      <c r="S127" s="678" t="str">
        <f>IF(G127=0,"",M127/G127)</f>
        <v/>
      </c>
      <c r="T127" s="678" t="str">
        <f>N127</f>
        <v/>
      </c>
      <c r="U127" s="710" t="str">
        <f>IF(T127="","",IF(I127=0,"",O127/I127))</f>
        <v/>
      </c>
    </row>
    <row r="128" spans="2:21" x14ac:dyDescent="0.2">
      <c r="C128" s="610" t="s">
        <v>278</v>
      </c>
      <c r="D128" s="611">
        <f t="shared" si="53"/>
        <v>2012</v>
      </c>
      <c r="E128" s="710"/>
      <c r="F128" s="647" t="str">
        <f t="shared" si="54"/>
        <v>Actual</v>
      </c>
      <c r="G128" s="659"/>
      <c r="H128" s="679" t="str">
        <f t="shared" si="55"/>
        <v/>
      </c>
      <c r="I128" s="681"/>
      <c r="K128" s="645" t="str">
        <f t="shared" si="56"/>
        <v>Actual</v>
      </c>
      <c r="L128" s="615"/>
      <c r="M128" s="615"/>
      <c r="N128" s="646" t="str">
        <f t="shared" si="57"/>
        <v/>
      </c>
      <c r="O128" s="681"/>
      <c r="Q128" s="645" t="str">
        <f t="shared" ref="Q128:Q133" si="58">K128</f>
        <v>Actual</v>
      </c>
      <c r="R128" s="693" t="str">
        <f t="shared" ref="R128:R133" si="59">IF(G128=0,"",L128/G128)</f>
        <v/>
      </c>
      <c r="S128" s="678" t="str">
        <f t="shared" ref="S128:S133" si="60">IF(G128=0,"",M128/G128)</f>
        <v/>
      </c>
      <c r="T128" s="678" t="str">
        <f t="shared" ref="T128:T133" si="61">N128</f>
        <v/>
      </c>
      <c r="U128" s="710" t="str">
        <f t="shared" ref="U128:U133" si="62">IF(T128="","",IF(I128=0,"",O128/I128))</f>
        <v/>
      </c>
    </row>
    <row r="129" spans="3:21" x14ac:dyDescent="0.2">
      <c r="C129" s="610" t="s">
        <v>278</v>
      </c>
      <c r="D129" s="611">
        <f t="shared" si="53"/>
        <v>2013</v>
      </c>
      <c r="E129" s="710"/>
      <c r="F129" s="647" t="str">
        <f t="shared" si="54"/>
        <v>Actual</v>
      </c>
      <c r="G129" s="659"/>
      <c r="H129" s="679" t="str">
        <f t="shared" si="55"/>
        <v>Board-approved</v>
      </c>
      <c r="I129" s="660"/>
      <c r="K129" s="645" t="str">
        <f t="shared" si="56"/>
        <v>Actual</v>
      </c>
      <c r="L129" s="615"/>
      <c r="M129" s="615"/>
      <c r="N129" s="646" t="str">
        <f t="shared" si="57"/>
        <v>Board-approved</v>
      </c>
      <c r="O129" s="616"/>
      <c r="Q129" s="645" t="str">
        <f t="shared" si="58"/>
        <v>Actual</v>
      </c>
      <c r="R129" s="693" t="str">
        <f t="shared" si="59"/>
        <v/>
      </c>
      <c r="S129" s="678" t="str">
        <f t="shared" si="60"/>
        <v/>
      </c>
      <c r="T129" s="678" t="str">
        <f t="shared" si="61"/>
        <v>Board-approved</v>
      </c>
      <c r="U129" s="710" t="str">
        <f t="shared" si="62"/>
        <v/>
      </c>
    </row>
    <row r="130" spans="3:21" x14ac:dyDescent="0.2">
      <c r="C130" s="610" t="s">
        <v>278</v>
      </c>
      <c r="D130" s="611">
        <f t="shared" si="53"/>
        <v>2014</v>
      </c>
      <c r="E130" s="710"/>
      <c r="F130" s="647" t="str">
        <f t="shared" si="54"/>
        <v>Actual</v>
      </c>
      <c r="G130" s="659"/>
      <c r="H130" s="679" t="str">
        <f t="shared" si="55"/>
        <v/>
      </c>
      <c r="I130" s="681"/>
      <c r="K130" s="645" t="str">
        <f t="shared" si="56"/>
        <v>Actual</v>
      </c>
      <c r="L130" s="615"/>
      <c r="M130" s="615"/>
      <c r="N130" s="646" t="str">
        <f t="shared" si="57"/>
        <v/>
      </c>
      <c r="O130" s="681"/>
      <c r="Q130" s="645" t="str">
        <f t="shared" si="58"/>
        <v>Actual</v>
      </c>
      <c r="R130" s="693" t="str">
        <f t="shared" si="59"/>
        <v/>
      </c>
      <c r="S130" s="678" t="str">
        <f t="shared" si="60"/>
        <v/>
      </c>
      <c r="T130" s="678" t="str">
        <f t="shared" si="61"/>
        <v/>
      </c>
      <c r="U130" s="710" t="str">
        <f t="shared" si="62"/>
        <v/>
      </c>
    </row>
    <row r="131" spans="3:21" x14ac:dyDescent="0.2">
      <c r="C131" s="610" t="s">
        <v>278</v>
      </c>
      <c r="D131" s="611">
        <f t="shared" si="53"/>
        <v>2015</v>
      </c>
      <c r="E131" s="710"/>
      <c r="F131" s="647" t="str">
        <f t="shared" si="54"/>
        <v>Actual</v>
      </c>
      <c r="G131" s="659"/>
      <c r="H131" s="679" t="str">
        <f t="shared" si="55"/>
        <v/>
      </c>
      <c r="I131" s="681"/>
      <c r="K131" s="645" t="str">
        <f t="shared" si="56"/>
        <v>Actual</v>
      </c>
      <c r="L131" s="615"/>
      <c r="M131" s="615"/>
      <c r="N131" s="646" t="str">
        <f t="shared" si="57"/>
        <v/>
      </c>
      <c r="O131" s="681"/>
      <c r="Q131" s="645" t="str">
        <f t="shared" si="58"/>
        <v>Actual</v>
      </c>
      <c r="R131" s="693" t="str">
        <f t="shared" si="59"/>
        <v/>
      </c>
      <c r="S131" s="678" t="str">
        <f t="shared" si="60"/>
        <v/>
      </c>
      <c r="T131" s="678" t="str">
        <f t="shared" si="61"/>
        <v/>
      </c>
      <c r="U131" s="710" t="str">
        <f t="shared" si="62"/>
        <v/>
      </c>
    </row>
    <row r="132" spans="3:21" x14ac:dyDescent="0.2">
      <c r="C132" s="610" t="s">
        <v>288</v>
      </c>
      <c r="D132" s="611">
        <f t="shared" si="53"/>
        <v>2016</v>
      </c>
      <c r="E132" s="710"/>
      <c r="F132" s="647" t="str">
        <f t="shared" si="54"/>
        <v>Forecast</v>
      </c>
      <c r="G132" s="659"/>
      <c r="H132" s="679" t="str">
        <f t="shared" si="55"/>
        <v/>
      </c>
      <c r="I132" s="681"/>
      <c r="K132" s="645" t="str">
        <f t="shared" si="56"/>
        <v>Forecast</v>
      </c>
      <c r="L132" s="682"/>
      <c r="M132" s="726"/>
      <c r="N132" s="646" t="str">
        <f t="shared" si="57"/>
        <v/>
      </c>
      <c r="O132" s="681"/>
      <c r="Q132" s="645" t="str">
        <f t="shared" si="58"/>
        <v>Forecast</v>
      </c>
      <c r="R132" s="693" t="str">
        <f t="shared" si="59"/>
        <v/>
      </c>
      <c r="S132" s="678" t="str">
        <f t="shared" si="60"/>
        <v/>
      </c>
      <c r="T132" s="678" t="str">
        <f t="shared" si="61"/>
        <v/>
      </c>
      <c r="U132" s="710" t="str">
        <f t="shared" si="62"/>
        <v/>
      </c>
    </row>
    <row r="133" spans="3:21" ht="13.5" thickBot="1" x14ac:dyDescent="0.25">
      <c r="C133" s="617" t="s">
        <v>289</v>
      </c>
      <c r="D133" s="618">
        <v>2017</v>
      </c>
      <c r="E133" s="677"/>
      <c r="F133" s="648" t="str">
        <f t="shared" si="54"/>
        <v>Forecast</v>
      </c>
      <c r="G133" s="661"/>
      <c r="H133" s="684" t="str">
        <f t="shared" si="55"/>
        <v/>
      </c>
      <c r="I133" s="687"/>
      <c r="K133" s="650" t="str">
        <f t="shared" si="56"/>
        <v>Forecast</v>
      </c>
      <c r="L133" s="686"/>
      <c r="M133" s="727"/>
      <c r="N133" s="651" t="str">
        <f t="shared" si="57"/>
        <v/>
      </c>
      <c r="O133" s="687"/>
      <c r="Q133" s="728" t="str">
        <f t="shared" si="58"/>
        <v>Forecast</v>
      </c>
      <c r="R133" s="683" t="str">
        <f t="shared" si="59"/>
        <v/>
      </c>
      <c r="S133" s="683" t="str">
        <f t="shared" si="60"/>
        <v/>
      </c>
      <c r="T133" s="683" t="str">
        <f t="shared" si="61"/>
        <v/>
      </c>
      <c r="U133" s="677" t="str">
        <f t="shared" si="62"/>
        <v/>
      </c>
    </row>
    <row r="134" spans="3:21" ht="13.5" thickBot="1" x14ac:dyDescent="0.25">
      <c r="C134" s="652"/>
      <c r="I134" s="623">
        <f>SUM(I127:I132)</f>
        <v>0</v>
      </c>
      <c r="J134" s="693"/>
      <c r="O134" s="623">
        <f>SUM(O127:O132)</f>
        <v>0</v>
      </c>
      <c r="U134" s="623">
        <f>SUM(U127:U132)</f>
        <v>0</v>
      </c>
    </row>
    <row r="135" spans="3:21" ht="39" thickBot="1" x14ac:dyDescent="0.25">
      <c r="C135" s="653" t="s">
        <v>279</v>
      </c>
      <c r="D135" s="654" t="s">
        <v>80</v>
      </c>
      <c r="E135" s="628"/>
      <c r="F135" s="628"/>
      <c r="G135" s="628" t="s">
        <v>280</v>
      </c>
      <c r="H135" s="628"/>
      <c r="I135" s="630" t="str">
        <f>I114</f>
        <v>Test Year Versus Board-approved</v>
      </c>
      <c r="J135" s="662"/>
      <c r="K135" s="627" t="s">
        <v>80</v>
      </c>
      <c r="L135" s="816" t="s">
        <v>280</v>
      </c>
      <c r="M135" s="816"/>
      <c r="N135" s="628"/>
      <c r="O135" s="630" t="str">
        <f>I135</f>
        <v>Test Year Versus Board-approved</v>
      </c>
      <c r="P135" s="663"/>
      <c r="Q135" s="627" t="s">
        <v>80</v>
      </c>
      <c r="R135" s="816" t="s">
        <v>280</v>
      </c>
      <c r="S135" s="816"/>
      <c r="T135" s="628"/>
      <c r="U135" s="630" t="str">
        <f>O135</f>
        <v>Test Year Versus Board-approved</v>
      </c>
    </row>
    <row r="136" spans="3:21" x14ac:dyDescent="0.2">
      <c r="C136" s="710"/>
      <c r="D136" s="664">
        <f t="shared" ref="D136:D142" si="63">D127</f>
        <v>2011</v>
      </c>
      <c r="E136" s="690"/>
      <c r="F136" s="693"/>
      <c r="G136" s="714"/>
      <c r="H136" s="693"/>
      <c r="I136" s="715"/>
      <c r="J136" s="710"/>
      <c r="K136" s="611">
        <f>D136</f>
        <v>2011</v>
      </c>
      <c r="L136" s="695"/>
      <c r="M136" s="695"/>
      <c r="N136" s="693"/>
      <c r="O136" s="616"/>
      <c r="P136" s="710"/>
      <c r="Q136" s="611">
        <f>K136</f>
        <v>2011</v>
      </c>
      <c r="R136" s="717"/>
      <c r="S136" s="717"/>
      <c r="T136" s="693"/>
      <c r="U136" s="681"/>
    </row>
    <row r="137" spans="3:21" x14ac:dyDescent="0.2">
      <c r="C137" s="710"/>
      <c r="D137" s="656">
        <f t="shared" si="63"/>
        <v>2012</v>
      </c>
      <c r="E137" s="693"/>
      <c r="F137" s="693"/>
      <c r="G137" s="718" t="str">
        <f t="shared" ref="G137:G142" si="64">IF(G127=0,"",G128/G127-1)</f>
        <v/>
      </c>
      <c r="H137" s="693"/>
      <c r="I137" s="715"/>
      <c r="J137" s="710"/>
      <c r="K137" s="611">
        <f t="shared" ref="K137:K143" si="65">D137</f>
        <v>2012</v>
      </c>
      <c r="L137" s="697" t="str">
        <f>IF(L127=0,"",L128/L127-1)</f>
        <v/>
      </c>
      <c r="M137" s="697" t="str">
        <f>IF(M127=0,"",M128/M127-1)</f>
        <v/>
      </c>
      <c r="N137" s="693"/>
      <c r="O137" s="616"/>
      <c r="P137" s="710"/>
      <c r="Q137" s="611">
        <f t="shared" ref="Q137:Q143" si="66">K137</f>
        <v>2012</v>
      </c>
      <c r="R137" s="719" t="str">
        <f>IF(R127="","",IF(R127=0,"",R128/R127-1))</f>
        <v/>
      </c>
      <c r="S137" s="719" t="str">
        <f>IF(S127="","",IF(S127=0,"",S128/S127-1))</f>
        <v/>
      </c>
      <c r="T137" s="693"/>
      <c r="U137" s="681"/>
    </row>
    <row r="138" spans="3:21" x14ac:dyDescent="0.2">
      <c r="C138" s="710"/>
      <c r="D138" s="665">
        <f t="shared" si="63"/>
        <v>2013</v>
      </c>
      <c r="E138" s="693"/>
      <c r="F138" s="693"/>
      <c r="G138" s="718" t="str">
        <f t="shared" si="64"/>
        <v/>
      </c>
      <c r="H138" s="693"/>
      <c r="I138" s="715"/>
      <c r="J138" s="710"/>
      <c r="K138" s="611">
        <f t="shared" si="65"/>
        <v>2013</v>
      </c>
      <c r="L138" s="697" t="str">
        <f t="shared" ref="L138:M142" si="67">IF(L128=0,"",L129/L128-1)</f>
        <v/>
      </c>
      <c r="M138" s="697" t="str">
        <f t="shared" si="67"/>
        <v/>
      </c>
      <c r="N138" s="693"/>
      <c r="O138" s="616"/>
      <c r="P138" s="710"/>
      <c r="Q138" s="611">
        <f t="shared" si="66"/>
        <v>2013</v>
      </c>
      <c r="R138" s="719" t="str">
        <f t="shared" ref="R138:S142" si="68">IF(R128="","",IF(R128=0,"",R129/R128-1))</f>
        <v/>
      </c>
      <c r="S138" s="719" t="str">
        <f t="shared" si="68"/>
        <v/>
      </c>
      <c r="T138" s="693"/>
      <c r="U138" s="681"/>
    </row>
    <row r="139" spans="3:21" x14ac:dyDescent="0.2">
      <c r="C139" s="710"/>
      <c r="D139" s="656">
        <f t="shared" si="63"/>
        <v>2014</v>
      </c>
      <c r="E139" s="693"/>
      <c r="F139" s="693"/>
      <c r="G139" s="718" t="str">
        <f t="shared" si="64"/>
        <v/>
      </c>
      <c r="H139" s="693"/>
      <c r="I139" s="715"/>
      <c r="J139" s="710"/>
      <c r="K139" s="611">
        <f t="shared" si="65"/>
        <v>2014</v>
      </c>
      <c r="L139" s="697" t="str">
        <f t="shared" si="67"/>
        <v/>
      </c>
      <c r="M139" s="697" t="str">
        <f t="shared" si="67"/>
        <v/>
      </c>
      <c r="N139" s="693"/>
      <c r="O139" s="616"/>
      <c r="P139" s="710"/>
      <c r="Q139" s="611">
        <f t="shared" si="66"/>
        <v>2014</v>
      </c>
      <c r="R139" s="719" t="str">
        <f t="shared" si="68"/>
        <v/>
      </c>
      <c r="S139" s="719" t="str">
        <f t="shared" si="68"/>
        <v/>
      </c>
      <c r="T139" s="693"/>
      <c r="U139" s="681"/>
    </row>
    <row r="140" spans="3:21" x14ac:dyDescent="0.2">
      <c r="C140" s="710"/>
      <c r="D140" s="656">
        <f t="shared" si="63"/>
        <v>2015</v>
      </c>
      <c r="E140" s="693"/>
      <c r="F140" s="693"/>
      <c r="G140" s="718" t="str">
        <f t="shared" si="64"/>
        <v/>
      </c>
      <c r="H140" s="693"/>
      <c r="I140" s="715"/>
      <c r="J140" s="710"/>
      <c r="K140" s="611">
        <f t="shared" si="65"/>
        <v>2015</v>
      </c>
      <c r="L140" s="697" t="str">
        <f t="shared" si="67"/>
        <v/>
      </c>
      <c r="M140" s="697" t="str">
        <f t="shared" si="67"/>
        <v/>
      </c>
      <c r="N140" s="693"/>
      <c r="O140" s="616"/>
      <c r="P140" s="710"/>
      <c r="Q140" s="611">
        <f t="shared" si="66"/>
        <v>2015</v>
      </c>
      <c r="R140" s="719" t="str">
        <f t="shared" si="68"/>
        <v/>
      </c>
      <c r="S140" s="719" t="str">
        <f t="shared" si="68"/>
        <v/>
      </c>
      <c r="T140" s="693"/>
      <c r="U140" s="681"/>
    </row>
    <row r="141" spans="3:21" x14ac:dyDescent="0.2">
      <c r="C141" s="710"/>
      <c r="D141" s="656">
        <f t="shared" si="63"/>
        <v>2016</v>
      </c>
      <c r="E141" s="693"/>
      <c r="F141" s="693"/>
      <c r="G141" s="718" t="str">
        <f t="shared" si="64"/>
        <v/>
      </c>
      <c r="H141" s="693"/>
      <c r="I141" s="715"/>
      <c r="J141" s="710"/>
      <c r="K141" s="611">
        <f t="shared" si="65"/>
        <v>2016</v>
      </c>
      <c r="L141" s="697" t="str">
        <f>IF(K132="Forecast","",IF(L131=0,"",L132/L131-1))</f>
        <v/>
      </c>
      <c r="M141" s="697" t="str">
        <f t="shared" si="67"/>
        <v/>
      </c>
      <c r="N141" s="693"/>
      <c r="O141" s="616"/>
      <c r="P141" s="710"/>
      <c r="Q141" s="611">
        <f t="shared" si="66"/>
        <v>2016</v>
      </c>
      <c r="R141" s="719" t="str">
        <f>IF(Q132="Forecast","",IF(R131=0,"",R132/R131-1))</f>
        <v/>
      </c>
      <c r="S141" s="719" t="str">
        <f t="shared" si="68"/>
        <v/>
      </c>
      <c r="T141" s="693"/>
      <c r="U141" s="681"/>
    </row>
    <row r="142" spans="3:21" x14ac:dyDescent="0.2">
      <c r="C142" s="710"/>
      <c r="D142" s="665">
        <f t="shared" si="63"/>
        <v>2017</v>
      </c>
      <c r="E142" s="693"/>
      <c r="F142" s="693"/>
      <c r="G142" s="718" t="str">
        <f t="shared" si="64"/>
        <v/>
      </c>
      <c r="H142" s="693"/>
      <c r="I142" s="720" t="str">
        <f>IF(I134=0,"",G133/I134-1)</f>
        <v/>
      </c>
      <c r="J142" s="710"/>
      <c r="K142" s="611">
        <f t="shared" si="65"/>
        <v>2017</v>
      </c>
      <c r="L142" s="697" t="str">
        <f>IF(K133="Forecast","",IF(L132=0,"",L133/L132-1))</f>
        <v/>
      </c>
      <c r="M142" s="697" t="str">
        <f t="shared" si="67"/>
        <v/>
      </c>
      <c r="N142" s="693"/>
      <c r="O142" s="729" t="str">
        <f>IF(O134=0,"",M133/O134-1)</f>
        <v/>
      </c>
      <c r="P142" s="710"/>
      <c r="Q142" s="611">
        <f t="shared" si="66"/>
        <v>2017</v>
      </c>
      <c r="R142" s="719" t="str">
        <f>IF(Q133="Forecast","",IF(R132=0,"",R133/R132-1))</f>
        <v/>
      </c>
      <c r="S142" s="719" t="str">
        <f t="shared" si="68"/>
        <v/>
      </c>
      <c r="T142" s="693"/>
      <c r="U142" s="698" t="str">
        <f>IF(U134=0,"",S133/U134-1)</f>
        <v/>
      </c>
    </row>
    <row r="143" spans="3:21" ht="26.25" thickBot="1" x14ac:dyDescent="0.25">
      <c r="C143" s="677"/>
      <c r="D143" s="721" t="s">
        <v>282</v>
      </c>
      <c r="E143" s="699"/>
      <c r="F143" s="699"/>
      <c r="G143" s="722" t="str">
        <f>IF(G127=0,"",GEOMEAN(G137:G142))</f>
        <v/>
      </c>
      <c r="H143" s="699"/>
      <c r="I143" s="705" t="s">
        <v>312</v>
      </c>
      <c r="J143" s="710"/>
      <c r="K143" s="703" t="str">
        <f t="shared" si="65"/>
        <v>Geometric Mean</v>
      </c>
      <c r="L143" s="704"/>
      <c r="M143" s="704" t="str">
        <f>IF(M127=0,"",GEOMEAN(M137:M142))</f>
        <v/>
      </c>
      <c r="N143" s="699"/>
      <c r="O143" s="705" t="s">
        <v>312</v>
      </c>
      <c r="P143" s="677"/>
      <c r="Q143" s="703" t="str">
        <f t="shared" si="66"/>
        <v>Geometric Mean</v>
      </c>
      <c r="R143" s="724"/>
      <c r="S143" s="704" t="str">
        <f>IF(S127="","",IF(S127=0,"",(S133/S127)^(1/(Q142-Q136-1)-1)))</f>
        <v/>
      </c>
      <c r="T143" s="699"/>
      <c r="U143" s="705" t="s">
        <v>312</v>
      </c>
    </row>
    <row r="144" spans="3:21" ht="13.5" thickBot="1" x14ac:dyDescent="0.25"/>
    <row r="145" spans="2:22" ht="13.5" thickBot="1" x14ac:dyDescent="0.25">
      <c r="B145" s="635">
        <v>3</v>
      </c>
      <c r="C145" s="636" t="s">
        <v>284</v>
      </c>
      <c r="D145" s="817" t="s">
        <v>292</v>
      </c>
      <c r="E145" s="818"/>
      <c r="F145" s="819"/>
      <c r="G145" s="707"/>
      <c r="H145" s="12" t="s">
        <v>285</v>
      </c>
      <c r="N145" s="708" t="s">
        <v>82</v>
      </c>
      <c r="O145" s="709"/>
      <c r="P145" s="709"/>
      <c r="Q145" s="709"/>
      <c r="R145" s="709"/>
      <c r="S145" s="709"/>
      <c r="T145" s="709"/>
      <c r="U145" s="709"/>
    </row>
    <row r="146" spans="2:22" ht="13.5" thickBot="1" x14ac:dyDescent="0.25">
      <c r="Q146" s="699"/>
      <c r="R146" s="699"/>
      <c r="S146" s="699"/>
      <c r="T146" s="699"/>
      <c r="U146" s="699"/>
    </row>
    <row r="147" spans="2:22" ht="12.75" customHeight="1" x14ac:dyDescent="0.2">
      <c r="C147" s="597"/>
      <c r="D147" s="598" t="s">
        <v>274</v>
      </c>
      <c r="E147" s="598"/>
      <c r="F147" s="820" t="s">
        <v>286</v>
      </c>
      <c r="G147" s="821"/>
      <c r="H147" s="821"/>
      <c r="I147" s="822"/>
      <c r="J147" s="598"/>
      <c r="K147" s="812" t="s">
        <v>275</v>
      </c>
      <c r="L147" s="813"/>
      <c r="M147" s="813"/>
      <c r="N147" s="813"/>
      <c r="O147" s="814"/>
      <c r="P147" s="599"/>
      <c r="Q147" s="823" t="str">
        <f>CONCATENATE("Consumption (kWh) per ",LEFT(F147,LEN(F147)-1))</f>
        <v>Consumption (kWh) per Customer</v>
      </c>
      <c r="R147" s="824"/>
      <c r="S147" s="824"/>
      <c r="T147" s="824"/>
      <c r="U147" s="825"/>
      <c r="V147" s="637"/>
    </row>
    <row r="148" spans="2:22" ht="39" thickBot="1" x14ac:dyDescent="0.25">
      <c r="C148" s="677"/>
      <c r="D148" s="602" t="s">
        <v>311</v>
      </c>
      <c r="E148" s="610"/>
      <c r="F148" s="826"/>
      <c r="G148" s="827"/>
      <c r="H148" s="828"/>
      <c r="I148" s="638"/>
      <c r="J148" s="610"/>
      <c r="K148" s="606"/>
      <c r="L148" s="607" t="s">
        <v>276</v>
      </c>
      <c r="M148" s="607" t="s">
        <v>277</v>
      </c>
      <c r="N148" s="608"/>
      <c r="O148" s="609" t="s">
        <v>277</v>
      </c>
      <c r="P148" s="610"/>
      <c r="Q148" s="639"/>
      <c r="R148" s="640" t="str">
        <f>L148</f>
        <v>Actual (Weather actual)</v>
      </c>
      <c r="S148" s="641" t="str">
        <f>M148</f>
        <v>Weather-normalized</v>
      </c>
      <c r="T148" s="641"/>
      <c r="U148" s="642" t="str">
        <f>O148</f>
        <v>Weather-normalized</v>
      </c>
      <c r="V148" s="637"/>
    </row>
    <row r="149" spans="2:22" x14ac:dyDescent="0.2">
      <c r="C149" s="610" t="s">
        <v>278</v>
      </c>
      <c r="D149" s="611">
        <f t="shared" ref="D149:D154" si="69">D150-1</f>
        <v>2011</v>
      </c>
      <c r="E149" s="710"/>
      <c r="F149" s="643" t="str">
        <f>F106</f>
        <v>Actual</v>
      </c>
      <c r="G149" s="644">
        <f>'Input - Customer Data'!J10</f>
        <v>59.5</v>
      </c>
      <c r="H149" s="680" t="str">
        <f t="shared" ref="H149:H155" si="70">IF(D149=2013,"Board-approved","")</f>
        <v/>
      </c>
      <c r="I149" s="681"/>
      <c r="J149" s="710"/>
      <c r="K149" s="645" t="str">
        <f>F149</f>
        <v>Actual</v>
      </c>
      <c r="L149" s="666">
        <f>'Bridge&amp;Test Year Class Forecast'!B63</f>
        <v>63286610</v>
      </c>
      <c r="M149" s="666">
        <f>'Bridge&amp;Test Year Class Forecast'!F63</f>
        <v>63189641.0519775</v>
      </c>
      <c r="N149" s="646" t="str">
        <f>H149</f>
        <v/>
      </c>
      <c r="O149" s="681"/>
      <c r="P149" s="710"/>
      <c r="Q149" s="645" t="str">
        <f>K149</f>
        <v>Actual</v>
      </c>
      <c r="R149" s="711">
        <f>IF(G149=0,"",L149/G149)</f>
        <v>1063640.5042016807</v>
      </c>
      <c r="S149" s="693">
        <f>IF(G149=0,"",M149/G149)</f>
        <v>1062010.7739828152</v>
      </c>
      <c r="T149" s="693" t="str">
        <f>N149</f>
        <v/>
      </c>
      <c r="U149" s="716" t="str">
        <f>IF(T149="","",IF(I149=0,"",O149/I149))</f>
        <v/>
      </c>
      <c r="V149" s="678"/>
    </row>
    <row r="150" spans="2:22" x14ac:dyDescent="0.2">
      <c r="C150" s="610" t="s">
        <v>278</v>
      </c>
      <c r="D150" s="611">
        <f t="shared" si="69"/>
        <v>2012</v>
      </c>
      <c r="E150" s="710"/>
      <c r="F150" s="647" t="str">
        <f t="shared" ref="F150:F155" si="71">F107</f>
        <v>Actual</v>
      </c>
      <c r="G150" s="644">
        <f>'Input - Customer Data'!J11</f>
        <v>57</v>
      </c>
      <c r="H150" s="680" t="str">
        <f t="shared" si="70"/>
        <v/>
      </c>
      <c r="I150" s="681"/>
      <c r="J150" s="710"/>
      <c r="K150" s="645" t="str">
        <f t="shared" ref="K150:K155" si="72">F150</f>
        <v>Actual</v>
      </c>
      <c r="L150" s="666">
        <f>'Bridge&amp;Test Year Class Forecast'!B64</f>
        <v>60663507</v>
      </c>
      <c r="M150" s="666">
        <f>'Bridge&amp;Test Year Class Forecast'!F64</f>
        <v>59755907.218200684</v>
      </c>
      <c r="N150" s="646" t="str">
        <f t="shared" ref="N150:N155" si="73">H150</f>
        <v/>
      </c>
      <c r="O150" s="681"/>
      <c r="P150" s="710"/>
      <c r="Q150" s="645" t="str">
        <f t="shared" ref="Q150:Q155" si="74">K150</f>
        <v>Actual</v>
      </c>
      <c r="R150" s="711">
        <f t="shared" ref="R150:R155" si="75">IF(G150=0,"",L150/G150)</f>
        <v>1064272.0526315789</v>
      </c>
      <c r="S150" s="693">
        <f t="shared" ref="S150:S155" si="76">IF(G150=0,"",M150/G150)</f>
        <v>1048349.2494421173</v>
      </c>
      <c r="T150" s="693" t="str">
        <f t="shared" ref="T150:T155" si="77">N150</f>
        <v/>
      </c>
      <c r="U150" s="716" t="str">
        <f t="shared" ref="U150:U155" si="78">IF(T150="","",IF(I150=0,"",O150/I150))</f>
        <v/>
      </c>
      <c r="V150" s="678"/>
    </row>
    <row r="151" spans="2:22" x14ac:dyDescent="0.2">
      <c r="C151" s="610" t="s">
        <v>278</v>
      </c>
      <c r="D151" s="611">
        <f t="shared" si="69"/>
        <v>2013</v>
      </c>
      <c r="E151" s="710"/>
      <c r="F151" s="647" t="str">
        <f t="shared" si="71"/>
        <v>Actual</v>
      </c>
      <c r="G151" s="644">
        <f>'Input - Customer Data'!J12</f>
        <v>56.5</v>
      </c>
      <c r="H151" s="680" t="str">
        <f t="shared" si="70"/>
        <v>Board-approved</v>
      </c>
      <c r="I151" s="616"/>
      <c r="J151" s="710"/>
      <c r="K151" s="645" t="str">
        <f t="shared" si="72"/>
        <v>Actual</v>
      </c>
      <c r="L151" s="666">
        <f>'Bridge&amp;Test Year Class Forecast'!B65</f>
        <v>55013692</v>
      </c>
      <c r="M151" s="666">
        <f>'Bridge&amp;Test Year Class Forecast'!F65</f>
        <v>54630395.882130146</v>
      </c>
      <c r="N151" s="646" t="str">
        <f t="shared" si="73"/>
        <v>Board-approved</v>
      </c>
      <c r="O151" s="616"/>
      <c r="P151" s="710"/>
      <c r="Q151" s="645" t="str">
        <f t="shared" si="74"/>
        <v>Actual</v>
      </c>
      <c r="R151" s="711">
        <f t="shared" si="75"/>
        <v>973693.66371681413</v>
      </c>
      <c r="S151" s="693">
        <f t="shared" si="76"/>
        <v>966909.66163062211</v>
      </c>
      <c r="T151" s="693" t="str">
        <f t="shared" si="77"/>
        <v>Board-approved</v>
      </c>
      <c r="U151" s="716" t="str">
        <f t="shared" si="78"/>
        <v/>
      </c>
      <c r="V151" s="678"/>
    </row>
    <row r="152" spans="2:22" x14ac:dyDescent="0.2">
      <c r="C152" s="610" t="s">
        <v>278</v>
      </c>
      <c r="D152" s="611">
        <f t="shared" si="69"/>
        <v>2014</v>
      </c>
      <c r="E152" s="710"/>
      <c r="F152" s="647" t="str">
        <f t="shared" si="71"/>
        <v>Actual</v>
      </c>
      <c r="G152" s="644">
        <f>'Input - Customer Data'!J13</f>
        <v>52</v>
      </c>
      <c r="H152" s="680" t="str">
        <f t="shared" si="70"/>
        <v/>
      </c>
      <c r="I152" s="681"/>
      <c r="J152" s="710"/>
      <c r="K152" s="645" t="str">
        <f t="shared" si="72"/>
        <v>Actual</v>
      </c>
      <c r="L152" s="666">
        <f>'Bridge&amp;Test Year Class Forecast'!B66</f>
        <v>52447595</v>
      </c>
      <c r="M152" s="666">
        <f>'Bridge&amp;Test Year Class Forecast'!F66</f>
        <v>52904629.84846472</v>
      </c>
      <c r="N152" s="646" t="str">
        <f t="shared" si="73"/>
        <v/>
      </c>
      <c r="O152" s="681"/>
      <c r="P152" s="710"/>
      <c r="Q152" s="645" t="str">
        <f t="shared" si="74"/>
        <v>Actual</v>
      </c>
      <c r="R152" s="711">
        <f t="shared" si="75"/>
        <v>1008607.5961538461</v>
      </c>
      <c r="S152" s="693">
        <f t="shared" si="76"/>
        <v>1017396.7278550908</v>
      </c>
      <c r="T152" s="693" t="str">
        <f t="shared" si="77"/>
        <v/>
      </c>
      <c r="U152" s="716" t="str">
        <f t="shared" si="78"/>
        <v/>
      </c>
      <c r="V152" s="678"/>
    </row>
    <row r="153" spans="2:22" x14ac:dyDescent="0.2">
      <c r="C153" s="610" t="s">
        <v>278</v>
      </c>
      <c r="D153" s="611">
        <f t="shared" si="69"/>
        <v>2015</v>
      </c>
      <c r="E153" s="710"/>
      <c r="F153" s="647" t="str">
        <f t="shared" si="71"/>
        <v>Actual</v>
      </c>
      <c r="G153" s="644">
        <f>'Input - Customer Data'!J14</f>
        <v>47.5</v>
      </c>
      <c r="H153" s="680" t="str">
        <f t="shared" si="70"/>
        <v/>
      </c>
      <c r="I153" s="681"/>
      <c r="J153" s="710"/>
      <c r="K153" s="645" t="str">
        <f t="shared" si="72"/>
        <v>Actual</v>
      </c>
      <c r="L153" s="666">
        <f>'Bridge&amp;Test Year Class Forecast'!B67</f>
        <v>50553990</v>
      </c>
      <c r="M153" s="666">
        <f>'Bridge&amp;Test Year Class Forecast'!F67</f>
        <v>50766218.310323983</v>
      </c>
      <c r="N153" s="646" t="str">
        <f t="shared" si="73"/>
        <v/>
      </c>
      <c r="O153" s="681"/>
      <c r="P153" s="710"/>
      <c r="Q153" s="645" t="str">
        <f t="shared" si="74"/>
        <v>Actual</v>
      </c>
      <c r="R153" s="711">
        <f t="shared" si="75"/>
        <v>1064294.5263157894</v>
      </c>
      <c r="S153" s="693">
        <f t="shared" si="76"/>
        <v>1068762.4907436627</v>
      </c>
      <c r="T153" s="693" t="str">
        <f t="shared" si="77"/>
        <v/>
      </c>
      <c r="U153" s="716" t="str">
        <f t="shared" si="78"/>
        <v/>
      </c>
      <c r="V153" s="678"/>
    </row>
    <row r="154" spans="2:22" x14ac:dyDescent="0.2">
      <c r="C154" s="610" t="s">
        <v>54</v>
      </c>
      <c r="D154" s="611">
        <f t="shared" si="69"/>
        <v>2016</v>
      </c>
      <c r="E154" s="710"/>
      <c r="F154" s="647" t="str">
        <f t="shared" si="71"/>
        <v>Forecast</v>
      </c>
      <c r="G154" s="644">
        <f>'Input - Customer Data'!J19</f>
        <v>46.429708160951243</v>
      </c>
      <c r="H154" s="680" t="str">
        <f t="shared" si="70"/>
        <v/>
      </c>
      <c r="I154" s="681"/>
      <c r="J154" s="710"/>
      <c r="K154" s="645" t="str">
        <f t="shared" si="72"/>
        <v>Forecast</v>
      </c>
      <c r="L154" s="682"/>
      <c r="M154" s="666">
        <f>'Bridge&amp;Test Year Class Forecast'!F68</f>
        <v>60321817.186956406</v>
      </c>
      <c r="N154" s="646" t="str">
        <f t="shared" si="73"/>
        <v/>
      </c>
      <c r="O154" s="681"/>
      <c r="P154" s="710"/>
      <c r="Q154" s="645" t="str">
        <f t="shared" si="74"/>
        <v>Forecast</v>
      </c>
      <c r="R154" s="711">
        <f t="shared" si="75"/>
        <v>0</v>
      </c>
      <c r="S154" s="693">
        <f t="shared" si="76"/>
        <v>1299207.3303120357</v>
      </c>
      <c r="T154" s="693" t="str">
        <f t="shared" si="77"/>
        <v/>
      </c>
      <c r="U154" s="716" t="str">
        <f t="shared" si="78"/>
        <v/>
      </c>
      <c r="V154" s="678"/>
    </row>
    <row r="155" spans="2:22" ht="13.5" thickBot="1" x14ac:dyDescent="0.25">
      <c r="C155" s="617" t="s">
        <v>53</v>
      </c>
      <c r="D155" s="618">
        <v>2017</v>
      </c>
      <c r="E155" s="677"/>
      <c r="F155" s="648" t="str">
        <f t="shared" si="71"/>
        <v>Forecast</v>
      </c>
      <c r="G155" s="649">
        <f>'Input - Customer Data'!J20</f>
        <v>45.383532629707418</v>
      </c>
      <c r="H155" s="685" t="str">
        <f t="shared" si="70"/>
        <v/>
      </c>
      <c r="I155" s="687"/>
      <c r="J155" s="677"/>
      <c r="K155" s="650" t="str">
        <f t="shared" si="72"/>
        <v>Forecast</v>
      </c>
      <c r="L155" s="686"/>
      <c r="M155" s="731">
        <f>'Bridge&amp;Test Year Class Forecast'!F69</f>
        <v>60448003.765006162</v>
      </c>
      <c r="N155" s="651" t="str">
        <f t="shared" si="73"/>
        <v/>
      </c>
      <c r="O155" s="687"/>
      <c r="P155" s="677"/>
      <c r="Q155" s="650" t="str">
        <f t="shared" si="74"/>
        <v>Forecast</v>
      </c>
      <c r="R155" s="712">
        <f t="shared" si="75"/>
        <v>0</v>
      </c>
      <c r="S155" s="699">
        <f t="shared" si="76"/>
        <v>1331936.9441381423</v>
      </c>
      <c r="T155" s="699" t="str">
        <f t="shared" si="77"/>
        <v/>
      </c>
      <c r="U155" s="702" t="str">
        <f t="shared" si="78"/>
        <v/>
      </c>
      <c r="V155" s="678"/>
    </row>
    <row r="156" spans="2:22" ht="13.5" thickBot="1" x14ac:dyDescent="0.25">
      <c r="B156" s="693"/>
      <c r="C156" s="652"/>
      <c r="I156" s="623">
        <f>SUM(I149:I154)</f>
        <v>0</v>
      </c>
      <c r="O156" s="623">
        <f>SUM(O149:O154)</f>
        <v>0</v>
      </c>
      <c r="U156" s="623">
        <f>SUM(U149:U154)</f>
        <v>0</v>
      </c>
    </row>
    <row r="157" spans="2:22" ht="39" thickBot="1" x14ac:dyDescent="0.25">
      <c r="C157" s="653" t="s">
        <v>279</v>
      </c>
      <c r="D157" s="654" t="s">
        <v>80</v>
      </c>
      <c r="E157" s="688"/>
      <c r="F157" s="688"/>
      <c r="G157" s="628" t="s">
        <v>280</v>
      </c>
      <c r="H157" s="688"/>
      <c r="I157" s="630" t="s">
        <v>287</v>
      </c>
      <c r="J157" s="713"/>
      <c r="K157" s="627" t="s">
        <v>80</v>
      </c>
      <c r="L157" s="816" t="s">
        <v>280</v>
      </c>
      <c r="M157" s="816"/>
      <c r="N157" s="688"/>
      <c r="O157" s="630" t="str">
        <f>I157</f>
        <v>Test Year Versus Board-approved</v>
      </c>
      <c r="P157" s="597"/>
      <c r="Q157" s="627" t="s">
        <v>80</v>
      </c>
      <c r="R157" s="816" t="s">
        <v>280</v>
      </c>
      <c r="S157" s="816"/>
      <c r="T157" s="688"/>
      <c r="U157" s="630" t="str">
        <f>O157</f>
        <v>Test Year Versus Board-approved</v>
      </c>
    </row>
    <row r="158" spans="2:22" x14ac:dyDescent="0.2">
      <c r="C158" s="710"/>
      <c r="D158" s="655">
        <f t="shared" ref="D158:D164" si="79">D149</f>
        <v>2011</v>
      </c>
      <c r="E158" s="693"/>
      <c r="F158" s="693"/>
      <c r="G158" s="714"/>
      <c r="H158" s="693"/>
      <c r="I158" s="715"/>
      <c r="J158" s="716"/>
      <c r="K158" s="611">
        <f>D158</f>
        <v>2011</v>
      </c>
      <c r="L158" s="695"/>
      <c r="M158" s="695"/>
      <c r="N158" s="693"/>
      <c r="O158" s="681"/>
      <c r="P158" s="710"/>
      <c r="Q158" s="611">
        <f>K158</f>
        <v>2011</v>
      </c>
      <c r="R158" s="717"/>
      <c r="S158" s="717"/>
      <c r="T158" s="693"/>
      <c r="U158" s="681"/>
    </row>
    <row r="159" spans="2:22" x14ac:dyDescent="0.2">
      <c r="C159" s="710"/>
      <c r="D159" s="656">
        <f t="shared" si="79"/>
        <v>2012</v>
      </c>
      <c r="E159" s="693"/>
      <c r="F159" s="693"/>
      <c r="G159" s="718">
        <f t="shared" ref="G159:G164" si="80">IF(G149=0,"",G150/G149-1)</f>
        <v>-4.2016806722689037E-2</v>
      </c>
      <c r="H159" s="693"/>
      <c r="I159" s="715"/>
      <c r="J159" s="716"/>
      <c r="K159" s="611">
        <f t="shared" ref="K159:K165" si="81">D159</f>
        <v>2012</v>
      </c>
      <c r="L159" s="697">
        <f t="shared" ref="L159:M162" si="82">IF(L149=0,"",L150/L149-1)</f>
        <v>-4.1447993501310898E-2</v>
      </c>
      <c r="M159" s="697">
        <f t="shared" si="82"/>
        <v>-5.4340138298180074E-2</v>
      </c>
      <c r="N159" s="693"/>
      <c r="O159" s="681"/>
      <c r="P159" s="710"/>
      <c r="Q159" s="611">
        <f t="shared" ref="Q159:Q165" si="83">K159</f>
        <v>2012</v>
      </c>
      <c r="R159" s="719">
        <f>IF(R149="","",IF(R149=0,"",R150/R149-1))</f>
        <v>5.9376116968423709E-4</v>
      </c>
      <c r="S159" s="719">
        <f>IF(S149="","",IF(S149=0,"",S150/S149-1))</f>
        <v>-1.2863828574416147E-2</v>
      </c>
      <c r="T159" s="693"/>
      <c r="U159" s="681"/>
    </row>
    <row r="160" spans="2:22" x14ac:dyDescent="0.2">
      <c r="C160" s="710"/>
      <c r="D160" s="656">
        <f t="shared" si="79"/>
        <v>2013</v>
      </c>
      <c r="E160" s="693"/>
      <c r="F160" s="693"/>
      <c r="G160" s="718">
        <f t="shared" si="80"/>
        <v>-8.7719298245614308E-3</v>
      </c>
      <c r="H160" s="693"/>
      <c r="I160" s="715"/>
      <c r="J160" s="716"/>
      <c r="K160" s="611">
        <f t="shared" si="81"/>
        <v>2013</v>
      </c>
      <c r="L160" s="697">
        <f t="shared" si="82"/>
        <v>-9.3133669307974509E-2</v>
      </c>
      <c r="M160" s="697">
        <f t="shared" si="82"/>
        <v>-8.5774136393822364E-2</v>
      </c>
      <c r="N160" s="693"/>
      <c r="O160" s="681"/>
      <c r="P160" s="710"/>
      <c r="Q160" s="611">
        <f t="shared" si="83"/>
        <v>2013</v>
      </c>
      <c r="R160" s="719">
        <f t="shared" ref="R160:S164" si="84">IF(R150="","",IF(R150=0,"",R151/R150-1))</f>
        <v>-8.5108303549638054E-2</v>
      </c>
      <c r="S160" s="719">
        <f t="shared" si="84"/>
        <v>-7.7683642025626054E-2</v>
      </c>
      <c r="T160" s="693"/>
      <c r="U160" s="681"/>
    </row>
    <row r="161" spans="3:21" x14ac:dyDescent="0.2">
      <c r="C161" s="710"/>
      <c r="D161" s="656">
        <f t="shared" si="79"/>
        <v>2014</v>
      </c>
      <c r="E161" s="693"/>
      <c r="F161" s="693"/>
      <c r="G161" s="718">
        <f t="shared" si="80"/>
        <v>-7.9646017699115057E-2</v>
      </c>
      <c r="H161" s="693"/>
      <c r="I161" s="715"/>
      <c r="J161" s="716"/>
      <c r="K161" s="611">
        <f t="shared" si="81"/>
        <v>2014</v>
      </c>
      <c r="L161" s="697">
        <f t="shared" si="82"/>
        <v>-4.6644697105586053E-2</v>
      </c>
      <c r="M161" s="697">
        <f t="shared" si="82"/>
        <v>-3.158985040834994E-2</v>
      </c>
      <c r="N161" s="693"/>
      <c r="O161" s="681"/>
      <c r="P161" s="710"/>
      <c r="Q161" s="611">
        <f t="shared" si="83"/>
        <v>2014</v>
      </c>
      <c r="R161" s="719">
        <f t="shared" si="84"/>
        <v>3.5857204106430673E-2</v>
      </c>
      <c r="S161" s="719">
        <f t="shared" si="84"/>
        <v>5.2214874075542816E-2</v>
      </c>
      <c r="T161" s="693"/>
      <c r="U161" s="681"/>
    </row>
    <row r="162" spans="3:21" x14ac:dyDescent="0.2">
      <c r="C162" s="710"/>
      <c r="D162" s="656">
        <f t="shared" si="79"/>
        <v>2015</v>
      </c>
      <c r="E162" s="693"/>
      <c r="F162" s="693"/>
      <c r="G162" s="718">
        <f t="shared" si="80"/>
        <v>-8.6538461538461564E-2</v>
      </c>
      <c r="H162" s="693"/>
      <c r="I162" s="715"/>
      <c r="J162" s="716"/>
      <c r="K162" s="611">
        <f t="shared" si="81"/>
        <v>2015</v>
      </c>
      <c r="L162" s="697">
        <f t="shared" si="82"/>
        <v>-3.6104706040381851E-2</v>
      </c>
      <c r="M162" s="697">
        <f t="shared" si="82"/>
        <v>-4.0420120966082052E-2</v>
      </c>
      <c r="N162" s="693"/>
      <c r="O162" s="681"/>
      <c r="P162" s="710"/>
      <c r="Q162" s="611">
        <f t="shared" si="83"/>
        <v>2015</v>
      </c>
      <c r="R162" s="719">
        <f t="shared" si="84"/>
        <v>5.5211690229476806E-2</v>
      </c>
      <c r="S162" s="719">
        <f t="shared" si="84"/>
        <v>5.0487446521341628E-2</v>
      </c>
      <c r="T162" s="693"/>
      <c r="U162" s="681"/>
    </row>
    <row r="163" spans="3:21" x14ac:dyDescent="0.2">
      <c r="C163" s="710"/>
      <c r="D163" s="656">
        <f t="shared" si="79"/>
        <v>2016</v>
      </c>
      <c r="E163" s="693"/>
      <c r="F163" s="693"/>
      <c r="G163" s="718">
        <f t="shared" si="80"/>
        <v>-2.253245976944751E-2</v>
      </c>
      <c r="H163" s="693"/>
      <c r="I163" s="715"/>
      <c r="J163" s="716"/>
      <c r="K163" s="611">
        <f t="shared" si="81"/>
        <v>2016</v>
      </c>
      <c r="L163" s="697" t="str">
        <f>IF(K154="Forecast","",IF(L153=0,"",L154/L153-1))</f>
        <v/>
      </c>
      <c r="M163" s="697">
        <f>IF(M153=0,"",M154/M153-1)</f>
        <v>0.1882275102356632</v>
      </c>
      <c r="N163" s="693"/>
      <c r="O163" s="681"/>
      <c r="P163" s="710"/>
      <c r="Q163" s="611">
        <f t="shared" si="83"/>
        <v>2016</v>
      </c>
      <c r="R163" s="719" t="str">
        <f>IF(Q154="Forecast","",IF(R153=0,"",R154/R153-1))</f>
        <v/>
      </c>
      <c r="S163" s="719">
        <f t="shared" si="84"/>
        <v>0.21561838253513721</v>
      </c>
      <c r="T163" s="693"/>
      <c r="U163" s="681"/>
    </row>
    <row r="164" spans="3:21" x14ac:dyDescent="0.2">
      <c r="C164" s="710"/>
      <c r="D164" s="656">
        <f t="shared" si="79"/>
        <v>2017</v>
      </c>
      <c r="E164" s="693"/>
      <c r="F164" s="693"/>
      <c r="G164" s="718">
        <f t="shared" si="80"/>
        <v>-2.2532459769447621E-2</v>
      </c>
      <c r="H164" s="693"/>
      <c r="I164" s="720" t="str">
        <f>IF(I156=0,"",G155/I156-1)</f>
        <v/>
      </c>
      <c r="J164" s="716"/>
      <c r="K164" s="611">
        <f t="shared" si="81"/>
        <v>2017</v>
      </c>
      <c r="L164" s="697" t="str">
        <f>IF(K155="Forecast","",IF(L154=0,"",L155/L154-1))</f>
        <v/>
      </c>
      <c r="M164" s="697">
        <f>IF(M154=0,"",M155/M154-1)</f>
        <v>2.0918895340746868E-3</v>
      </c>
      <c r="N164" s="693"/>
      <c r="O164" s="698" t="str">
        <f>IF(O156=0,"",M155/O156-1)</f>
        <v/>
      </c>
      <c r="P164" s="710"/>
      <c r="Q164" s="611">
        <f t="shared" si="83"/>
        <v>2017</v>
      </c>
      <c r="R164" s="719" t="str">
        <f>IF(Q155="Forecast","",IF(R154=0,"",R155/R154-1))</f>
        <v/>
      </c>
      <c r="S164" s="719">
        <f t="shared" si="84"/>
        <v>2.5191986731052163E-2</v>
      </c>
      <c r="T164" s="693"/>
      <c r="U164" s="698" t="str">
        <f>IF(U156=0,"",S155/U156-1)</f>
        <v/>
      </c>
    </row>
    <row r="165" spans="3:21" ht="26.25" thickBot="1" x14ac:dyDescent="0.25">
      <c r="C165" s="677"/>
      <c r="D165" s="721" t="s">
        <v>282</v>
      </c>
      <c r="E165" s="699"/>
      <c r="F165" s="699"/>
      <c r="G165" s="722" t="e">
        <f>IF(G149=0,"",GEOMEAN(G159:G164))</f>
        <v>#NUM!</v>
      </c>
      <c r="H165" s="699"/>
      <c r="I165" s="723" t="s">
        <v>312</v>
      </c>
      <c r="J165" s="702"/>
      <c r="K165" s="703" t="str">
        <f t="shared" si="81"/>
        <v>Geometric Mean</v>
      </c>
      <c r="L165" s="704"/>
      <c r="M165" s="704">
        <f>IF(M149=0,"",(M155/M149)^(1/(K164-K158-1)-1))</f>
        <v>1.0361225842127459</v>
      </c>
      <c r="N165" s="699"/>
      <c r="O165" s="705" t="s">
        <v>312</v>
      </c>
      <c r="P165" s="677"/>
      <c r="Q165" s="703" t="str">
        <f t="shared" si="83"/>
        <v>Geometric Mean</v>
      </c>
      <c r="R165" s="724"/>
      <c r="S165" s="704">
        <f>IF(S149="","",IF(S149=0,"",(S155/S149)^(1/(Q164-Q158-1)-1)))</f>
        <v>0.83428840153665007</v>
      </c>
      <c r="T165" s="699"/>
      <c r="U165" s="705" t="s">
        <v>312</v>
      </c>
    </row>
    <row r="167" spans="3:21" ht="13.5" thickBot="1" x14ac:dyDescent="0.25">
      <c r="Q167" s="693"/>
      <c r="R167" s="693"/>
      <c r="S167" s="693"/>
      <c r="T167" s="693"/>
      <c r="U167" s="693"/>
    </row>
    <row r="168" spans="3:21" ht="12.75" customHeight="1" x14ac:dyDescent="0.2">
      <c r="C168" s="597"/>
      <c r="D168" s="598" t="s">
        <v>274</v>
      </c>
      <c r="E168" s="598"/>
      <c r="F168" s="829" t="s">
        <v>240</v>
      </c>
      <c r="G168" s="830"/>
      <c r="H168" s="830"/>
      <c r="I168" s="831"/>
      <c r="J168" s="690"/>
      <c r="K168" s="812" t="str">
        <f>IF(ISBLANK(N145),"",CONCATENATE("Demand (",N145,")"))</f>
        <v>Demand (kW)</v>
      </c>
      <c r="L168" s="813"/>
      <c r="M168" s="813"/>
      <c r="N168" s="813"/>
      <c r="O168" s="814"/>
      <c r="P168" s="690"/>
      <c r="Q168" s="823" t="str">
        <f>CONCATENATE("Demand (",N145,") per ",LEFT(F147,LEN(F147)-1))</f>
        <v>Demand (kW) per Customer</v>
      </c>
      <c r="R168" s="824"/>
      <c r="S168" s="824"/>
      <c r="T168" s="824"/>
      <c r="U168" s="825"/>
    </row>
    <row r="169" spans="3:21" ht="39" thickBot="1" x14ac:dyDescent="0.25">
      <c r="C169" s="677"/>
      <c r="D169" s="602" t="s">
        <v>311</v>
      </c>
      <c r="E169" s="610"/>
      <c r="F169" s="826"/>
      <c r="G169" s="827"/>
      <c r="H169" s="827"/>
      <c r="I169" s="638"/>
      <c r="J169" s="693"/>
      <c r="K169" s="606"/>
      <c r="L169" s="607" t="s">
        <v>276</v>
      </c>
      <c r="M169" s="607" t="s">
        <v>277</v>
      </c>
      <c r="N169" s="608"/>
      <c r="O169" s="609" t="str">
        <f>M169</f>
        <v>Weather-normalized</v>
      </c>
      <c r="P169" s="693"/>
      <c r="Q169" s="657"/>
      <c r="R169" s="607" t="str">
        <f>L169</f>
        <v>Actual (Weather actual)</v>
      </c>
      <c r="S169" s="607" t="str">
        <f>M169</f>
        <v>Weather-normalized</v>
      </c>
      <c r="T169" s="607"/>
      <c r="U169" s="658" t="str">
        <f>O169</f>
        <v>Weather-normalized</v>
      </c>
    </row>
    <row r="170" spans="3:21" x14ac:dyDescent="0.2">
      <c r="C170" s="610" t="s">
        <v>278</v>
      </c>
      <c r="D170" s="611">
        <f t="shared" ref="D170:D175" si="85">D171-1</f>
        <v>2011</v>
      </c>
      <c r="E170" s="710"/>
      <c r="F170" s="643" t="str">
        <f t="shared" ref="F170:F176" si="86">F149</f>
        <v>Actual</v>
      </c>
      <c r="G170" s="659"/>
      <c r="H170" s="679" t="str">
        <f t="shared" ref="H170:H176" si="87">IF(D170=2013,"Board-approved","")</f>
        <v/>
      </c>
      <c r="I170" s="725"/>
      <c r="J170" s="693"/>
      <c r="K170" s="645" t="str">
        <f t="shared" ref="K170:K176" si="88">K149</f>
        <v>Actual</v>
      </c>
      <c r="L170" s="666">
        <f>'Bridge&amp;Test Year Class Forecast'!M9</f>
        <v>164083.79999999999</v>
      </c>
      <c r="M170" s="666">
        <f>'Bridge&amp;Test Year Class Forecast'!M9</f>
        <v>164083.79999999999</v>
      </c>
      <c r="N170" s="646" t="str">
        <f t="shared" ref="N170:N176" si="89">N149</f>
        <v/>
      </c>
      <c r="O170" s="681"/>
      <c r="P170" s="693"/>
      <c r="Q170" s="645" t="str">
        <f>K170</f>
        <v>Actual</v>
      </c>
      <c r="R170" s="693" t="str">
        <f>IF(G170=0,"",L170/G170)</f>
        <v/>
      </c>
      <c r="S170" s="678" t="str">
        <f>IF(G170=0,"",M170/G170)</f>
        <v/>
      </c>
      <c r="T170" s="678" t="str">
        <f>N170</f>
        <v/>
      </c>
      <c r="U170" s="710" t="str">
        <f>IF(T170="","",IF(I170=0,"",O170/I170))</f>
        <v/>
      </c>
    </row>
    <row r="171" spans="3:21" x14ac:dyDescent="0.2">
      <c r="C171" s="610" t="s">
        <v>278</v>
      </c>
      <c r="D171" s="611">
        <f t="shared" si="85"/>
        <v>2012</v>
      </c>
      <c r="E171" s="710"/>
      <c r="F171" s="647" t="str">
        <f t="shared" si="86"/>
        <v>Actual</v>
      </c>
      <c r="G171" s="659"/>
      <c r="H171" s="679" t="str">
        <f t="shared" si="87"/>
        <v/>
      </c>
      <c r="I171" s="681"/>
      <c r="J171" s="693"/>
      <c r="K171" s="645" t="str">
        <f t="shared" si="88"/>
        <v>Actual</v>
      </c>
      <c r="L171" s="666">
        <f>'Bridge&amp;Test Year Class Forecast'!M10</f>
        <v>165373.30000000002</v>
      </c>
      <c r="M171" s="666">
        <f>'Bridge&amp;Test Year Class Forecast'!M10</f>
        <v>165373.30000000002</v>
      </c>
      <c r="N171" s="646" t="str">
        <f t="shared" si="89"/>
        <v/>
      </c>
      <c r="O171" s="681"/>
      <c r="P171" s="693"/>
      <c r="Q171" s="645" t="str">
        <f t="shared" ref="Q171:Q176" si="90">K171</f>
        <v>Actual</v>
      </c>
      <c r="R171" s="693" t="str">
        <f t="shared" ref="R171:R176" si="91">IF(G171=0,"",L171/G171)</f>
        <v/>
      </c>
      <c r="S171" s="678" t="str">
        <f t="shared" ref="S171:S176" si="92">IF(G171=0,"",M171/G171)</f>
        <v/>
      </c>
      <c r="T171" s="678" t="str">
        <f t="shared" ref="T171:T176" si="93">N171</f>
        <v/>
      </c>
      <c r="U171" s="710" t="str">
        <f t="shared" ref="U171:U176" si="94">IF(T171="","",IF(I171=0,"",O171/I171))</f>
        <v/>
      </c>
    </row>
    <row r="172" spans="3:21" x14ac:dyDescent="0.2">
      <c r="C172" s="610" t="s">
        <v>278</v>
      </c>
      <c r="D172" s="611">
        <f t="shared" si="85"/>
        <v>2013</v>
      </c>
      <c r="E172" s="710"/>
      <c r="F172" s="647" t="str">
        <f t="shared" si="86"/>
        <v>Actual</v>
      </c>
      <c r="G172" s="659"/>
      <c r="H172" s="679" t="str">
        <f t="shared" si="87"/>
        <v>Board-approved</v>
      </c>
      <c r="I172" s="660"/>
      <c r="J172" s="693"/>
      <c r="K172" s="645" t="str">
        <f t="shared" si="88"/>
        <v>Actual</v>
      </c>
      <c r="L172" s="666">
        <f>'Bridge&amp;Test Year Class Forecast'!M11</f>
        <v>154259.70000000001</v>
      </c>
      <c r="M172" s="666">
        <f>'Bridge&amp;Test Year Class Forecast'!M11</f>
        <v>154259.70000000001</v>
      </c>
      <c r="N172" s="646" t="str">
        <f t="shared" si="89"/>
        <v>Board-approved</v>
      </c>
      <c r="O172" s="616"/>
      <c r="P172" s="693"/>
      <c r="Q172" s="645" t="str">
        <f t="shared" si="90"/>
        <v>Actual</v>
      </c>
      <c r="R172" s="693" t="str">
        <f t="shared" si="91"/>
        <v/>
      </c>
      <c r="S172" s="678" t="str">
        <f t="shared" si="92"/>
        <v/>
      </c>
      <c r="T172" s="678" t="str">
        <f t="shared" si="93"/>
        <v>Board-approved</v>
      </c>
      <c r="U172" s="710" t="str">
        <f t="shared" si="94"/>
        <v/>
      </c>
    </row>
    <row r="173" spans="3:21" x14ac:dyDescent="0.2">
      <c r="C173" s="610" t="s">
        <v>278</v>
      </c>
      <c r="D173" s="611">
        <f t="shared" si="85"/>
        <v>2014</v>
      </c>
      <c r="E173" s="710"/>
      <c r="F173" s="647" t="str">
        <f t="shared" si="86"/>
        <v>Actual</v>
      </c>
      <c r="G173" s="659"/>
      <c r="H173" s="679" t="str">
        <f t="shared" si="87"/>
        <v/>
      </c>
      <c r="I173" s="681"/>
      <c r="J173" s="693"/>
      <c r="K173" s="645" t="str">
        <f t="shared" si="88"/>
        <v>Actual</v>
      </c>
      <c r="L173" s="666">
        <f>'Bridge&amp;Test Year Class Forecast'!M12</f>
        <v>148977.29999999999</v>
      </c>
      <c r="M173" s="666">
        <f>'Bridge&amp;Test Year Class Forecast'!M12</f>
        <v>148977.29999999999</v>
      </c>
      <c r="N173" s="646" t="str">
        <f t="shared" si="89"/>
        <v/>
      </c>
      <c r="O173" s="681"/>
      <c r="P173" s="693"/>
      <c r="Q173" s="645" t="str">
        <f t="shared" si="90"/>
        <v>Actual</v>
      </c>
      <c r="R173" s="693" t="str">
        <f t="shared" si="91"/>
        <v/>
      </c>
      <c r="S173" s="678" t="str">
        <f t="shared" si="92"/>
        <v/>
      </c>
      <c r="T173" s="678" t="str">
        <f t="shared" si="93"/>
        <v/>
      </c>
      <c r="U173" s="710" t="str">
        <f t="shared" si="94"/>
        <v/>
      </c>
    </row>
    <row r="174" spans="3:21" x14ac:dyDescent="0.2">
      <c r="C174" s="610" t="s">
        <v>278</v>
      </c>
      <c r="D174" s="611">
        <f t="shared" si="85"/>
        <v>2015</v>
      </c>
      <c r="E174" s="710"/>
      <c r="F174" s="647" t="str">
        <f t="shared" si="86"/>
        <v>Actual</v>
      </c>
      <c r="G174" s="659"/>
      <c r="H174" s="679" t="str">
        <f t="shared" si="87"/>
        <v/>
      </c>
      <c r="I174" s="681"/>
      <c r="J174" s="693"/>
      <c r="K174" s="645" t="str">
        <f t="shared" si="88"/>
        <v>Actual</v>
      </c>
      <c r="L174" s="666">
        <f>'Bridge&amp;Test Year Class Forecast'!M13</f>
        <v>145124.19999999998</v>
      </c>
      <c r="M174" s="666">
        <f>'Bridge&amp;Test Year Class Forecast'!M13</f>
        <v>145124.19999999998</v>
      </c>
      <c r="N174" s="646" t="str">
        <f t="shared" si="89"/>
        <v/>
      </c>
      <c r="O174" s="681"/>
      <c r="P174" s="693"/>
      <c r="Q174" s="645" t="str">
        <f t="shared" si="90"/>
        <v>Actual</v>
      </c>
      <c r="R174" s="693" t="str">
        <f t="shared" si="91"/>
        <v/>
      </c>
      <c r="S174" s="678" t="str">
        <f t="shared" si="92"/>
        <v/>
      </c>
      <c r="T174" s="678" t="str">
        <f t="shared" si="93"/>
        <v/>
      </c>
      <c r="U174" s="710" t="str">
        <f t="shared" si="94"/>
        <v/>
      </c>
    </row>
    <row r="175" spans="3:21" x14ac:dyDescent="0.2">
      <c r="C175" s="610" t="s">
        <v>288</v>
      </c>
      <c r="D175" s="611">
        <f t="shared" si="85"/>
        <v>2016</v>
      </c>
      <c r="E175" s="710"/>
      <c r="F175" s="647" t="str">
        <f t="shared" si="86"/>
        <v>Forecast</v>
      </c>
      <c r="G175" s="659"/>
      <c r="H175" s="679" t="str">
        <f t="shared" si="87"/>
        <v/>
      </c>
      <c r="I175" s="681"/>
      <c r="J175" s="693"/>
      <c r="K175" s="645" t="str">
        <f t="shared" si="88"/>
        <v>Forecast</v>
      </c>
      <c r="L175" s="682"/>
      <c r="M175" s="666">
        <f>'Bridge&amp;Test Year Class Forecast'!M14</f>
        <v>163126.16966948824</v>
      </c>
      <c r="N175" s="646" t="str">
        <f t="shared" si="89"/>
        <v/>
      </c>
      <c r="O175" s="681"/>
      <c r="P175" s="693"/>
      <c r="Q175" s="645" t="str">
        <f t="shared" si="90"/>
        <v>Forecast</v>
      </c>
      <c r="R175" s="693" t="str">
        <f t="shared" si="91"/>
        <v/>
      </c>
      <c r="S175" s="678" t="str">
        <f t="shared" si="92"/>
        <v/>
      </c>
      <c r="T175" s="678" t="str">
        <f t="shared" si="93"/>
        <v/>
      </c>
      <c r="U175" s="710" t="str">
        <f t="shared" si="94"/>
        <v/>
      </c>
    </row>
    <row r="176" spans="3:21" ht="13.5" thickBot="1" x14ac:dyDescent="0.25">
      <c r="C176" s="617" t="s">
        <v>289</v>
      </c>
      <c r="D176" s="618">
        <v>2017</v>
      </c>
      <c r="E176" s="677"/>
      <c r="F176" s="648" t="str">
        <f t="shared" si="86"/>
        <v>Forecast</v>
      </c>
      <c r="G176" s="661"/>
      <c r="H176" s="684" t="str">
        <f t="shared" si="87"/>
        <v/>
      </c>
      <c r="I176" s="687"/>
      <c r="J176" s="699"/>
      <c r="K176" s="650" t="str">
        <f t="shared" si="88"/>
        <v>Forecast</v>
      </c>
      <c r="L176" s="686"/>
      <c r="M176" s="731">
        <f>'Bridge&amp;Test Year Class Forecast'!M15</f>
        <v>163467.41159655352</v>
      </c>
      <c r="N176" s="651" t="str">
        <f t="shared" si="89"/>
        <v/>
      </c>
      <c r="O176" s="687"/>
      <c r="P176" s="699"/>
      <c r="Q176" s="728" t="str">
        <f t="shared" si="90"/>
        <v>Forecast</v>
      </c>
      <c r="R176" s="683" t="str">
        <f t="shared" si="91"/>
        <v/>
      </c>
      <c r="S176" s="683" t="str">
        <f t="shared" si="92"/>
        <v/>
      </c>
      <c r="T176" s="683" t="str">
        <f t="shared" si="93"/>
        <v/>
      </c>
      <c r="U176" s="677" t="str">
        <f t="shared" si="94"/>
        <v/>
      </c>
    </row>
    <row r="177" spans="2:22" ht="13.5" thickBot="1" x14ac:dyDescent="0.25">
      <c r="C177" s="652"/>
      <c r="I177" s="623">
        <f>SUM(I170:I175)</f>
        <v>0</v>
      </c>
      <c r="J177" s="693"/>
      <c r="O177" s="623">
        <f>SUM(O170:O175)</f>
        <v>0</v>
      </c>
      <c r="U177" s="623">
        <f>SUM(U170:U175)</f>
        <v>0</v>
      </c>
    </row>
    <row r="178" spans="2:22" ht="39" thickBot="1" x14ac:dyDescent="0.25">
      <c r="C178" s="653" t="s">
        <v>279</v>
      </c>
      <c r="D178" s="654" t="s">
        <v>80</v>
      </c>
      <c r="E178" s="628"/>
      <c r="F178" s="628"/>
      <c r="G178" s="628" t="s">
        <v>280</v>
      </c>
      <c r="H178" s="628"/>
      <c r="I178" s="630" t="str">
        <f>I157</f>
        <v>Test Year Versus Board-approved</v>
      </c>
      <c r="J178" s="662"/>
      <c r="K178" s="627" t="s">
        <v>80</v>
      </c>
      <c r="L178" s="816" t="s">
        <v>280</v>
      </c>
      <c r="M178" s="816"/>
      <c r="N178" s="628"/>
      <c r="O178" s="630" t="str">
        <f>I178</f>
        <v>Test Year Versus Board-approved</v>
      </c>
      <c r="P178" s="663"/>
      <c r="Q178" s="627" t="s">
        <v>80</v>
      </c>
      <c r="R178" s="816" t="s">
        <v>280</v>
      </c>
      <c r="S178" s="816"/>
      <c r="T178" s="628"/>
      <c r="U178" s="630" t="str">
        <f>O178</f>
        <v>Test Year Versus Board-approved</v>
      </c>
    </row>
    <row r="179" spans="2:22" x14ac:dyDescent="0.2">
      <c r="C179" s="710"/>
      <c r="D179" s="664">
        <f t="shared" ref="D179:D185" si="95">D170</f>
        <v>2011</v>
      </c>
      <c r="E179" s="690"/>
      <c r="F179" s="693"/>
      <c r="G179" s="714"/>
      <c r="H179" s="693"/>
      <c r="I179" s="715"/>
      <c r="J179" s="710"/>
      <c r="K179" s="611">
        <f>D179</f>
        <v>2011</v>
      </c>
      <c r="L179" s="695"/>
      <c r="M179" s="695"/>
      <c r="N179" s="693"/>
      <c r="O179" s="616"/>
      <c r="P179" s="710"/>
      <c r="Q179" s="611">
        <f>K179</f>
        <v>2011</v>
      </c>
      <c r="R179" s="717"/>
      <c r="S179" s="717"/>
      <c r="T179" s="693"/>
      <c r="U179" s="681"/>
    </row>
    <row r="180" spans="2:22" x14ac:dyDescent="0.2">
      <c r="C180" s="710"/>
      <c r="D180" s="656">
        <f t="shared" si="95"/>
        <v>2012</v>
      </c>
      <c r="E180" s="693"/>
      <c r="F180" s="693"/>
      <c r="G180" s="718" t="str">
        <f t="shared" ref="G180:G185" si="96">IF(G170=0,"",G171/G170-1)</f>
        <v/>
      </c>
      <c r="H180" s="693"/>
      <c r="I180" s="715"/>
      <c r="J180" s="710"/>
      <c r="K180" s="611">
        <f t="shared" ref="K180:K186" si="97">D180</f>
        <v>2012</v>
      </c>
      <c r="L180" s="697">
        <f>IF(L170=0,"",L171/L170-1)</f>
        <v>7.8587892284309735E-3</v>
      </c>
      <c r="M180" s="697">
        <f>IF(M170=0,"",M171/M170-1)</f>
        <v>7.8587892284309735E-3</v>
      </c>
      <c r="N180" s="693"/>
      <c r="O180" s="616"/>
      <c r="P180" s="710"/>
      <c r="Q180" s="611">
        <f t="shared" ref="Q180:Q186" si="98">K180</f>
        <v>2012</v>
      </c>
      <c r="R180" s="719" t="str">
        <f>IF(R170="","",IF(R170=0,"",R171/R170-1))</f>
        <v/>
      </c>
      <c r="S180" s="719" t="str">
        <f>IF(S170="","",IF(S170=0,"",S171/S170-1))</f>
        <v/>
      </c>
      <c r="T180" s="693"/>
      <c r="U180" s="681"/>
    </row>
    <row r="181" spans="2:22" x14ac:dyDescent="0.2">
      <c r="C181" s="710"/>
      <c r="D181" s="665">
        <f t="shared" si="95"/>
        <v>2013</v>
      </c>
      <c r="E181" s="693"/>
      <c r="F181" s="693"/>
      <c r="G181" s="718" t="str">
        <f t="shared" si="96"/>
        <v/>
      </c>
      <c r="H181" s="693"/>
      <c r="I181" s="715"/>
      <c r="J181" s="710"/>
      <c r="K181" s="611">
        <f t="shared" si="97"/>
        <v>2013</v>
      </c>
      <c r="L181" s="697">
        <f t="shared" ref="L181:M185" si="99">IF(L171=0,"",L172/L171-1)</f>
        <v>-6.7203109570892039E-2</v>
      </c>
      <c r="M181" s="697">
        <f t="shared" si="99"/>
        <v>-6.7203109570892039E-2</v>
      </c>
      <c r="N181" s="693"/>
      <c r="O181" s="616"/>
      <c r="P181" s="710"/>
      <c r="Q181" s="611">
        <f t="shared" si="98"/>
        <v>2013</v>
      </c>
      <c r="R181" s="719" t="str">
        <f t="shared" ref="R181:S185" si="100">IF(R171="","",IF(R171=0,"",R172/R171-1))</f>
        <v/>
      </c>
      <c r="S181" s="719" t="str">
        <f t="shared" si="100"/>
        <v/>
      </c>
      <c r="T181" s="693"/>
      <c r="U181" s="681"/>
    </row>
    <row r="182" spans="2:22" x14ac:dyDescent="0.2">
      <c r="C182" s="710"/>
      <c r="D182" s="656">
        <f t="shared" si="95"/>
        <v>2014</v>
      </c>
      <c r="E182" s="693"/>
      <c r="F182" s="693"/>
      <c r="G182" s="718" t="str">
        <f t="shared" si="96"/>
        <v/>
      </c>
      <c r="H182" s="693"/>
      <c r="I182" s="715"/>
      <c r="J182" s="710"/>
      <c r="K182" s="611">
        <f t="shared" si="97"/>
        <v>2014</v>
      </c>
      <c r="L182" s="697">
        <f t="shared" si="99"/>
        <v>-3.4243551621065182E-2</v>
      </c>
      <c r="M182" s="697">
        <f t="shared" si="99"/>
        <v>-3.4243551621065182E-2</v>
      </c>
      <c r="N182" s="693"/>
      <c r="O182" s="616"/>
      <c r="P182" s="710"/>
      <c r="Q182" s="611">
        <f t="shared" si="98"/>
        <v>2014</v>
      </c>
      <c r="R182" s="719" t="str">
        <f t="shared" si="100"/>
        <v/>
      </c>
      <c r="S182" s="719" t="str">
        <f t="shared" si="100"/>
        <v/>
      </c>
      <c r="T182" s="693"/>
      <c r="U182" s="681"/>
    </row>
    <row r="183" spans="2:22" x14ac:dyDescent="0.2">
      <c r="C183" s="710"/>
      <c r="D183" s="656">
        <f t="shared" si="95"/>
        <v>2015</v>
      </c>
      <c r="E183" s="693"/>
      <c r="F183" s="693"/>
      <c r="G183" s="718" t="str">
        <f t="shared" si="96"/>
        <v/>
      </c>
      <c r="H183" s="693"/>
      <c r="I183" s="715"/>
      <c r="J183" s="710"/>
      <c r="K183" s="611">
        <f t="shared" si="97"/>
        <v>2015</v>
      </c>
      <c r="L183" s="697">
        <f t="shared" si="99"/>
        <v>-2.5863671847992986E-2</v>
      </c>
      <c r="M183" s="697">
        <f t="shared" si="99"/>
        <v>-2.5863671847992986E-2</v>
      </c>
      <c r="N183" s="693"/>
      <c r="O183" s="616"/>
      <c r="P183" s="710"/>
      <c r="Q183" s="611">
        <f t="shared" si="98"/>
        <v>2015</v>
      </c>
      <c r="R183" s="719" t="str">
        <f t="shared" si="100"/>
        <v/>
      </c>
      <c r="S183" s="719" t="str">
        <f t="shared" si="100"/>
        <v/>
      </c>
      <c r="T183" s="693"/>
      <c r="U183" s="681"/>
    </row>
    <row r="184" spans="2:22" x14ac:dyDescent="0.2">
      <c r="C184" s="710"/>
      <c r="D184" s="656">
        <f t="shared" si="95"/>
        <v>2016</v>
      </c>
      <c r="E184" s="693"/>
      <c r="F184" s="693"/>
      <c r="G184" s="718" t="str">
        <f t="shared" si="96"/>
        <v/>
      </c>
      <c r="H184" s="693"/>
      <c r="I184" s="715"/>
      <c r="J184" s="710"/>
      <c r="K184" s="611">
        <f t="shared" si="97"/>
        <v>2016</v>
      </c>
      <c r="L184" s="697" t="str">
        <f>IF(K175="Forecast","",IF(L174=0,"",L175/L174-1))</f>
        <v/>
      </c>
      <c r="M184" s="697">
        <f t="shared" si="99"/>
        <v>0.12404526377742831</v>
      </c>
      <c r="N184" s="693"/>
      <c r="O184" s="616"/>
      <c r="P184" s="710"/>
      <c r="Q184" s="611">
        <f t="shared" si="98"/>
        <v>2016</v>
      </c>
      <c r="R184" s="719" t="str">
        <f>IF(Q175="Forecast","",IF(R174=0,"",R175/R174-1))</f>
        <v/>
      </c>
      <c r="S184" s="719" t="str">
        <f t="shared" si="100"/>
        <v/>
      </c>
      <c r="T184" s="693"/>
      <c r="U184" s="681"/>
    </row>
    <row r="185" spans="2:22" x14ac:dyDescent="0.2">
      <c r="C185" s="710"/>
      <c r="D185" s="665">
        <f t="shared" si="95"/>
        <v>2017</v>
      </c>
      <c r="E185" s="693"/>
      <c r="F185" s="693"/>
      <c r="G185" s="718" t="str">
        <f t="shared" si="96"/>
        <v/>
      </c>
      <c r="H185" s="693"/>
      <c r="I185" s="720" t="str">
        <f>IF(I177=0,"",G176/I177-1)</f>
        <v/>
      </c>
      <c r="J185" s="710"/>
      <c r="K185" s="611">
        <f t="shared" si="97"/>
        <v>2017</v>
      </c>
      <c r="L185" s="697" t="str">
        <f>IF(K176="Forecast","",IF(L175=0,"",L176/L175-1))</f>
        <v/>
      </c>
      <c r="M185" s="697">
        <f t="shared" si="99"/>
        <v>2.0918895340744648E-3</v>
      </c>
      <c r="N185" s="693"/>
      <c r="O185" s="729" t="str">
        <f>IF(O177=0,"",M176/O177-1)</f>
        <v/>
      </c>
      <c r="P185" s="710"/>
      <c r="Q185" s="611">
        <f t="shared" si="98"/>
        <v>2017</v>
      </c>
      <c r="R185" s="719" t="str">
        <f>IF(Q176="Forecast","",IF(R175=0,"",R176/R175-1))</f>
        <v/>
      </c>
      <c r="S185" s="719" t="str">
        <f t="shared" si="100"/>
        <v/>
      </c>
      <c r="T185" s="693"/>
      <c r="U185" s="698" t="str">
        <f>IF(U177=0,"",S176/U177-1)</f>
        <v/>
      </c>
    </row>
    <row r="186" spans="2:22" ht="26.25" thickBot="1" x14ac:dyDescent="0.25">
      <c r="C186" s="677"/>
      <c r="D186" s="721" t="s">
        <v>282</v>
      </c>
      <c r="E186" s="699"/>
      <c r="F186" s="699"/>
      <c r="G186" s="722" t="str">
        <f>IF(G170=0,"",GEOMEAN(G180:G185))</f>
        <v/>
      </c>
      <c r="H186" s="699"/>
      <c r="I186" s="705" t="s">
        <v>312</v>
      </c>
      <c r="J186" s="710"/>
      <c r="K186" s="703" t="str">
        <f t="shared" si="97"/>
        <v>Geometric Mean</v>
      </c>
      <c r="L186" s="704"/>
      <c r="M186" s="704" t="e">
        <f>IF(M170=0,"",GEOMEAN(M180:M185))</f>
        <v>#NUM!</v>
      </c>
      <c r="N186" s="699"/>
      <c r="O186" s="705" t="s">
        <v>312</v>
      </c>
      <c r="P186" s="677"/>
      <c r="Q186" s="703" t="str">
        <f t="shared" si="98"/>
        <v>Geometric Mean</v>
      </c>
      <c r="R186" s="724"/>
      <c r="S186" s="704" t="str">
        <f>IF(S170="","",IF(S170=0,"",(S176/S170)^(1/(Q185-Q179-1)-1)))</f>
        <v/>
      </c>
      <c r="T186" s="699"/>
      <c r="U186" s="705" t="s">
        <v>312</v>
      </c>
    </row>
    <row r="187" spans="2:22" ht="13.5" thickBot="1" x14ac:dyDescent="0.25"/>
    <row r="188" spans="2:22" ht="13.5" thickBot="1" x14ac:dyDescent="0.25">
      <c r="B188" s="635">
        <v>4</v>
      </c>
      <c r="C188" s="636" t="s">
        <v>284</v>
      </c>
      <c r="D188" s="817" t="s">
        <v>293</v>
      </c>
      <c r="E188" s="818"/>
      <c r="F188" s="819"/>
      <c r="G188" s="707"/>
      <c r="H188" s="12" t="s">
        <v>285</v>
      </c>
      <c r="N188" s="708" t="s">
        <v>82</v>
      </c>
      <c r="O188" s="709"/>
      <c r="P188" s="709"/>
      <c r="Q188" s="709"/>
      <c r="R188" s="709"/>
      <c r="S188" s="709"/>
      <c r="T188" s="709"/>
      <c r="U188" s="709"/>
    </row>
    <row r="189" spans="2:22" ht="13.5" thickBot="1" x14ac:dyDescent="0.25">
      <c r="Q189" s="699"/>
      <c r="R189" s="699"/>
      <c r="S189" s="699"/>
      <c r="T189" s="699"/>
      <c r="U189" s="699"/>
    </row>
    <row r="190" spans="2:22" ht="12.75" customHeight="1" x14ac:dyDescent="0.2">
      <c r="C190" s="597"/>
      <c r="D190" s="598" t="s">
        <v>274</v>
      </c>
      <c r="E190" s="598"/>
      <c r="F190" s="820" t="s">
        <v>286</v>
      </c>
      <c r="G190" s="821"/>
      <c r="H190" s="821"/>
      <c r="I190" s="822"/>
      <c r="J190" s="598"/>
      <c r="K190" s="812" t="s">
        <v>275</v>
      </c>
      <c r="L190" s="813"/>
      <c r="M190" s="813"/>
      <c r="N190" s="813"/>
      <c r="O190" s="814"/>
      <c r="P190" s="599"/>
      <c r="Q190" s="823" t="str">
        <f>CONCATENATE("Consumption (kWh) per ",LEFT(F190,LEN(F190)-1))</f>
        <v>Consumption (kWh) per Customer</v>
      </c>
      <c r="R190" s="824"/>
      <c r="S190" s="824"/>
      <c r="T190" s="824"/>
      <c r="U190" s="825"/>
      <c r="V190" s="637"/>
    </row>
    <row r="191" spans="2:22" ht="39" thickBot="1" x14ac:dyDescent="0.25">
      <c r="C191" s="677"/>
      <c r="D191" s="602" t="s">
        <v>311</v>
      </c>
      <c r="E191" s="610"/>
      <c r="F191" s="826"/>
      <c r="G191" s="827"/>
      <c r="H191" s="828"/>
      <c r="I191" s="638"/>
      <c r="J191" s="610"/>
      <c r="K191" s="606"/>
      <c r="L191" s="607" t="s">
        <v>276</v>
      </c>
      <c r="M191" s="607" t="s">
        <v>277</v>
      </c>
      <c r="N191" s="608"/>
      <c r="O191" s="609" t="s">
        <v>277</v>
      </c>
      <c r="P191" s="610"/>
      <c r="Q191" s="639"/>
      <c r="R191" s="640" t="str">
        <f>L191</f>
        <v>Actual (Weather actual)</v>
      </c>
      <c r="S191" s="641" t="str">
        <f>M191</f>
        <v>Weather-normalized</v>
      </c>
      <c r="T191" s="641"/>
      <c r="U191" s="642" t="str">
        <f>O191</f>
        <v>Weather-normalized</v>
      </c>
      <c r="V191" s="637"/>
    </row>
    <row r="192" spans="2:22" x14ac:dyDescent="0.2">
      <c r="C192" s="610" t="s">
        <v>278</v>
      </c>
      <c r="D192" s="611">
        <f t="shared" ref="D192:D197" si="101">D193-1</f>
        <v>2011</v>
      </c>
      <c r="E192" s="710"/>
      <c r="F192" s="643" t="str">
        <f>F149</f>
        <v>Actual</v>
      </c>
      <c r="G192" s="644">
        <f>'Input - Customer Data'!L10</f>
        <v>1</v>
      </c>
      <c r="H192" s="680" t="str">
        <f t="shared" ref="H192:H198" si="102">IF(D192=2013,"Board-approved","")</f>
        <v/>
      </c>
      <c r="I192" s="681"/>
      <c r="J192" s="710"/>
      <c r="K192" s="645" t="str">
        <f>F192</f>
        <v>Actual</v>
      </c>
      <c r="L192" s="666">
        <f>'Bridge&amp;Test Year Class Forecast'!B90</f>
        <v>18104643.600000001</v>
      </c>
      <c r="M192" s="666">
        <f>'Bridge&amp;Test Year Class Forecast'!F90</f>
        <v>18582123.144433241</v>
      </c>
      <c r="N192" s="646" t="str">
        <f>H192</f>
        <v/>
      </c>
      <c r="O192" s="681"/>
      <c r="P192" s="710"/>
      <c r="Q192" s="645" t="str">
        <f>K192</f>
        <v>Actual</v>
      </c>
      <c r="R192" s="711">
        <f>IF(G192=0,"",L192/G192)</f>
        <v>18104643.600000001</v>
      </c>
      <c r="S192" s="693">
        <f>IF(G192=0,"",M192/G192)</f>
        <v>18582123.144433241</v>
      </c>
      <c r="T192" s="693" t="str">
        <f>N192</f>
        <v/>
      </c>
      <c r="U192" s="716" t="str">
        <f>IF(T192="","",IF(I192=0,"",O192/I192))</f>
        <v/>
      </c>
      <c r="V192" s="678"/>
    </row>
    <row r="193" spans="2:22" x14ac:dyDescent="0.2">
      <c r="C193" s="610" t="s">
        <v>278</v>
      </c>
      <c r="D193" s="611">
        <f t="shared" si="101"/>
        <v>2012</v>
      </c>
      <c r="E193" s="710"/>
      <c r="F193" s="647" t="str">
        <f t="shared" ref="F193:F198" si="103">F150</f>
        <v>Actual</v>
      </c>
      <c r="G193" s="644">
        <f>'Input - Customer Data'!L11</f>
        <v>1</v>
      </c>
      <c r="H193" s="680" t="str">
        <f t="shared" si="102"/>
        <v/>
      </c>
      <c r="I193" s="681"/>
      <c r="J193" s="710"/>
      <c r="K193" s="645" t="str">
        <f t="shared" ref="K193:K198" si="104">F193</f>
        <v>Actual</v>
      </c>
      <c r="L193" s="666">
        <f>'Bridge&amp;Test Year Class Forecast'!B91</f>
        <v>19950324</v>
      </c>
      <c r="M193" s="666">
        <f>'Bridge&amp;Test Year Class Forecast'!F91</f>
        <v>19919755.733964134</v>
      </c>
      <c r="N193" s="646" t="str">
        <f t="shared" ref="N193:N198" si="105">H193</f>
        <v/>
      </c>
      <c r="O193" s="681"/>
      <c r="P193" s="710"/>
      <c r="Q193" s="645" t="str">
        <f t="shared" ref="Q193:Q198" si="106">K193</f>
        <v>Actual</v>
      </c>
      <c r="R193" s="711">
        <f t="shared" ref="R193:R198" si="107">IF(G193=0,"",L193/G193)</f>
        <v>19950324</v>
      </c>
      <c r="S193" s="693">
        <f t="shared" ref="S193:S198" si="108">IF(G193=0,"",M193/G193)</f>
        <v>19919755.733964134</v>
      </c>
      <c r="T193" s="693" t="str">
        <f t="shared" ref="T193:T198" si="109">N193</f>
        <v/>
      </c>
      <c r="U193" s="716" t="str">
        <f t="shared" ref="U193:U198" si="110">IF(T193="","",IF(I193=0,"",O193/I193))</f>
        <v/>
      </c>
      <c r="V193" s="678"/>
    </row>
    <row r="194" spans="2:22" x14ac:dyDescent="0.2">
      <c r="C194" s="610" t="s">
        <v>278</v>
      </c>
      <c r="D194" s="611">
        <f t="shared" si="101"/>
        <v>2013</v>
      </c>
      <c r="E194" s="710"/>
      <c r="F194" s="647" t="str">
        <f t="shared" si="103"/>
        <v>Actual</v>
      </c>
      <c r="G194" s="644">
        <f>'Input - Customer Data'!L12</f>
        <v>1</v>
      </c>
      <c r="H194" s="680" t="str">
        <f t="shared" si="102"/>
        <v>Board-approved</v>
      </c>
      <c r="I194" s="616"/>
      <c r="J194" s="710"/>
      <c r="K194" s="645" t="str">
        <f t="shared" si="104"/>
        <v>Actual</v>
      </c>
      <c r="L194" s="666">
        <f>'Bridge&amp;Test Year Class Forecast'!B92</f>
        <v>18608986</v>
      </c>
      <c r="M194" s="666">
        <f>'Bridge&amp;Test Year Class Forecast'!F92</f>
        <v>18330572.956172734</v>
      </c>
      <c r="N194" s="646" t="str">
        <f t="shared" si="105"/>
        <v>Board-approved</v>
      </c>
      <c r="O194" s="616"/>
      <c r="P194" s="710"/>
      <c r="Q194" s="645" t="str">
        <f t="shared" si="106"/>
        <v>Actual</v>
      </c>
      <c r="R194" s="711">
        <f t="shared" si="107"/>
        <v>18608986</v>
      </c>
      <c r="S194" s="693">
        <f t="shared" si="108"/>
        <v>18330572.956172734</v>
      </c>
      <c r="T194" s="693" t="str">
        <f t="shared" si="109"/>
        <v>Board-approved</v>
      </c>
      <c r="U194" s="716" t="str">
        <f t="shared" si="110"/>
        <v/>
      </c>
      <c r="V194" s="678"/>
    </row>
    <row r="195" spans="2:22" x14ac:dyDescent="0.2">
      <c r="C195" s="610" t="s">
        <v>278</v>
      </c>
      <c r="D195" s="611">
        <f t="shared" si="101"/>
        <v>2014</v>
      </c>
      <c r="E195" s="710"/>
      <c r="F195" s="647" t="str">
        <f t="shared" si="103"/>
        <v>Actual</v>
      </c>
      <c r="G195" s="644">
        <f>'Input - Customer Data'!L13</f>
        <v>1</v>
      </c>
      <c r="H195" s="680" t="str">
        <f t="shared" si="102"/>
        <v/>
      </c>
      <c r="I195" s="681"/>
      <c r="J195" s="710"/>
      <c r="K195" s="645" t="str">
        <f t="shared" si="104"/>
        <v>Actual</v>
      </c>
      <c r="L195" s="666">
        <f>'Bridge&amp;Test Year Class Forecast'!B93</f>
        <v>18461823</v>
      </c>
      <c r="M195" s="666">
        <f>'Bridge&amp;Test Year Class Forecast'!F93</f>
        <v>18333194.201832805</v>
      </c>
      <c r="N195" s="646" t="str">
        <f t="shared" si="105"/>
        <v/>
      </c>
      <c r="O195" s="681"/>
      <c r="P195" s="710"/>
      <c r="Q195" s="645" t="str">
        <f t="shared" si="106"/>
        <v>Actual</v>
      </c>
      <c r="R195" s="711">
        <f t="shared" si="107"/>
        <v>18461823</v>
      </c>
      <c r="S195" s="693">
        <f t="shared" si="108"/>
        <v>18333194.201832805</v>
      </c>
      <c r="T195" s="693" t="str">
        <f t="shared" si="109"/>
        <v/>
      </c>
      <c r="U195" s="716" t="str">
        <f t="shared" si="110"/>
        <v/>
      </c>
      <c r="V195" s="678"/>
    </row>
    <row r="196" spans="2:22" x14ac:dyDescent="0.2">
      <c r="C196" s="610" t="s">
        <v>278</v>
      </c>
      <c r="D196" s="611">
        <f t="shared" si="101"/>
        <v>2015</v>
      </c>
      <c r="E196" s="710"/>
      <c r="F196" s="647" t="str">
        <f t="shared" si="103"/>
        <v>Actual</v>
      </c>
      <c r="G196" s="644">
        <f>'Input - Customer Data'!L14</f>
        <v>1</v>
      </c>
      <c r="H196" s="680" t="str">
        <f t="shared" si="102"/>
        <v/>
      </c>
      <c r="I196" s="681"/>
      <c r="J196" s="710"/>
      <c r="K196" s="645" t="str">
        <f t="shared" si="104"/>
        <v>Actual</v>
      </c>
      <c r="L196" s="666">
        <f>'Bridge&amp;Test Year Class Forecast'!B94</f>
        <v>17295612</v>
      </c>
      <c r="M196" s="666">
        <f>'Bridge&amp;Test Year Class Forecast'!F94</f>
        <v>17446328.108327266</v>
      </c>
      <c r="N196" s="646" t="str">
        <f t="shared" si="105"/>
        <v/>
      </c>
      <c r="O196" s="681"/>
      <c r="P196" s="710"/>
      <c r="Q196" s="645" t="str">
        <f t="shared" si="106"/>
        <v>Actual</v>
      </c>
      <c r="R196" s="711">
        <f t="shared" si="107"/>
        <v>17295612</v>
      </c>
      <c r="S196" s="693">
        <f t="shared" si="108"/>
        <v>17446328.108327266</v>
      </c>
      <c r="T196" s="693" t="str">
        <f t="shared" si="109"/>
        <v/>
      </c>
      <c r="U196" s="716" t="str">
        <f t="shared" si="110"/>
        <v/>
      </c>
      <c r="V196" s="678"/>
    </row>
    <row r="197" spans="2:22" x14ac:dyDescent="0.2">
      <c r="C197" s="610" t="s">
        <v>54</v>
      </c>
      <c r="D197" s="611">
        <f t="shared" si="101"/>
        <v>2016</v>
      </c>
      <c r="E197" s="710"/>
      <c r="F197" s="647" t="str">
        <f t="shared" si="103"/>
        <v>Forecast</v>
      </c>
      <c r="G197" s="644">
        <f>'Input - Customer Data'!L19</f>
        <v>1</v>
      </c>
      <c r="H197" s="680" t="str">
        <f t="shared" si="102"/>
        <v/>
      </c>
      <c r="I197" s="681"/>
      <c r="J197" s="710"/>
      <c r="K197" s="645" t="str">
        <f t="shared" si="104"/>
        <v>Forecast</v>
      </c>
      <c r="L197" s="682"/>
      <c r="M197" s="666">
        <f>'Bridge&amp;Test Year Class Forecast'!F95</f>
        <v>18421962.061268747</v>
      </c>
      <c r="N197" s="646" t="str">
        <f t="shared" si="105"/>
        <v/>
      </c>
      <c r="O197" s="681"/>
      <c r="P197" s="710"/>
      <c r="Q197" s="645" t="str">
        <f t="shared" si="106"/>
        <v>Forecast</v>
      </c>
      <c r="R197" s="711">
        <f t="shared" si="107"/>
        <v>0</v>
      </c>
      <c r="S197" s="693">
        <f t="shared" si="108"/>
        <v>18421962.061268747</v>
      </c>
      <c r="T197" s="693" t="str">
        <f t="shared" si="109"/>
        <v/>
      </c>
      <c r="U197" s="716" t="str">
        <f t="shared" si="110"/>
        <v/>
      </c>
      <c r="V197" s="678"/>
    </row>
    <row r="198" spans="2:22" ht="13.5" thickBot="1" x14ac:dyDescent="0.25">
      <c r="C198" s="617" t="s">
        <v>53</v>
      </c>
      <c r="D198" s="618">
        <v>2017</v>
      </c>
      <c r="E198" s="677"/>
      <c r="F198" s="648" t="str">
        <f t="shared" si="103"/>
        <v>Forecast</v>
      </c>
      <c r="G198" s="649">
        <f>'Input - Customer Data'!L20</f>
        <v>1</v>
      </c>
      <c r="H198" s="685" t="str">
        <f t="shared" si="102"/>
        <v/>
      </c>
      <c r="I198" s="687"/>
      <c r="J198" s="677"/>
      <c r="K198" s="650" t="str">
        <f t="shared" si="104"/>
        <v>Forecast</v>
      </c>
      <c r="L198" s="686"/>
      <c r="M198" s="731">
        <f>'Bridge&amp;Test Year Class Forecast'!F96</f>
        <v>18961919.497176804</v>
      </c>
      <c r="N198" s="651" t="str">
        <f t="shared" si="105"/>
        <v/>
      </c>
      <c r="O198" s="687"/>
      <c r="P198" s="677"/>
      <c r="Q198" s="650" t="str">
        <f t="shared" si="106"/>
        <v>Forecast</v>
      </c>
      <c r="R198" s="712">
        <f t="shared" si="107"/>
        <v>0</v>
      </c>
      <c r="S198" s="699">
        <f t="shared" si="108"/>
        <v>18961919.497176804</v>
      </c>
      <c r="T198" s="699" t="str">
        <f t="shared" si="109"/>
        <v/>
      </c>
      <c r="U198" s="702" t="str">
        <f t="shared" si="110"/>
        <v/>
      </c>
      <c r="V198" s="678"/>
    </row>
    <row r="199" spans="2:22" ht="13.5" thickBot="1" x14ac:dyDescent="0.25">
      <c r="B199" s="693"/>
      <c r="C199" s="652"/>
      <c r="I199" s="623">
        <f>SUM(I192:I197)</f>
        <v>0</v>
      </c>
      <c r="O199" s="623">
        <f>SUM(O192:O197)</f>
        <v>0</v>
      </c>
      <c r="U199" s="623">
        <f>SUM(U192:U197)</f>
        <v>0</v>
      </c>
    </row>
    <row r="200" spans="2:22" ht="39" thickBot="1" x14ac:dyDescent="0.25">
      <c r="C200" s="653" t="s">
        <v>279</v>
      </c>
      <c r="D200" s="654" t="s">
        <v>80</v>
      </c>
      <c r="E200" s="688"/>
      <c r="F200" s="688"/>
      <c r="G200" s="628" t="s">
        <v>280</v>
      </c>
      <c r="H200" s="688"/>
      <c r="I200" s="630" t="s">
        <v>287</v>
      </c>
      <c r="J200" s="713"/>
      <c r="K200" s="627" t="s">
        <v>80</v>
      </c>
      <c r="L200" s="816" t="s">
        <v>280</v>
      </c>
      <c r="M200" s="816"/>
      <c r="N200" s="688"/>
      <c r="O200" s="630" t="str">
        <f>I200</f>
        <v>Test Year Versus Board-approved</v>
      </c>
      <c r="P200" s="597"/>
      <c r="Q200" s="627" t="s">
        <v>80</v>
      </c>
      <c r="R200" s="816" t="s">
        <v>280</v>
      </c>
      <c r="S200" s="816"/>
      <c r="T200" s="688"/>
      <c r="U200" s="630" t="str">
        <f>O200</f>
        <v>Test Year Versus Board-approved</v>
      </c>
    </row>
    <row r="201" spans="2:22" x14ac:dyDescent="0.2">
      <c r="C201" s="710"/>
      <c r="D201" s="655">
        <f t="shared" ref="D201:D207" si="111">D192</f>
        <v>2011</v>
      </c>
      <c r="E201" s="693"/>
      <c r="F201" s="693"/>
      <c r="G201" s="714"/>
      <c r="H201" s="693"/>
      <c r="I201" s="715"/>
      <c r="J201" s="716"/>
      <c r="K201" s="611">
        <f>D201</f>
        <v>2011</v>
      </c>
      <c r="L201" s="695"/>
      <c r="M201" s="695"/>
      <c r="N201" s="693"/>
      <c r="O201" s="681"/>
      <c r="P201" s="710"/>
      <c r="Q201" s="611">
        <f>K201</f>
        <v>2011</v>
      </c>
      <c r="R201" s="717"/>
      <c r="S201" s="717"/>
      <c r="T201" s="693"/>
      <c r="U201" s="681"/>
    </row>
    <row r="202" spans="2:22" x14ac:dyDescent="0.2">
      <c r="C202" s="710"/>
      <c r="D202" s="656">
        <f t="shared" si="111"/>
        <v>2012</v>
      </c>
      <c r="E202" s="693"/>
      <c r="F202" s="693"/>
      <c r="G202" s="718">
        <f t="shared" ref="G202:G207" si="112">IF(G192=0,"",G193/G192-1)</f>
        <v>0</v>
      </c>
      <c r="H202" s="693"/>
      <c r="I202" s="715"/>
      <c r="J202" s="716"/>
      <c r="K202" s="611">
        <f t="shared" ref="K202:K208" si="113">D202</f>
        <v>2012</v>
      </c>
      <c r="L202" s="697">
        <f t="shared" ref="L202:M205" si="114">IF(L192=0,"",L193/L192-1)</f>
        <v>0.1019451385389325</v>
      </c>
      <c r="M202" s="697">
        <f t="shared" si="114"/>
        <v>7.1984916854434644E-2</v>
      </c>
      <c r="N202" s="693"/>
      <c r="O202" s="681"/>
      <c r="P202" s="710"/>
      <c r="Q202" s="611">
        <f t="shared" ref="Q202:Q208" si="115">K202</f>
        <v>2012</v>
      </c>
      <c r="R202" s="719">
        <f>IF(R192="","",IF(R192=0,"",R193/R192-1))</f>
        <v>0.1019451385389325</v>
      </c>
      <c r="S202" s="719">
        <f>IF(S192="","",IF(S192=0,"",S193/S192-1))</f>
        <v>7.1984916854434644E-2</v>
      </c>
      <c r="T202" s="693"/>
      <c r="U202" s="681"/>
    </row>
    <row r="203" spans="2:22" x14ac:dyDescent="0.2">
      <c r="C203" s="710"/>
      <c r="D203" s="656">
        <f t="shared" si="111"/>
        <v>2013</v>
      </c>
      <c r="E203" s="693"/>
      <c r="F203" s="693"/>
      <c r="G203" s="718">
        <f t="shared" si="112"/>
        <v>0</v>
      </c>
      <c r="H203" s="693"/>
      <c r="I203" s="715"/>
      <c r="J203" s="716"/>
      <c r="K203" s="611">
        <f t="shared" si="113"/>
        <v>2013</v>
      </c>
      <c r="L203" s="697">
        <f t="shared" si="114"/>
        <v>-6.7233895549766554E-2</v>
      </c>
      <c r="M203" s="697">
        <f t="shared" si="114"/>
        <v>-7.9779230178097404E-2</v>
      </c>
      <c r="N203" s="693"/>
      <c r="O203" s="681"/>
      <c r="P203" s="710"/>
      <c r="Q203" s="611">
        <f t="shared" si="115"/>
        <v>2013</v>
      </c>
      <c r="R203" s="719">
        <f t="shared" ref="R203:S207" si="116">IF(R193="","",IF(R193=0,"",R194/R193-1))</f>
        <v>-6.7233895549766554E-2</v>
      </c>
      <c r="S203" s="719">
        <f t="shared" si="116"/>
        <v>-7.9779230178097404E-2</v>
      </c>
      <c r="T203" s="693"/>
      <c r="U203" s="681"/>
    </row>
    <row r="204" spans="2:22" x14ac:dyDescent="0.2">
      <c r="C204" s="710"/>
      <c r="D204" s="656">
        <f t="shared" si="111"/>
        <v>2014</v>
      </c>
      <c r="E204" s="693"/>
      <c r="F204" s="693"/>
      <c r="G204" s="718">
        <f t="shared" si="112"/>
        <v>0</v>
      </c>
      <c r="H204" s="693"/>
      <c r="I204" s="715"/>
      <c r="J204" s="716"/>
      <c r="K204" s="611">
        <f t="shared" si="113"/>
        <v>2014</v>
      </c>
      <c r="L204" s="697">
        <f t="shared" si="114"/>
        <v>-7.9081686664711492E-3</v>
      </c>
      <c r="M204" s="697">
        <f t="shared" si="114"/>
        <v>1.4299856672983502E-4</v>
      </c>
      <c r="N204" s="693"/>
      <c r="O204" s="681"/>
      <c r="P204" s="710"/>
      <c r="Q204" s="611">
        <f t="shared" si="115"/>
        <v>2014</v>
      </c>
      <c r="R204" s="719">
        <f t="shared" si="116"/>
        <v>-7.9081686664711492E-3</v>
      </c>
      <c r="S204" s="719">
        <f t="shared" si="116"/>
        <v>1.4299856672983502E-4</v>
      </c>
      <c r="T204" s="693"/>
      <c r="U204" s="681"/>
    </row>
    <row r="205" spans="2:22" x14ac:dyDescent="0.2">
      <c r="C205" s="710"/>
      <c r="D205" s="656">
        <f t="shared" si="111"/>
        <v>2015</v>
      </c>
      <c r="E205" s="693"/>
      <c r="F205" s="693"/>
      <c r="G205" s="718">
        <f t="shared" si="112"/>
        <v>0</v>
      </c>
      <c r="H205" s="693"/>
      <c r="I205" s="715"/>
      <c r="J205" s="716"/>
      <c r="K205" s="611">
        <f t="shared" si="113"/>
        <v>2015</v>
      </c>
      <c r="L205" s="697">
        <f t="shared" si="114"/>
        <v>-6.3168788911040941E-2</v>
      </c>
      <c r="M205" s="697">
        <f t="shared" si="114"/>
        <v>-4.8374881307747031E-2</v>
      </c>
      <c r="N205" s="693"/>
      <c r="O205" s="681"/>
      <c r="P205" s="710"/>
      <c r="Q205" s="611">
        <f t="shared" si="115"/>
        <v>2015</v>
      </c>
      <c r="R205" s="719">
        <f t="shared" si="116"/>
        <v>-6.3168788911040941E-2</v>
      </c>
      <c r="S205" s="719">
        <f t="shared" si="116"/>
        <v>-4.8374881307747031E-2</v>
      </c>
      <c r="T205" s="693"/>
      <c r="U205" s="681"/>
    </row>
    <row r="206" spans="2:22" x14ac:dyDescent="0.2">
      <c r="C206" s="710"/>
      <c r="D206" s="656">
        <f t="shared" si="111"/>
        <v>2016</v>
      </c>
      <c r="E206" s="693"/>
      <c r="F206" s="693"/>
      <c r="G206" s="718">
        <f t="shared" si="112"/>
        <v>0</v>
      </c>
      <c r="H206" s="693"/>
      <c r="I206" s="715"/>
      <c r="J206" s="716"/>
      <c r="K206" s="611">
        <f t="shared" si="113"/>
        <v>2016</v>
      </c>
      <c r="L206" s="697" t="str">
        <f>IF(K197="Forecast","",IF(L196=0,"",L197/L196-1))</f>
        <v/>
      </c>
      <c r="M206" s="697">
        <f>IF(M196=0,"",M197/M196-1)</f>
        <v>5.5922022495713763E-2</v>
      </c>
      <c r="N206" s="693"/>
      <c r="O206" s="681"/>
      <c r="P206" s="710"/>
      <c r="Q206" s="611">
        <f t="shared" si="115"/>
        <v>2016</v>
      </c>
      <c r="R206" s="719" t="str">
        <f>IF(Q197="Forecast","",IF(R196=0,"",R197/R196-1))</f>
        <v/>
      </c>
      <c r="S206" s="719">
        <f t="shared" si="116"/>
        <v>5.5922022495713763E-2</v>
      </c>
      <c r="T206" s="693"/>
      <c r="U206" s="681"/>
    </row>
    <row r="207" spans="2:22" x14ac:dyDescent="0.2">
      <c r="C207" s="710"/>
      <c r="D207" s="656">
        <f t="shared" si="111"/>
        <v>2017</v>
      </c>
      <c r="E207" s="693"/>
      <c r="F207" s="693"/>
      <c r="G207" s="718">
        <f t="shared" si="112"/>
        <v>0</v>
      </c>
      <c r="H207" s="693"/>
      <c r="I207" s="720" t="str">
        <f>IF(I199=0,"",G198/I199-1)</f>
        <v/>
      </c>
      <c r="J207" s="716"/>
      <c r="K207" s="611">
        <f t="shared" si="113"/>
        <v>2017</v>
      </c>
      <c r="L207" s="697" t="str">
        <f>IF(K198="Forecast","",IF(L197=0,"",L198/L197-1))</f>
        <v/>
      </c>
      <c r="M207" s="697">
        <f>IF(M197=0,"",M198/M197-1)</f>
        <v>2.931052805951051E-2</v>
      </c>
      <c r="N207" s="693"/>
      <c r="O207" s="698" t="str">
        <f>IF(O199=0,"",M198/O199-1)</f>
        <v/>
      </c>
      <c r="P207" s="710"/>
      <c r="Q207" s="611">
        <f t="shared" si="115"/>
        <v>2017</v>
      </c>
      <c r="R207" s="719" t="str">
        <f>IF(Q198="Forecast","",IF(R197=0,"",R198/R197-1))</f>
        <v/>
      </c>
      <c r="S207" s="719">
        <f t="shared" si="116"/>
        <v>2.931052805951051E-2</v>
      </c>
      <c r="T207" s="693"/>
      <c r="U207" s="698" t="str">
        <f>IF(U199=0,"",S198/U199-1)</f>
        <v/>
      </c>
    </row>
    <row r="208" spans="2:22" ht="26.25" thickBot="1" x14ac:dyDescent="0.25">
      <c r="C208" s="677"/>
      <c r="D208" s="721" t="s">
        <v>282</v>
      </c>
      <c r="E208" s="699"/>
      <c r="F208" s="699"/>
      <c r="G208" s="722" t="e">
        <f>IF(G192=0,"",GEOMEAN(G202:G207))</f>
        <v>#NUM!</v>
      </c>
      <c r="H208" s="699"/>
      <c r="I208" s="723" t="s">
        <v>312</v>
      </c>
      <c r="J208" s="702"/>
      <c r="K208" s="703" t="str">
        <f t="shared" si="113"/>
        <v>Geometric Mean</v>
      </c>
      <c r="L208" s="704"/>
      <c r="M208" s="704">
        <f>IF(M192=0,"",(M198/M192)^(1/(K207-K201-1)-1))</f>
        <v>0.98394410541732136</v>
      </c>
      <c r="N208" s="699"/>
      <c r="O208" s="705" t="s">
        <v>312</v>
      </c>
      <c r="P208" s="677"/>
      <c r="Q208" s="703" t="str">
        <f t="shared" si="115"/>
        <v>Geometric Mean</v>
      </c>
      <c r="R208" s="724"/>
      <c r="S208" s="704">
        <f>IF(S192="","",IF(S192=0,"",(S198/S192)^(1/(Q207-Q201-1)-1)))</f>
        <v>0.98394410541732136</v>
      </c>
      <c r="T208" s="699"/>
      <c r="U208" s="705" t="s">
        <v>312</v>
      </c>
    </row>
    <row r="210" spans="3:21" ht="13.5" thickBot="1" x14ac:dyDescent="0.25">
      <c r="Q210" s="699"/>
      <c r="R210" s="699"/>
      <c r="S210" s="699"/>
      <c r="T210" s="699"/>
      <c r="U210" s="699"/>
    </row>
    <row r="211" spans="3:21" ht="12.75" customHeight="1" x14ac:dyDescent="0.2">
      <c r="C211" s="597"/>
      <c r="D211" s="598" t="s">
        <v>274</v>
      </c>
      <c r="E211" s="598"/>
      <c r="F211" s="829" t="s">
        <v>240</v>
      </c>
      <c r="G211" s="830"/>
      <c r="H211" s="830"/>
      <c r="I211" s="831"/>
      <c r="K211" s="812" t="str">
        <f>IF(ISBLANK(N188),"",CONCATENATE("Demand (",N188,")"))</f>
        <v>Demand (kW)</v>
      </c>
      <c r="L211" s="813"/>
      <c r="M211" s="813"/>
      <c r="N211" s="813"/>
      <c r="O211" s="814"/>
      <c r="Q211" s="823" t="str">
        <f>CONCATENATE("Demand (",N188,") per ",LEFT(F190,LEN(F190)-1))</f>
        <v>Demand (kW) per Customer</v>
      </c>
      <c r="R211" s="824"/>
      <c r="S211" s="824"/>
      <c r="T211" s="824"/>
      <c r="U211" s="825"/>
    </row>
    <row r="212" spans="3:21" ht="39" thickBot="1" x14ac:dyDescent="0.25">
      <c r="C212" s="677"/>
      <c r="D212" s="602" t="s">
        <v>311</v>
      </c>
      <c r="E212" s="610"/>
      <c r="F212" s="826"/>
      <c r="G212" s="827"/>
      <c r="H212" s="827"/>
      <c r="I212" s="638"/>
      <c r="K212" s="606"/>
      <c r="L212" s="607" t="s">
        <v>276</v>
      </c>
      <c r="M212" s="607" t="s">
        <v>277</v>
      </c>
      <c r="N212" s="608"/>
      <c r="O212" s="609" t="str">
        <f>M212</f>
        <v>Weather-normalized</v>
      </c>
      <c r="Q212" s="657"/>
      <c r="R212" s="607" t="str">
        <f>L212</f>
        <v>Actual (Weather actual)</v>
      </c>
      <c r="S212" s="607" t="str">
        <f>M212</f>
        <v>Weather-normalized</v>
      </c>
      <c r="T212" s="607"/>
      <c r="U212" s="658" t="str">
        <f>O212</f>
        <v>Weather-normalized</v>
      </c>
    </row>
    <row r="213" spans="3:21" x14ac:dyDescent="0.2">
      <c r="C213" s="610" t="s">
        <v>278</v>
      </c>
      <c r="D213" s="611">
        <f t="shared" ref="D213:D218" si="117">D214-1</f>
        <v>2011</v>
      </c>
      <c r="E213" s="710"/>
      <c r="F213" s="643" t="str">
        <f t="shared" ref="F213:F219" si="118">F192</f>
        <v>Actual</v>
      </c>
      <c r="G213" s="659"/>
      <c r="H213" s="679" t="str">
        <f t="shared" ref="H213:H219" si="119">IF(D213=2013,"Board-approved","")</f>
        <v/>
      </c>
      <c r="I213" s="725"/>
      <c r="K213" s="645" t="str">
        <f t="shared" ref="K213:K219" si="120">K192</f>
        <v>Actual</v>
      </c>
      <c r="L213" s="615"/>
      <c r="M213" s="615"/>
      <c r="N213" s="646" t="str">
        <f t="shared" ref="N213:N219" si="121">N192</f>
        <v/>
      </c>
      <c r="O213" s="681"/>
      <c r="Q213" s="645" t="str">
        <f>K213</f>
        <v>Actual</v>
      </c>
      <c r="R213" s="693" t="str">
        <f>IF(G213=0,"",L213/G213)</f>
        <v/>
      </c>
      <c r="S213" s="678" t="str">
        <f>IF(G213=0,"",M213/G213)</f>
        <v/>
      </c>
      <c r="T213" s="678" t="str">
        <f>N213</f>
        <v/>
      </c>
      <c r="U213" s="710" t="str">
        <f>IF(T213="","",IF(I213=0,"",O213/I213))</f>
        <v/>
      </c>
    </row>
    <row r="214" spans="3:21" x14ac:dyDescent="0.2">
      <c r="C214" s="610" t="s">
        <v>278</v>
      </c>
      <c r="D214" s="611">
        <f t="shared" si="117"/>
        <v>2012</v>
      </c>
      <c r="E214" s="710"/>
      <c r="F214" s="647" t="str">
        <f t="shared" si="118"/>
        <v>Actual</v>
      </c>
      <c r="G214" s="659"/>
      <c r="H214" s="679" t="str">
        <f t="shared" si="119"/>
        <v/>
      </c>
      <c r="I214" s="681"/>
      <c r="K214" s="645" t="str">
        <f t="shared" si="120"/>
        <v>Actual</v>
      </c>
      <c r="L214" s="615"/>
      <c r="M214" s="615"/>
      <c r="N214" s="646" t="str">
        <f t="shared" si="121"/>
        <v/>
      </c>
      <c r="O214" s="681"/>
      <c r="Q214" s="645" t="str">
        <f t="shared" ref="Q214:Q219" si="122">K214</f>
        <v>Actual</v>
      </c>
      <c r="R214" s="693" t="str">
        <f t="shared" ref="R214:R219" si="123">IF(G214=0,"",L214/G214)</f>
        <v/>
      </c>
      <c r="S214" s="678" t="str">
        <f t="shared" ref="S214:S219" si="124">IF(G214=0,"",M214/G214)</f>
        <v/>
      </c>
      <c r="T214" s="678" t="str">
        <f t="shared" ref="T214:T219" si="125">N214</f>
        <v/>
      </c>
      <c r="U214" s="710" t="str">
        <f t="shared" ref="U214:U219" si="126">IF(T214="","",IF(I214=0,"",O214/I214))</f>
        <v/>
      </c>
    </row>
    <row r="215" spans="3:21" x14ac:dyDescent="0.2">
      <c r="C215" s="610" t="s">
        <v>278</v>
      </c>
      <c r="D215" s="611">
        <f t="shared" si="117"/>
        <v>2013</v>
      </c>
      <c r="E215" s="710"/>
      <c r="F215" s="647" t="str">
        <f t="shared" si="118"/>
        <v>Actual</v>
      </c>
      <c r="G215" s="659"/>
      <c r="H215" s="679" t="str">
        <f t="shared" si="119"/>
        <v>Board-approved</v>
      </c>
      <c r="I215" s="660"/>
      <c r="K215" s="645" t="str">
        <f t="shared" si="120"/>
        <v>Actual</v>
      </c>
      <c r="L215" s="615"/>
      <c r="M215" s="615"/>
      <c r="N215" s="646" t="str">
        <f t="shared" si="121"/>
        <v>Board-approved</v>
      </c>
      <c r="O215" s="616"/>
      <c r="Q215" s="645" t="str">
        <f t="shared" si="122"/>
        <v>Actual</v>
      </c>
      <c r="R215" s="693" t="str">
        <f t="shared" si="123"/>
        <v/>
      </c>
      <c r="S215" s="678" t="str">
        <f t="shared" si="124"/>
        <v/>
      </c>
      <c r="T215" s="678" t="str">
        <f t="shared" si="125"/>
        <v>Board-approved</v>
      </c>
      <c r="U215" s="710" t="str">
        <f t="shared" si="126"/>
        <v/>
      </c>
    </row>
    <row r="216" spans="3:21" x14ac:dyDescent="0.2">
      <c r="C216" s="610" t="s">
        <v>278</v>
      </c>
      <c r="D216" s="611">
        <f t="shared" si="117"/>
        <v>2014</v>
      </c>
      <c r="E216" s="710"/>
      <c r="F216" s="647" t="str">
        <f t="shared" si="118"/>
        <v>Actual</v>
      </c>
      <c r="G216" s="659"/>
      <c r="H216" s="679" t="str">
        <f t="shared" si="119"/>
        <v/>
      </c>
      <c r="I216" s="681"/>
      <c r="K216" s="645" t="str">
        <f t="shared" si="120"/>
        <v>Actual</v>
      </c>
      <c r="L216" s="615"/>
      <c r="M216" s="615"/>
      <c r="N216" s="646" t="str">
        <f t="shared" si="121"/>
        <v/>
      </c>
      <c r="O216" s="681"/>
      <c r="Q216" s="645" t="str">
        <f t="shared" si="122"/>
        <v>Actual</v>
      </c>
      <c r="R216" s="693" t="str">
        <f t="shared" si="123"/>
        <v/>
      </c>
      <c r="S216" s="678" t="str">
        <f t="shared" si="124"/>
        <v/>
      </c>
      <c r="T216" s="678" t="str">
        <f t="shared" si="125"/>
        <v/>
      </c>
      <c r="U216" s="710" t="str">
        <f t="shared" si="126"/>
        <v/>
      </c>
    </row>
    <row r="217" spans="3:21" x14ac:dyDescent="0.2">
      <c r="C217" s="610" t="s">
        <v>278</v>
      </c>
      <c r="D217" s="611">
        <f t="shared" si="117"/>
        <v>2015</v>
      </c>
      <c r="E217" s="710"/>
      <c r="F217" s="647" t="str">
        <f t="shared" si="118"/>
        <v>Actual</v>
      </c>
      <c r="G217" s="659"/>
      <c r="H217" s="679" t="str">
        <f t="shared" si="119"/>
        <v/>
      </c>
      <c r="I217" s="681"/>
      <c r="K217" s="645" t="str">
        <f t="shared" si="120"/>
        <v>Actual</v>
      </c>
      <c r="L217" s="615"/>
      <c r="M217" s="615"/>
      <c r="N217" s="646" t="str">
        <f t="shared" si="121"/>
        <v/>
      </c>
      <c r="O217" s="681"/>
      <c r="Q217" s="645" t="str">
        <f t="shared" si="122"/>
        <v>Actual</v>
      </c>
      <c r="R217" s="693" t="str">
        <f t="shared" si="123"/>
        <v/>
      </c>
      <c r="S217" s="678" t="str">
        <f t="shared" si="124"/>
        <v/>
      </c>
      <c r="T217" s="678" t="str">
        <f t="shared" si="125"/>
        <v/>
      </c>
      <c r="U217" s="710" t="str">
        <f t="shared" si="126"/>
        <v/>
      </c>
    </row>
    <row r="218" spans="3:21" x14ac:dyDescent="0.2">
      <c r="C218" s="610" t="s">
        <v>288</v>
      </c>
      <c r="D218" s="611">
        <f t="shared" si="117"/>
        <v>2016</v>
      </c>
      <c r="E218" s="710"/>
      <c r="F218" s="647" t="str">
        <f t="shared" si="118"/>
        <v>Forecast</v>
      </c>
      <c r="G218" s="659"/>
      <c r="H218" s="679" t="str">
        <f t="shared" si="119"/>
        <v/>
      </c>
      <c r="I218" s="681"/>
      <c r="K218" s="645" t="str">
        <f t="shared" si="120"/>
        <v>Forecast</v>
      </c>
      <c r="L218" s="682"/>
      <c r="M218" s="726"/>
      <c r="N218" s="646" t="str">
        <f t="shared" si="121"/>
        <v/>
      </c>
      <c r="O218" s="681"/>
      <c r="Q218" s="645" t="str">
        <f t="shared" si="122"/>
        <v>Forecast</v>
      </c>
      <c r="R218" s="693" t="str">
        <f t="shared" si="123"/>
        <v/>
      </c>
      <c r="S218" s="678" t="str">
        <f t="shared" si="124"/>
        <v/>
      </c>
      <c r="T218" s="678" t="str">
        <f t="shared" si="125"/>
        <v/>
      </c>
      <c r="U218" s="710" t="str">
        <f t="shared" si="126"/>
        <v/>
      </c>
    </row>
    <row r="219" spans="3:21" ht="13.5" thickBot="1" x14ac:dyDescent="0.25">
      <c r="C219" s="617" t="s">
        <v>289</v>
      </c>
      <c r="D219" s="618">
        <v>2017</v>
      </c>
      <c r="E219" s="677"/>
      <c r="F219" s="648" t="str">
        <f t="shared" si="118"/>
        <v>Forecast</v>
      </c>
      <c r="G219" s="661"/>
      <c r="H219" s="684" t="str">
        <f t="shared" si="119"/>
        <v/>
      </c>
      <c r="I219" s="687"/>
      <c r="K219" s="650" t="str">
        <f t="shared" si="120"/>
        <v>Forecast</v>
      </c>
      <c r="L219" s="686"/>
      <c r="M219" s="727"/>
      <c r="N219" s="651" t="str">
        <f t="shared" si="121"/>
        <v/>
      </c>
      <c r="O219" s="687"/>
      <c r="Q219" s="728" t="str">
        <f t="shared" si="122"/>
        <v>Forecast</v>
      </c>
      <c r="R219" s="683" t="str">
        <f t="shared" si="123"/>
        <v/>
      </c>
      <c r="S219" s="683" t="str">
        <f t="shared" si="124"/>
        <v/>
      </c>
      <c r="T219" s="683" t="str">
        <f t="shared" si="125"/>
        <v/>
      </c>
      <c r="U219" s="677" t="str">
        <f t="shared" si="126"/>
        <v/>
      </c>
    </row>
    <row r="220" spans="3:21" ht="13.5" thickBot="1" x14ac:dyDescent="0.25">
      <c r="C220" s="652"/>
      <c r="I220" s="623">
        <f>SUM(I213:I218)</f>
        <v>0</v>
      </c>
      <c r="J220" s="693"/>
      <c r="O220" s="623">
        <f>SUM(O213:O218)</f>
        <v>0</v>
      </c>
      <c r="U220" s="623">
        <f>SUM(U213:U218)</f>
        <v>0</v>
      </c>
    </row>
    <row r="221" spans="3:21" ht="39" thickBot="1" x14ac:dyDescent="0.25">
      <c r="C221" s="653" t="s">
        <v>279</v>
      </c>
      <c r="D221" s="654" t="s">
        <v>80</v>
      </c>
      <c r="E221" s="628"/>
      <c r="F221" s="628"/>
      <c r="G221" s="628" t="s">
        <v>280</v>
      </c>
      <c r="H221" s="628"/>
      <c r="I221" s="630" t="str">
        <f>I200</f>
        <v>Test Year Versus Board-approved</v>
      </c>
      <c r="J221" s="662"/>
      <c r="K221" s="627" t="s">
        <v>80</v>
      </c>
      <c r="L221" s="816" t="s">
        <v>280</v>
      </c>
      <c r="M221" s="816"/>
      <c r="N221" s="628"/>
      <c r="O221" s="630" t="str">
        <f>I221</f>
        <v>Test Year Versus Board-approved</v>
      </c>
      <c r="P221" s="663"/>
      <c r="Q221" s="627" t="s">
        <v>80</v>
      </c>
      <c r="R221" s="816" t="s">
        <v>280</v>
      </c>
      <c r="S221" s="816"/>
      <c r="T221" s="628"/>
      <c r="U221" s="630" t="str">
        <f>O221</f>
        <v>Test Year Versus Board-approved</v>
      </c>
    </row>
    <row r="222" spans="3:21" x14ac:dyDescent="0.2">
      <c r="C222" s="710"/>
      <c r="D222" s="664">
        <f t="shared" ref="D222:D228" si="127">D213</f>
        <v>2011</v>
      </c>
      <c r="E222" s="690"/>
      <c r="F222" s="693"/>
      <c r="G222" s="714"/>
      <c r="H222" s="693"/>
      <c r="I222" s="715"/>
      <c r="J222" s="710"/>
      <c r="K222" s="611">
        <f>D222</f>
        <v>2011</v>
      </c>
      <c r="L222" s="695"/>
      <c r="M222" s="695"/>
      <c r="N222" s="693"/>
      <c r="O222" s="616"/>
      <c r="P222" s="710"/>
      <c r="Q222" s="611">
        <f>K222</f>
        <v>2011</v>
      </c>
      <c r="R222" s="717"/>
      <c r="S222" s="717"/>
      <c r="T222" s="693"/>
      <c r="U222" s="681"/>
    </row>
    <row r="223" spans="3:21" x14ac:dyDescent="0.2">
      <c r="C223" s="710"/>
      <c r="D223" s="656">
        <f t="shared" si="127"/>
        <v>2012</v>
      </c>
      <c r="E223" s="693"/>
      <c r="F223" s="693"/>
      <c r="G223" s="718" t="str">
        <f t="shared" ref="G223:G228" si="128">IF(G213=0,"",G214/G213-1)</f>
        <v/>
      </c>
      <c r="H223" s="693"/>
      <c r="I223" s="715"/>
      <c r="J223" s="710"/>
      <c r="K223" s="611">
        <f t="shared" ref="K223:K229" si="129">D223</f>
        <v>2012</v>
      </c>
      <c r="L223" s="697" t="str">
        <f>IF(L213=0,"",L214/L213-1)</f>
        <v/>
      </c>
      <c r="M223" s="697" t="str">
        <f>IF(M213=0,"",M214/M213-1)</f>
        <v/>
      </c>
      <c r="N223" s="693"/>
      <c r="O223" s="616"/>
      <c r="P223" s="710"/>
      <c r="Q223" s="611">
        <f t="shared" ref="Q223:Q229" si="130">K223</f>
        <v>2012</v>
      </c>
      <c r="R223" s="719" t="str">
        <f>IF(R213="","",IF(R213=0,"",R214/R213-1))</f>
        <v/>
      </c>
      <c r="S223" s="719" t="str">
        <f>IF(S213="","",IF(S213=0,"",S214/S213-1))</f>
        <v/>
      </c>
      <c r="T223" s="693"/>
      <c r="U223" s="681"/>
    </row>
    <row r="224" spans="3:21" x14ac:dyDescent="0.2">
      <c r="C224" s="710"/>
      <c r="D224" s="665">
        <f t="shared" si="127"/>
        <v>2013</v>
      </c>
      <c r="E224" s="693"/>
      <c r="F224" s="693"/>
      <c r="G224" s="718" t="str">
        <f t="shared" si="128"/>
        <v/>
      </c>
      <c r="H224" s="693"/>
      <c r="I224" s="715"/>
      <c r="J224" s="710"/>
      <c r="K224" s="611">
        <f t="shared" si="129"/>
        <v>2013</v>
      </c>
      <c r="L224" s="697" t="str">
        <f t="shared" ref="L224:M228" si="131">IF(L214=0,"",L215/L214-1)</f>
        <v/>
      </c>
      <c r="M224" s="697" t="str">
        <f t="shared" si="131"/>
        <v/>
      </c>
      <c r="N224" s="693"/>
      <c r="O224" s="616"/>
      <c r="P224" s="710"/>
      <c r="Q224" s="611">
        <f t="shared" si="130"/>
        <v>2013</v>
      </c>
      <c r="R224" s="719" t="str">
        <f t="shared" ref="R224:S228" si="132">IF(R214="","",IF(R214=0,"",R215/R214-1))</f>
        <v/>
      </c>
      <c r="S224" s="719" t="str">
        <f t="shared" si="132"/>
        <v/>
      </c>
      <c r="T224" s="693"/>
      <c r="U224" s="681"/>
    </row>
    <row r="225" spans="2:22" x14ac:dyDescent="0.2">
      <c r="C225" s="710"/>
      <c r="D225" s="656">
        <f t="shared" si="127"/>
        <v>2014</v>
      </c>
      <c r="E225" s="693"/>
      <c r="F225" s="693"/>
      <c r="G225" s="718" t="str">
        <f t="shared" si="128"/>
        <v/>
      </c>
      <c r="H225" s="693"/>
      <c r="I225" s="715"/>
      <c r="J225" s="710"/>
      <c r="K225" s="611">
        <f t="shared" si="129"/>
        <v>2014</v>
      </c>
      <c r="L225" s="697" t="str">
        <f t="shared" si="131"/>
        <v/>
      </c>
      <c r="M225" s="697" t="str">
        <f t="shared" si="131"/>
        <v/>
      </c>
      <c r="N225" s="693"/>
      <c r="O225" s="616"/>
      <c r="P225" s="710"/>
      <c r="Q225" s="611">
        <f t="shared" si="130"/>
        <v>2014</v>
      </c>
      <c r="R225" s="719" t="str">
        <f t="shared" si="132"/>
        <v/>
      </c>
      <c r="S225" s="719" t="str">
        <f t="shared" si="132"/>
        <v/>
      </c>
      <c r="T225" s="693"/>
      <c r="U225" s="681"/>
    </row>
    <row r="226" spans="2:22" x14ac:dyDescent="0.2">
      <c r="C226" s="710"/>
      <c r="D226" s="656">
        <f t="shared" si="127"/>
        <v>2015</v>
      </c>
      <c r="E226" s="693"/>
      <c r="F226" s="693"/>
      <c r="G226" s="718" t="str">
        <f t="shared" si="128"/>
        <v/>
      </c>
      <c r="H226" s="693"/>
      <c r="I226" s="715"/>
      <c r="J226" s="710"/>
      <c r="K226" s="611">
        <f t="shared" si="129"/>
        <v>2015</v>
      </c>
      <c r="L226" s="697" t="str">
        <f t="shared" si="131"/>
        <v/>
      </c>
      <c r="M226" s="697" t="str">
        <f t="shared" si="131"/>
        <v/>
      </c>
      <c r="N226" s="693"/>
      <c r="O226" s="616"/>
      <c r="P226" s="710"/>
      <c r="Q226" s="611">
        <f t="shared" si="130"/>
        <v>2015</v>
      </c>
      <c r="R226" s="719" t="str">
        <f t="shared" si="132"/>
        <v/>
      </c>
      <c r="S226" s="719" t="str">
        <f t="shared" si="132"/>
        <v/>
      </c>
      <c r="T226" s="693"/>
      <c r="U226" s="681"/>
    </row>
    <row r="227" spans="2:22" x14ac:dyDescent="0.2">
      <c r="C227" s="710"/>
      <c r="D227" s="656">
        <f t="shared" si="127"/>
        <v>2016</v>
      </c>
      <c r="E227" s="693"/>
      <c r="F227" s="693"/>
      <c r="G227" s="718" t="str">
        <f t="shared" si="128"/>
        <v/>
      </c>
      <c r="H227" s="693"/>
      <c r="I227" s="715"/>
      <c r="J227" s="710"/>
      <c r="K227" s="611">
        <f t="shared" si="129"/>
        <v>2016</v>
      </c>
      <c r="L227" s="697" t="str">
        <f>IF(K218="Forecast","",IF(L217=0,"",L218/L217-1))</f>
        <v/>
      </c>
      <c r="M227" s="697" t="str">
        <f t="shared" si="131"/>
        <v/>
      </c>
      <c r="N227" s="693"/>
      <c r="O227" s="616"/>
      <c r="P227" s="710"/>
      <c r="Q227" s="611">
        <f t="shared" si="130"/>
        <v>2016</v>
      </c>
      <c r="R227" s="719" t="str">
        <f>IF(Q218="Forecast","",IF(R217=0,"",R218/R217-1))</f>
        <v/>
      </c>
      <c r="S227" s="719" t="str">
        <f t="shared" si="132"/>
        <v/>
      </c>
      <c r="T227" s="693"/>
      <c r="U227" s="681"/>
    </row>
    <row r="228" spans="2:22" x14ac:dyDescent="0.2">
      <c r="C228" s="710"/>
      <c r="D228" s="665">
        <f t="shared" si="127"/>
        <v>2017</v>
      </c>
      <c r="E228" s="693"/>
      <c r="F228" s="693"/>
      <c r="G228" s="718" t="str">
        <f t="shared" si="128"/>
        <v/>
      </c>
      <c r="H228" s="693"/>
      <c r="I228" s="720" t="str">
        <f>IF(I220=0,"",G219/I220-1)</f>
        <v/>
      </c>
      <c r="J228" s="710"/>
      <c r="K228" s="611">
        <f t="shared" si="129"/>
        <v>2017</v>
      </c>
      <c r="L228" s="697" t="str">
        <f>IF(K219="Forecast","",IF(L218=0,"",L219/L218-1))</f>
        <v/>
      </c>
      <c r="M228" s="697" t="str">
        <f t="shared" si="131"/>
        <v/>
      </c>
      <c r="N228" s="693"/>
      <c r="O228" s="729" t="str">
        <f>IF(O220=0,"",M219/O220-1)</f>
        <v/>
      </c>
      <c r="P228" s="710"/>
      <c r="Q228" s="611">
        <f t="shared" si="130"/>
        <v>2017</v>
      </c>
      <c r="R228" s="719" t="str">
        <f>IF(Q219="Forecast","",IF(R218=0,"",R219/R218-1))</f>
        <v/>
      </c>
      <c r="S228" s="719" t="str">
        <f t="shared" si="132"/>
        <v/>
      </c>
      <c r="T228" s="693"/>
      <c r="U228" s="698" t="str">
        <f>IF(U220=0,"",S219/U220-1)</f>
        <v/>
      </c>
    </row>
    <row r="229" spans="2:22" ht="26.25" thickBot="1" x14ac:dyDescent="0.25">
      <c r="C229" s="677"/>
      <c r="D229" s="721" t="s">
        <v>282</v>
      </c>
      <c r="E229" s="699"/>
      <c r="F229" s="699"/>
      <c r="G229" s="722" t="str">
        <f>IF(G213=0,"",GEOMEAN(G223:G228))</f>
        <v/>
      </c>
      <c r="H229" s="699"/>
      <c r="I229" s="705" t="s">
        <v>312</v>
      </c>
      <c r="J229" s="710"/>
      <c r="K229" s="703" t="str">
        <f t="shared" si="129"/>
        <v>Geometric Mean</v>
      </c>
      <c r="L229" s="704"/>
      <c r="M229" s="704" t="str">
        <f>IF(M213=0,"",GEOMEAN(M223:M228))</f>
        <v/>
      </c>
      <c r="N229" s="699"/>
      <c r="O229" s="705" t="s">
        <v>312</v>
      </c>
      <c r="P229" s="677"/>
      <c r="Q229" s="703" t="str">
        <f t="shared" si="130"/>
        <v>Geometric Mean</v>
      </c>
      <c r="R229" s="724"/>
      <c r="S229" s="704" t="str">
        <f>IF(S213="","",IF(S213=0,"",(S219/S213)^(1/(Q228-Q222-1)-1)))</f>
        <v/>
      </c>
      <c r="T229" s="699"/>
      <c r="U229" s="705" t="s">
        <v>312</v>
      </c>
    </row>
    <row r="230" spans="2:22" ht="13.5" thickBot="1" x14ac:dyDescent="0.25"/>
    <row r="231" spans="2:22" ht="13.5" thickBot="1" x14ac:dyDescent="0.25">
      <c r="B231" s="635">
        <v>5</v>
      </c>
      <c r="C231" s="636" t="s">
        <v>284</v>
      </c>
      <c r="D231" s="817" t="s">
        <v>189</v>
      </c>
      <c r="E231" s="818"/>
      <c r="F231" s="819"/>
      <c r="G231" s="707"/>
      <c r="H231" s="12" t="s">
        <v>285</v>
      </c>
      <c r="N231" s="708" t="s">
        <v>82</v>
      </c>
      <c r="O231" s="709"/>
      <c r="P231" s="709"/>
      <c r="Q231" s="709"/>
      <c r="R231" s="709"/>
      <c r="S231" s="709"/>
      <c r="T231" s="709"/>
      <c r="U231" s="709"/>
    </row>
    <row r="232" spans="2:22" ht="13.5" thickBot="1" x14ac:dyDescent="0.25">
      <c r="Q232" s="699"/>
      <c r="R232" s="699"/>
      <c r="S232" s="699"/>
      <c r="T232" s="699"/>
      <c r="U232" s="699"/>
    </row>
    <row r="233" spans="2:22" x14ac:dyDescent="0.2">
      <c r="C233" s="597"/>
      <c r="D233" s="598" t="s">
        <v>274</v>
      </c>
      <c r="E233" s="598"/>
      <c r="F233" s="820" t="s">
        <v>286</v>
      </c>
      <c r="G233" s="821"/>
      <c r="H233" s="821"/>
      <c r="I233" s="822"/>
      <c r="J233" s="598"/>
      <c r="K233" s="812" t="s">
        <v>275</v>
      </c>
      <c r="L233" s="813"/>
      <c r="M233" s="813"/>
      <c r="N233" s="813"/>
      <c r="O233" s="814"/>
      <c r="P233" s="599"/>
      <c r="Q233" s="823" t="str">
        <f>CONCATENATE("Consumption (kWh) per ",LEFT(F233,LEN(F233)-1))</f>
        <v>Consumption (kWh) per Customer</v>
      </c>
      <c r="R233" s="824"/>
      <c r="S233" s="824"/>
      <c r="T233" s="824"/>
      <c r="U233" s="825"/>
      <c r="V233" s="637"/>
    </row>
    <row r="234" spans="2:22" ht="39" thickBot="1" x14ac:dyDescent="0.25">
      <c r="C234" s="677"/>
      <c r="D234" s="602" t="s">
        <v>311</v>
      </c>
      <c r="E234" s="610"/>
      <c r="F234" s="826"/>
      <c r="G234" s="827"/>
      <c r="H234" s="828"/>
      <c r="I234" s="638"/>
      <c r="J234" s="610"/>
      <c r="K234" s="606"/>
      <c r="L234" s="607" t="s">
        <v>276</v>
      </c>
      <c r="M234" s="607" t="s">
        <v>277</v>
      </c>
      <c r="N234" s="608"/>
      <c r="O234" s="609" t="s">
        <v>277</v>
      </c>
      <c r="P234" s="610"/>
      <c r="Q234" s="639"/>
      <c r="R234" s="640" t="str">
        <f>L234</f>
        <v>Actual (Weather actual)</v>
      </c>
      <c r="S234" s="641" t="str">
        <f>M234</f>
        <v>Weather-normalized</v>
      </c>
      <c r="T234" s="641"/>
      <c r="U234" s="642" t="str">
        <f>O234</f>
        <v>Weather-normalized</v>
      </c>
      <c r="V234" s="637"/>
    </row>
    <row r="235" spans="2:22" x14ac:dyDescent="0.2">
      <c r="C235" s="610" t="s">
        <v>278</v>
      </c>
      <c r="D235" s="611">
        <f t="shared" ref="D235:D240" si="133">D236-1</f>
        <v>2011</v>
      </c>
      <c r="E235" s="710"/>
      <c r="F235" s="643" t="str">
        <f>F192</f>
        <v>Actual</v>
      </c>
      <c r="G235" s="644">
        <f>'Input - Customer Data'!N10</f>
        <v>9.5</v>
      </c>
      <c r="H235" s="680" t="str">
        <f t="shared" ref="H235:H241" si="134">IF(D235=2013,"Board-approved","")</f>
        <v/>
      </c>
      <c r="I235" s="681"/>
      <c r="J235" s="710"/>
      <c r="K235" s="645" t="str">
        <f>F235</f>
        <v>Actual</v>
      </c>
      <c r="L235" s="615"/>
      <c r="M235" s="615"/>
      <c r="N235" s="646" t="str">
        <f>H235</f>
        <v/>
      </c>
      <c r="O235" s="681"/>
      <c r="P235" s="710"/>
      <c r="Q235" s="645" t="str">
        <f>K235</f>
        <v>Actual</v>
      </c>
      <c r="R235" s="711">
        <f>IF(G235=0,"",L235/G235)</f>
        <v>0</v>
      </c>
      <c r="S235" s="693">
        <f>IF(G235=0,"",M235/G235)</f>
        <v>0</v>
      </c>
      <c r="T235" s="693" t="str">
        <f>N235</f>
        <v/>
      </c>
      <c r="U235" s="693" t="str">
        <f>IF(T235="","",IF(I235=0,"",O235/I235))</f>
        <v/>
      </c>
      <c r="V235" s="678"/>
    </row>
    <row r="236" spans="2:22" x14ac:dyDescent="0.2">
      <c r="C236" s="610" t="s">
        <v>278</v>
      </c>
      <c r="D236" s="611">
        <f t="shared" si="133"/>
        <v>2012</v>
      </c>
      <c r="E236" s="710"/>
      <c r="F236" s="647" t="str">
        <f t="shared" ref="F236:F241" si="135">F193</f>
        <v>Actual</v>
      </c>
      <c r="G236" s="644">
        <f>'Input - Customer Data'!N11</f>
        <v>13</v>
      </c>
      <c r="H236" s="680" t="str">
        <f t="shared" si="134"/>
        <v/>
      </c>
      <c r="I236" s="681"/>
      <c r="J236" s="710"/>
      <c r="K236" s="645" t="str">
        <f t="shared" ref="K236:K241" si="136">F236</f>
        <v>Actual</v>
      </c>
      <c r="L236" s="615"/>
      <c r="M236" s="615"/>
      <c r="N236" s="646" t="str">
        <f t="shared" ref="N236:N241" si="137">H236</f>
        <v/>
      </c>
      <c r="O236" s="681"/>
      <c r="P236" s="710"/>
      <c r="Q236" s="645" t="str">
        <f t="shared" ref="Q236:Q241" si="138">K236</f>
        <v>Actual</v>
      </c>
      <c r="R236" s="711">
        <f t="shared" ref="R236:R241" si="139">IF(G236=0,"",L236/G236)</f>
        <v>0</v>
      </c>
      <c r="S236" s="693">
        <f t="shared" ref="S236:S241" si="140">IF(G236=0,"",M236/G236)</f>
        <v>0</v>
      </c>
      <c r="T236" s="693" t="str">
        <f t="shared" ref="T236:T241" si="141">N236</f>
        <v/>
      </c>
      <c r="U236" s="693" t="str">
        <f t="shared" ref="U236:U241" si="142">IF(T236="","",IF(I236=0,"",O236/I236))</f>
        <v/>
      </c>
      <c r="V236" s="678"/>
    </row>
    <row r="237" spans="2:22" x14ac:dyDescent="0.2">
      <c r="C237" s="610" t="s">
        <v>278</v>
      </c>
      <c r="D237" s="611">
        <f t="shared" si="133"/>
        <v>2013</v>
      </c>
      <c r="E237" s="710"/>
      <c r="F237" s="647" t="str">
        <f t="shared" si="135"/>
        <v>Actual</v>
      </c>
      <c r="G237" s="644">
        <f>'Input - Customer Data'!N12</f>
        <v>13</v>
      </c>
      <c r="H237" s="680" t="str">
        <f t="shared" si="134"/>
        <v>Board-approved</v>
      </c>
      <c r="I237" s="616"/>
      <c r="J237" s="710"/>
      <c r="K237" s="645" t="str">
        <f t="shared" si="136"/>
        <v>Actual</v>
      </c>
      <c r="L237" s="615"/>
      <c r="M237" s="615"/>
      <c r="N237" s="646" t="str">
        <f t="shared" si="137"/>
        <v>Board-approved</v>
      </c>
      <c r="O237" s="616"/>
      <c r="P237" s="710"/>
      <c r="Q237" s="645" t="str">
        <f t="shared" si="138"/>
        <v>Actual</v>
      </c>
      <c r="R237" s="711">
        <f t="shared" si="139"/>
        <v>0</v>
      </c>
      <c r="S237" s="693">
        <f t="shared" si="140"/>
        <v>0</v>
      </c>
      <c r="T237" s="693" t="str">
        <f t="shared" si="141"/>
        <v>Board-approved</v>
      </c>
      <c r="U237" s="693" t="str">
        <f t="shared" si="142"/>
        <v/>
      </c>
      <c r="V237" s="678"/>
    </row>
    <row r="238" spans="2:22" x14ac:dyDescent="0.2">
      <c r="C238" s="610" t="s">
        <v>278</v>
      </c>
      <c r="D238" s="611">
        <f t="shared" si="133"/>
        <v>2014</v>
      </c>
      <c r="E238" s="710"/>
      <c r="F238" s="647" t="str">
        <f t="shared" si="135"/>
        <v>Actual</v>
      </c>
      <c r="G238" s="644">
        <f>'Input - Customer Data'!N13</f>
        <v>13</v>
      </c>
      <c r="H238" s="680" t="str">
        <f t="shared" si="134"/>
        <v/>
      </c>
      <c r="I238" s="681"/>
      <c r="J238" s="710"/>
      <c r="K238" s="645" t="str">
        <f t="shared" si="136"/>
        <v>Actual</v>
      </c>
      <c r="L238" s="615"/>
      <c r="M238" s="615"/>
      <c r="N238" s="646" t="str">
        <f t="shared" si="137"/>
        <v/>
      </c>
      <c r="O238" s="681"/>
      <c r="P238" s="710"/>
      <c r="Q238" s="645" t="str">
        <f t="shared" si="138"/>
        <v>Actual</v>
      </c>
      <c r="R238" s="711">
        <f t="shared" si="139"/>
        <v>0</v>
      </c>
      <c r="S238" s="693">
        <f t="shared" si="140"/>
        <v>0</v>
      </c>
      <c r="T238" s="693" t="str">
        <f t="shared" si="141"/>
        <v/>
      </c>
      <c r="U238" s="693" t="str">
        <f t="shared" si="142"/>
        <v/>
      </c>
      <c r="V238" s="678"/>
    </row>
    <row r="239" spans="2:22" x14ac:dyDescent="0.2">
      <c r="C239" s="610" t="s">
        <v>278</v>
      </c>
      <c r="D239" s="611">
        <f t="shared" si="133"/>
        <v>2015</v>
      </c>
      <c r="E239" s="710"/>
      <c r="F239" s="647" t="str">
        <f t="shared" si="135"/>
        <v>Actual</v>
      </c>
      <c r="G239" s="644">
        <f>'Input - Customer Data'!N14</f>
        <v>13</v>
      </c>
      <c r="H239" s="680" t="str">
        <f t="shared" si="134"/>
        <v/>
      </c>
      <c r="I239" s="681"/>
      <c r="J239" s="710"/>
      <c r="K239" s="645" t="str">
        <f t="shared" si="136"/>
        <v>Actual</v>
      </c>
      <c r="L239" s="615"/>
      <c r="M239" s="615"/>
      <c r="N239" s="646" t="str">
        <f t="shared" si="137"/>
        <v/>
      </c>
      <c r="O239" s="681"/>
      <c r="P239" s="710"/>
      <c r="Q239" s="645" t="str">
        <f t="shared" si="138"/>
        <v>Actual</v>
      </c>
      <c r="R239" s="711">
        <f t="shared" si="139"/>
        <v>0</v>
      </c>
      <c r="S239" s="693">
        <f t="shared" si="140"/>
        <v>0</v>
      </c>
      <c r="T239" s="693" t="str">
        <f t="shared" si="141"/>
        <v/>
      </c>
      <c r="U239" s="693" t="str">
        <f t="shared" si="142"/>
        <v/>
      </c>
      <c r="V239" s="678"/>
    </row>
    <row r="240" spans="2:22" x14ac:dyDescent="0.2">
      <c r="C240" s="610" t="s">
        <v>54</v>
      </c>
      <c r="D240" s="611">
        <f t="shared" si="133"/>
        <v>2016</v>
      </c>
      <c r="E240" s="710"/>
      <c r="F240" s="647" t="str">
        <f t="shared" si="135"/>
        <v>Forecast</v>
      </c>
      <c r="G240" s="644">
        <f>'Input - Customer Data'!N19</f>
        <v>16.426972189361784</v>
      </c>
      <c r="H240" s="680" t="str">
        <f t="shared" si="134"/>
        <v/>
      </c>
      <c r="I240" s="681"/>
      <c r="J240" s="710"/>
      <c r="K240" s="645" t="str">
        <f t="shared" si="136"/>
        <v>Forecast</v>
      </c>
      <c r="L240" s="682"/>
      <c r="M240" s="615"/>
      <c r="N240" s="646" t="str">
        <f t="shared" si="137"/>
        <v/>
      </c>
      <c r="O240" s="681"/>
      <c r="P240" s="710"/>
      <c r="Q240" s="645" t="str">
        <f t="shared" si="138"/>
        <v>Forecast</v>
      </c>
      <c r="R240" s="711">
        <f t="shared" si="139"/>
        <v>0</v>
      </c>
      <c r="S240" s="693">
        <f t="shared" si="140"/>
        <v>0</v>
      </c>
      <c r="T240" s="693" t="str">
        <f t="shared" si="141"/>
        <v/>
      </c>
      <c r="U240" s="693" t="str">
        <f t="shared" si="142"/>
        <v/>
      </c>
      <c r="V240" s="678"/>
    </row>
    <row r="241" spans="2:22" ht="13.5" thickBot="1" x14ac:dyDescent="0.25">
      <c r="C241" s="617" t="s">
        <v>53</v>
      </c>
      <c r="D241" s="618">
        <v>2017</v>
      </c>
      <c r="E241" s="677"/>
      <c r="F241" s="648" t="str">
        <f t="shared" si="135"/>
        <v>Forecast</v>
      </c>
      <c r="G241" s="649">
        <f>'Input - Customer Data'!N20</f>
        <v>20.757339639235809</v>
      </c>
      <c r="H241" s="685" t="str">
        <f t="shared" si="134"/>
        <v/>
      </c>
      <c r="I241" s="687"/>
      <c r="J241" s="677"/>
      <c r="K241" s="650" t="str">
        <f t="shared" si="136"/>
        <v>Forecast</v>
      </c>
      <c r="L241" s="686"/>
      <c r="M241" s="730"/>
      <c r="N241" s="651" t="str">
        <f t="shared" si="137"/>
        <v/>
      </c>
      <c r="O241" s="687"/>
      <c r="P241" s="677"/>
      <c r="Q241" s="650" t="str">
        <f t="shared" si="138"/>
        <v>Forecast</v>
      </c>
      <c r="R241" s="712">
        <f t="shared" si="139"/>
        <v>0</v>
      </c>
      <c r="S241" s="699">
        <f t="shared" si="140"/>
        <v>0</v>
      </c>
      <c r="T241" s="699" t="str">
        <f t="shared" si="141"/>
        <v/>
      </c>
      <c r="U241" s="699" t="str">
        <f t="shared" si="142"/>
        <v/>
      </c>
      <c r="V241" s="678"/>
    </row>
    <row r="242" spans="2:22" ht="13.5" thickBot="1" x14ac:dyDescent="0.25">
      <c r="B242" s="693"/>
      <c r="C242" s="652"/>
      <c r="I242" s="623">
        <f>SUM(I235:I240)</f>
        <v>0</v>
      </c>
      <c r="O242" s="623">
        <f>SUM(O235:O240)</f>
        <v>0</v>
      </c>
      <c r="U242" s="623">
        <f>SUM(U235:U240)</f>
        <v>0</v>
      </c>
    </row>
    <row r="243" spans="2:22" ht="39" thickBot="1" x14ac:dyDescent="0.25">
      <c r="C243" s="653" t="s">
        <v>279</v>
      </c>
      <c r="D243" s="654" t="s">
        <v>80</v>
      </c>
      <c r="E243" s="688"/>
      <c r="F243" s="688"/>
      <c r="G243" s="628" t="s">
        <v>280</v>
      </c>
      <c r="H243" s="688"/>
      <c r="I243" s="630" t="s">
        <v>287</v>
      </c>
      <c r="J243" s="713"/>
      <c r="K243" s="627" t="s">
        <v>80</v>
      </c>
      <c r="L243" s="816" t="s">
        <v>280</v>
      </c>
      <c r="M243" s="816"/>
      <c r="N243" s="688"/>
      <c r="O243" s="630" t="str">
        <f>I243</f>
        <v>Test Year Versus Board-approved</v>
      </c>
      <c r="P243" s="597"/>
      <c r="Q243" s="627" t="s">
        <v>80</v>
      </c>
      <c r="R243" s="816" t="s">
        <v>280</v>
      </c>
      <c r="S243" s="816"/>
      <c r="T243" s="688"/>
      <c r="U243" s="630" t="str">
        <f>O243</f>
        <v>Test Year Versus Board-approved</v>
      </c>
    </row>
    <row r="244" spans="2:22" x14ac:dyDescent="0.2">
      <c r="C244" s="710"/>
      <c r="D244" s="655">
        <f t="shared" ref="D244:D250" si="143">D235</f>
        <v>2011</v>
      </c>
      <c r="E244" s="693"/>
      <c r="F244" s="693"/>
      <c r="G244" s="714"/>
      <c r="H244" s="693"/>
      <c r="I244" s="715"/>
      <c r="J244" s="716"/>
      <c r="K244" s="611">
        <f>D244</f>
        <v>2011</v>
      </c>
      <c r="L244" s="695"/>
      <c r="M244" s="695"/>
      <c r="N244" s="693"/>
      <c r="O244" s="681"/>
      <c r="P244" s="710"/>
      <c r="Q244" s="611">
        <f>K244</f>
        <v>2011</v>
      </c>
      <c r="R244" s="717"/>
      <c r="S244" s="717"/>
      <c r="T244" s="693"/>
      <c r="U244" s="681"/>
    </row>
    <row r="245" spans="2:22" x14ac:dyDescent="0.2">
      <c r="C245" s="710"/>
      <c r="D245" s="656">
        <f t="shared" si="143"/>
        <v>2012</v>
      </c>
      <c r="E245" s="693"/>
      <c r="F245" s="693"/>
      <c r="G245" s="718">
        <f t="shared" ref="G245:G250" si="144">IF(G235=0,"",G236/G235-1)</f>
        <v>0.36842105263157898</v>
      </c>
      <c r="H245" s="693"/>
      <c r="I245" s="715"/>
      <c r="J245" s="716"/>
      <c r="K245" s="611">
        <f t="shared" ref="K245:K251" si="145">D245</f>
        <v>2012</v>
      </c>
      <c r="L245" s="697" t="str">
        <f t="shared" ref="L245:M248" si="146">IF(L235=0,"",L236/L235-1)</f>
        <v/>
      </c>
      <c r="M245" s="697" t="str">
        <f t="shared" si="146"/>
        <v/>
      </c>
      <c r="N245" s="693"/>
      <c r="O245" s="681"/>
      <c r="P245" s="710"/>
      <c r="Q245" s="611">
        <f t="shared" ref="Q245:Q251" si="147">K245</f>
        <v>2012</v>
      </c>
      <c r="R245" s="719" t="str">
        <f>IF(R235="","",IF(R235=0,"",R236/R235-1))</f>
        <v/>
      </c>
      <c r="S245" s="719" t="str">
        <f>IF(S235="","",IF(S235=0,"",S236/S235-1))</f>
        <v/>
      </c>
      <c r="T245" s="693"/>
      <c r="U245" s="681"/>
    </row>
    <row r="246" spans="2:22" x14ac:dyDescent="0.2">
      <c r="C246" s="710"/>
      <c r="D246" s="656">
        <f t="shared" si="143"/>
        <v>2013</v>
      </c>
      <c r="E246" s="693"/>
      <c r="F246" s="693"/>
      <c r="G246" s="718">
        <f t="shared" si="144"/>
        <v>0</v>
      </c>
      <c r="H246" s="693"/>
      <c r="I246" s="715"/>
      <c r="J246" s="716"/>
      <c r="K246" s="611">
        <f t="shared" si="145"/>
        <v>2013</v>
      </c>
      <c r="L246" s="697" t="str">
        <f t="shared" si="146"/>
        <v/>
      </c>
      <c r="M246" s="697" t="str">
        <f t="shared" si="146"/>
        <v/>
      </c>
      <c r="N246" s="693"/>
      <c r="O246" s="681"/>
      <c r="P246" s="710"/>
      <c r="Q246" s="611">
        <f t="shared" si="147"/>
        <v>2013</v>
      </c>
      <c r="R246" s="719" t="str">
        <f t="shared" ref="R246:S250" si="148">IF(R236="","",IF(R236=0,"",R237/R236-1))</f>
        <v/>
      </c>
      <c r="S246" s="719" t="str">
        <f t="shared" si="148"/>
        <v/>
      </c>
      <c r="T246" s="693"/>
      <c r="U246" s="681"/>
    </row>
    <row r="247" spans="2:22" x14ac:dyDescent="0.2">
      <c r="C247" s="710"/>
      <c r="D247" s="656">
        <f t="shared" si="143"/>
        <v>2014</v>
      </c>
      <c r="E247" s="693"/>
      <c r="F247" s="693"/>
      <c r="G247" s="718">
        <f t="shared" si="144"/>
        <v>0</v>
      </c>
      <c r="H247" s="693"/>
      <c r="I247" s="715"/>
      <c r="J247" s="716"/>
      <c r="K247" s="611">
        <f t="shared" si="145"/>
        <v>2014</v>
      </c>
      <c r="L247" s="697" t="str">
        <f t="shared" si="146"/>
        <v/>
      </c>
      <c r="M247" s="697" t="str">
        <f t="shared" si="146"/>
        <v/>
      </c>
      <c r="N247" s="693"/>
      <c r="O247" s="681"/>
      <c r="P247" s="710"/>
      <c r="Q247" s="611">
        <f t="shared" si="147"/>
        <v>2014</v>
      </c>
      <c r="R247" s="719" t="str">
        <f t="shared" si="148"/>
        <v/>
      </c>
      <c r="S247" s="719" t="str">
        <f t="shared" si="148"/>
        <v/>
      </c>
      <c r="T247" s="693"/>
      <c r="U247" s="681"/>
    </row>
    <row r="248" spans="2:22" x14ac:dyDescent="0.2">
      <c r="C248" s="710"/>
      <c r="D248" s="656">
        <f t="shared" si="143"/>
        <v>2015</v>
      </c>
      <c r="E248" s="693"/>
      <c r="F248" s="693"/>
      <c r="G248" s="718">
        <f t="shared" si="144"/>
        <v>0</v>
      </c>
      <c r="H248" s="693"/>
      <c r="I248" s="715"/>
      <c r="J248" s="716"/>
      <c r="K248" s="611">
        <f t="shared" si="145"/>
        <v>2015</v>
      </c>
      <c r="L248" s="697" t="str">
        <f t="shared" si="146"/>
        <v/>
      </c>
      <c r="M248" s="697" t="str">
        <f t="shared" si="146"/>
        <v/>
      </c>
      <c r="N248" s="693"/>
      <c r="O248" s="681"/>
      <c r="P248" s="710"/>
      <c r="Q248" s="611">
        <f t="shared" si="147"/>
        <v>2015</v>
      </c>
      <c r="R248" s="719" t="str">
        <f t="shared" si="148"/>
        <v/>
      </c>
      <c r="S248" s="719" t="str">
        <f t="shared" si="148"/>
        <v/>
      </c>
      <c r="T248" s="693"/>
      <c r="U248" s="681"/>
    </row>
    <row r="249" spans="2:22" x14ac:dyDescent="0.2">
      <c r="C249" s="710"/>
      <c r="D249" s="656">
        <f t="shared" si="143"/>
        <v>2016</v>
      </c>
      <c r="E249" s="693"/>
      <c r="F249" s="693"/>
      <c r="G249" s="718">
        <f t="shared" si="144"/>
        <v>0.26361324533552177</v>
      </c>
      <c r="H249" s="693"/>
      <c r="I249" s="715"/>
      <c r="J249" s="716"/>
      <c r="K249" s="611">
        <f t="shared" si="145"/>
        <v>2016</v>
      </c>
      <c r="L249" s="697" t="str">
        <f>IF(K240="Forecast","",IF(L239=0,"",L240/L239-1))</f>
        <v/>
      </c>
      <c r="M249" s="697" t="str">
        <f>IF(M239=0,"",M240/M239-1)</f>
        <v/>
      </c>
      <c r="N249" s="693"/>
      <c r="O249" s="681"/>
      <c r="P249" s="710"/>
      <c r="Q249" s="611">
        <f t="shared" si="147"/>
        <v>2016</v>
      </c>
      <c r="R249" s="719" t="str">
        <f>IF(Q240="Forecast","",IF(R239=0,"",R240/R239-1))</f>
        <v/>
      </c>
      <c r="S249" s="719" t="str">
        <f t="shared" si="148"/>
        <v/>
      </c>
      <c r="T249" s="693"/>
      <c r="U249" s="681"/>
    </row>
    <row r="250" spans="2:22" x14ac:dyDescent="0.2">
      <c r="C250" s="710"/>
      <c r="D250" s="656">
        <f t="shared" si="143"/>
        <v>2017</v>
      </c>
      <c r="E250" s="693"/>
      <c r="F250" s="693"/>
      <c r="G250" s="718">
        <f t="shared" si="144"/>
        <v>0.263613245335522</v>
      </c>
      <c r="H250" s="693"/>
      <c r="I250" s="720" t="str">
        <f>IF(I242=0,"",G241/I242-1)</f>
        <v/>
      </c>
      <c r="J250" s="716"/>
      <c r="K250" s="611">
        <f t="shared" si="145"/>
        <v>2017</v>
      </c>
      <c r="L250" s="697" t="str">
        <f>IF(K241="Forecast","",IF(L240=0,"",L241/L240-1))</f>
        <v/>
      </c>
      <c r="M250" s="697" t="str">
        <f>IF(M240=0,"",M241/M240-1)</f>
        <v/>
      </c>
      <c r="N250" s="693"/>
      <c r="O250" s="698" t="str">
        <f>IF(O242=0,"",M241/O242-1)</f>
        <v/>
      </c>
      <c r="P250" s="710"/>
      <c r="Q250" s="611">
        <f t="shared" si="147"/>
        <v>2017</v>
      </c>
      <c r="R250" s="719" t="str">
        <f>IF(Q241="Forecast","",IF(R240=0,"",R241/R240-1))</f>
        <v/>
      </c>
      <c r="S250" s="719" t="str">
        <f t="shared" si="148"/>
        <v/>
      </c>
      <c r="T250" s="693"/>
      <c r="U250" s="698" t="str">
        <f>IF(U242=0,"",S241/U242-1)</f>
        <v/>
      </c>
    </row>
    <row r="251" spans="2:22" ht="26.25" thickBot="1" x14ac:dyDescent="0.25">
      <c r="C251" s="677"/>
      <c r="D251" s="721" t="s">
        <v>282</v>
      </c>
      <c r="E251" s="699"/>
      <c r="F251" s="699"/>
      <c r="G251" s="722" t="e">
        <f>IF(G235=0,"",GEOMEAN(G245:G250))</f>
        <v>#NUM!</v>
      </c>
      <c r="H251" s="699"/>
      <c r="I251" s="723" t="s">
        <v>312</v>
      </c>
      <c r="J251" s="702"/>
      <c r="K251" s="703" t="str">
        <f t="shared" si="145"/>
        <v>Geometric Mean</v>
      </c>
      <c r="L251" s="704"/>
      <c r="M251" s="704" t="str">
        <f>IF(M235=0,"",(M241/M235)^(1/(K250-K244-1)-1))</f>
        <v/>
      </c>
      <c r="N251" s="699"/>
      <c r="O251" s="705" t="s">
        <v>312</v>
      </c>
      <c r="P251" s="677"/>
      <c r="Q251" s="703" t="str">
        <f t="shared" si="147"/>
        <v>Geometric Mean</v>
      </c>
      <c r="R251" s="724"/>
      <c r="S251" s="704" t="str">
        <f>IF(S235="","",IF(S235=0,"",(S241/S235)^(1/(Q250-Q244-1)-1)))</f>
        <v/>
      </c>
      <c r="T251" s="699"/>
      <c r="U251" s="705" t="s">
        <v>312</v>
      </c>
    </row>
    <row r="253" spans="2:22" ht="13.5" thickBot="1" x14ac:dyDescent="0.25">
      <c r="Q253" s="699"/>
      <c r="R253" s="699"/>
      <c r="S253" s="699"/>
      <c r="T253" s="699"/>
      <c r="U253" s="699"/>
    </row>
    <row r="254" spans="2:22" x14ac:dyDescent="0.2">
      <c r="C254" s="597"/>
      <c r="D254" s="598" t="s">
        <v>274</v>
      </c>
      <c r="E254" s="598"/>
      <c r="F254" s="829" t="s">
        <v>240</v>
      </c>
      <c r="G254" s="830"/>
      <c r="H254" s="830"/>
      <c r="I254" s="831"/>
      <c r="K254" s="812" t="str">
        <f>IF(ISBLANK(N231),"",CONCATENATE("Demand (",N231,")"))</f>
        <v>Demand (kW)</v>
      </c>
      <c r="L254" s="813"/>
      <c r="M254" s="813"/>
      <c r="N254" s="813"/>
      <c r="O254" s="814"/>
      <c r="Q254" s="823" t="str">
        <f>CONCATENATE("Demand (",N231,") per ",LEFT(F233,LEN(F233)-1))</f>
        <v>Demand (kW) per Customer</v>
      </c>
      <c r="R254" s="824"/>
      <c r="S254" s="824"/>
      <c r="T254" s="824"/>
      <c r="U254" s="825"/>
    </row>
    <row r="255" spans="2:22" ht="39" thickBot="1" x14ac:dyDescent="0.25">
      <c r="C255" s="677"/>
      <c r="D255" s="602" t="s">
        <v>311</v>
      </c>
      <c r="E255" s="610"/>
      <c r="F255" s="826"/>
      <c r="G255" s="827"/>
      <c r="H255" s="827"/>
      <c r="I255" s="638"/>
      <c r="K255" s="606"/>
      <c r="L255" s="607" t="s">
        <v>276</v>
      </c>
      <c r="M255" s="607" t="s">
        <v>277</v>
      </c>
      <c r="N255" s="608"/>
      <c r="O255" s="609" t="str">
        <f>M255</f>
        <v>Weather-normalized</v>
      </c>
      <c r="Q255" s="657"/>
      <c r="R255" s="607" t="str">
        <f>L255</f>
        <v>Actual (Weather actual)</v>
      </c>
      <c r="S255" s="607" t="str">
        <f>M255</f>
        <v>Weather-normalized</v>
      </c>
      <c r="T255" s="607"/>
      <c r="U255" s="658" t="str">
        <f>O255</f>
        <v>Weather-normalized</v>
      </c>
    </row>
    <row r="256" spans="2:22" x14ac:dyDescent="0.2">
      <c r="C256" s="610" t="s">
        <v>278</v>
      </c>
      <c r="D256" s="611">
        <f t="shared" ref="D256:D261" si="149">D257-1</f>
        <v>2011</v>
      </c>
      <c r="E256" s="710"/>
      <c r="F256" s="643" t="str">
        <f t="shared" ref="F256:F262" si="150">F235</f>
        <v>Actual</v>
      </c>
      <c r="G256" s="659"/>
      <c r="H256" s="679" t="str">
        <f t="shared" ref="H256:H262" si="151">IF(D256=2013,"Board-approved","")</f>
        <v/>
      </c>
      <c r="I256" s="725"/>
      <c r="K256" s="645" t="str">
        <f t="shared" ref="K256:K262" si="152">K235</f>
        <v>Actual</v>
      </c>
      <c r="L256" s="615"/>
      <c r="M256" s="615"/>
      <c r="N256" s="646" t="str">
        <f t="shared" ref="N256:N262" si="153">N235</f>
        <v/>
      </c>
      <c r="O256" s="681"/>
      <c r="Q256" s="645" t="str">
        <f>K256</f>
        <v>Actual</v>
      </c>
      <c r="R256" s="693" t="str">
        <f>IF(G256=0,"",L256/G256)</f>
        <v/>
      </c>
      <c r="S256" s="678" t="str">
        <f>IF(G256=0,"",M256/G256)</f>
        <v/>
      </c>
      <c r="T256" s="678" t="str">
        <f>N256</f>
        <v/>
      </c>
      <c r="U256" s="710" t="str">
        <f>IF(T256="","",IF(I256=0,"",O256/I256))</f>
        <v/>
      </c>
    </row>
    <row r="257" spans="3:21" x14ac:dyDescent="0.2">
      <c r="C257" s="610" t="s">
        <v>278</v>
      </c>
      <c r="D257" s="611">
        <f t="shared" si="149"/>
        <v>2012</v>
      </c>
      <c r="E257" s="710"/>
      <c r="F257" s="647" t="str">
        <f t="shared" si="150"/>
        <v>Actual</v>
      </c>
      <c r="G257" s="659"/>
      <c r="H257" s="679" t="str">
        <f t="shared" si="151"/>
        <v/>
      </c>
      <c r="I257" s="681"/>
      <c r="K257" s="645" t="str">
        <f t="shared" si="152"/>
        <v>Actual</v>
      </c>
      <c r="L257" s="615"/>
      <c r="M257" s="615"/>
      <c r="N257" s="646" t="str">
        <f t="shared" si="153"/>
        <v/>
      </c>
      <c r="O257" s="681"/>
      <c r="Q257" s="645" t="str">
        <f t="shared" ref="Q257:Q262" si="154">K257</f>
        <v>Actual</v>
      </c>
      <c r="R257" s="693" t="str">
        <f t="shared" ref="R257:R262" si="155">IF(G257=0,"",L257/G257)</f>
        <v/>
      </c>
      <c r="S257" s="678" t="str">
        <f t="shared" ref="S257:S262" si="156">IF(G257=0,"",M257/G257)</f>
        <v/>
      </c>
      <c r="T257" s="678" t="str">
        <f t="shared" ref="T257:T262" si="157">N257</f>
        <v/>
      </c>
      <c r="U257" s="710" t="str">
        <f t="shared" ref="U257:U262" si="158">IF(T257="","",IF(I257=0,"",O257/I257))</f>
        <v/>
      </c>
    </row>
    <row r="258" spans="3:21" x14ac:dyDescent="0.2">
      <c r="C258" s="610" t="s">
        <v>278</v>
      </c>
      <c r="D258" s="611">
        <f t="shared" si="149"/>
        <v>2013</v>
      </c>
      <c r="E258" s="710"/>
      <c r="F258" s="647" t="str">
        <f t="shared" si="150"/>
        <v>Actual</v>
      </c>
      <c r="G258" s="659"/>
      <c r="H258" s="679" t="str">
        <f t="shared" si="151"/>
        <v>Board-approved</v>
      </c>
      <c r="I258" s="660"/>
      <c r="K258" s="645" t="str">
        <f t="shared" si="152"/>
        <v>Actual</v>
      </c>
      <c r="L258" s="615"/>
      <c r="M258" s="615"/>
      <c r="N258" s="646" t="str">
        <f t="shared" si="153"/>
        <v>Board-approved</v>
      </c>
      <c r="O258" s="616"/>
      <c r="Q258" s="645" t="str">
        <f t="shared" si="154"/>
        <v>Actual</v>
      </c>
      <c r="R258" s="693" t="str">
        <f t="shared" si="155"/>
        <v/>
      </c>
      <c r="S258" s="678" t="str">
        <f t="shared" si="156"/>
        <v/>
      </c>
      <c r="T258" s="678" t="str">
        <f t="shared" si="157"/>
        <v>Board-approved</v>
      </c>
      <c r="U258" s="710" t="str">
        <f t="shared" si="158"/>
        <v/>
      </c>
    </row>
    <row r="259" spans="3:21" x14ac:dyDescent="0.2">
      <c r="C259" s="610" t="s">
        <v>278</v>
      </c>
      <c r="D259" s="611">
        <f t="shared" si="149"/>
        <v>2014</v>
      </c>
      <c r="E259" s="710"/>
      <c r="F259" s="647" t="str">
        <f t="shared" si="150"/>
        <v>Actual</v>
      </c>
      <c r="G259" s="659"/>
      <c r="H259" s="679" t="str">
        <f t="shared" si="151"/>
        <v/>
      </c>
      <c r="I259" s="681"/>
      <c r="K259" s="645" t="str">
        <f t="shared" si="152"/>
        <v>Actual</v>
      </c>
      <c r="L259" s="615"/>
      <c r="M259" s="615"/>
      <c r="N259" s="646" t="str">
        <f t="shared" si="153"/>
        <v/>
      </c>
      <c r="O259" s="681"/>
      <c r="Q259" s="645" t="str">
        <f t="shared" si="154"/>
        <v>Actual</v>
      </c>
      <c r="R259" s="693" t="str">
        <f t="shared" si="155"/>
        <v/>
      </c>
      <c r="S259" s="678" t="str">
        <f t="shared" si="156"/>
        <v/>
      </c>
      <c r="T259" s="678" t="str">
        <f t="shared" si="157"/>
        <v/>
      </c>
      <c r="U259" s="710" t="str">
        <f t="shared" si="158"/>
        <v/>
      </c>
    </row>
    <row r="260" spans="3:21" x14ac:dyDescent="0.2">
      <c r="C260" s="610" t="s">
        <v>278</v>
      </c>
      <c r="D260" s="611">
        <f t="shared" si="149"/>
        <v>2015</v>
      </c>
      <c r="E260" s="710"/>
      <c r="F260" s="647" t="str">
        <f t="shared" si="150"/>
        <v>Actual</v>
      </c>
      <c r="G260" s="659"/>
      <c r="H260" s="679" t="str">
        <f t="shared" si="151"/>
        <v/>
      </c>
      <c r="I260" s="681"/>
      <c r="K260" s="645" t="str">
        <f t="shared" si="152"/>
        <v>Actual</v>
      </c>
      <c r="L260" s="615"/>
      <c r="M260" s="615"/>
      <c r="N260" s="646" t="str">
        <f t="shared" si="153"/>
        <v/>
      </c>
      <c r="O260" s="681"/>
      <c r="Q260" s="645" t="str">
        <f t="shared" si="154"/>
        <v>Actual</v>
      </c>
      <c r="R260" s="693" t="str">
        <f t="shared" si="155"/>
        <v/>
      </c>
      <c r="S260" s="678" t="str">
        <f t="shared" si="156"/>
        <v/>
      </c>
      <c r="T260" s="678" t="str">
        <f t="shared" si="157"/>
        <v/>
      </c>
      <c r="U260" s="710" t="str">
        <f t="shared" si="158"/>
        <v/>
      </c>
    </row>
    <row r="261" spans="3:21" x14ac:dyDescent="0.2">
      <c r="C261" s="610" t="s">
        <v>288</v>
      </c>
      <c r="D261" s="611">
        <f t="shared" si="149"/>
        <v>2016</v>
      </c>
      <c r="E261" s="710"/>
      <c r="F261" s="647" t="str">
        <f t="shared" si="150"/>
        <v>Forecast</v>
      </c>
      <c r="G261" s="659"/>
      <c r="H261" s="679" t="str">
        <f t="shared" si="151"/>
        <v/>
      </c>
      <c r="I261" s="681"/>
      <c r="K261" s="645" t="str">
        <f t="shared" si="152"/>
        <v>Forecast</v>
      </c>
      <c r="L261" s="682"/>
      <c r="M261" s="726"/>
      <c r="N261" s="646" t="str">
        <f t="shared" si="153"/>
        <v/>
      </c>
      <c r="O261" s="681"/>
      <c r="Q261" s="645" t="str">
        <f t="shared" si="154"/>
        <v>Forecast</v>
      </c>
      <c r="R261" s="693" t="str">
        <f t="shared" si="155"/>
        <v/>
      </c>
      <c r="S261" s="678" t="str">
        <f t="shared" si="156"/>
        <v/>
      </c>
      <c r="T261" s="678" t="str">
        <f t="shared" si="157"/>
        <v/>
      </c>
      <c r="U261" s="710" t="str">
        <f t="shared" si="158"/>
        <v/>
      </c>
    </row>
    <row r="262" spans="3:21" ht="13.5" thickBot="1" x14ac:dyDescent="0.25">
      <c r="C262" s="617" t="s">
        <v>289</v>
      </c>
      <c r="D262" s="618">
        <v>2017</v>
      </c>
      <c r="E262" s="677"/>
      <c r="F262" s="648" t="str">
        <f t="shared" si="150"/>
        <v>Forecast</v>
      </c>
      <c r="G262" s="661"/>
      <c r="H262" s="684" t="str">
        <f t="shared" si="151"/>
        <v/>
      </c>
      <c r="I262" s="687"/>
      <c r="K262" s="650" t="str">
        <f t="shared" si="152"/>
        <v>Forecast</v>
      </c>
      <c r="L262" s="686"/>
      <c r="M262" s="727"/>
      <c r="N262" s="651" t="str">
        <f t="shared" si="153"/>
        <v/>
      </c>
      <c r="O262" s="687"/>
      <c r="Q262" s="728" t="str">
        <f t="shared" si="154"/>
        <v>Forecast</v>
      </c>
      <c r="R262" s="683" t="str">
        <f t="shared" si="155"/>
        <v/>
      </c>
      <c r="S262" s="683" t="str">
        <f t="shared" si="156"/>
        <v/>
      </c>
      <c r="T262" s="683" t="str">
        <f t="shared" si="157"/>
        <v/>
      </c>
      <c r="U262" s="677" t="str">
        <f t="shared" si="158"/>
        <v/>
      </c>
    </row>
    <row r="263" spans="3:21" ht="13.5" thickBot="1" x14ac:dyDescent="0.25">
      <c r="C263" s="652"/>
      <c r="I263" s="623">
        <f>SUM(I256:I261)</f>
        <v>0</v>
      </c>
      <c r="J263" s="693"/>
      <c r="O263" s="623">
        <f>SUM(O256:O261)</f>
        <v>0</v>
      </c>
      <c r="U263" s="623">
        <f>SUM(U256:U261)</f>
        <v>0</v>
      </c>
    </row>
    <row r="264" spans="3:21" ht="39" thickBot="1" x14ac:dyDescent="0.25">
      <c r="C264" s="653" t="s">
        <v>279</v>
      </c>
      <c r="D264" s="654" t="s">
        <v>80</v>
      </c>
      <c r="E264" s="628"/>
      <c r="F264" s="628"/>
      <c r="G264" s="628" t="s">
        <v>280</v>
      </c>
      <c r="H264" s="628"/>
      <c r="I264" s="630" t="str">
        <f>I243</f>
        <v>Test Year Versus Board-approved</v>
      </c>
      <c r="J264" s="662"/>
      <c r="K264" s="627" t="s">
        <v>80</v>
      </c>
      <c r="L264" s="816" t="s">
        <v>280</v>
      </c>
      <c r="M264" s="816"/>
      <c r="N264" s="628"/>
      <c r="O264" s="630" t="str">
        <f>I264</f>
        <v>Test Year Versus Board-approved</v>
      </c>
      <c r="P264" s="663"/>
      <c r="Q264" s="627" t="s">
        <v>80</v>
      </c>
      <c r="R264" s="816" t="s">
        <v>280</v>
      </c>
      <c r="S264" s="816"/>
      <c r="T264" s="628"/>
      <c r="U264" s="630" t="str">
        <f>O264</f>
        <v>Test Year Versus Board-approved</v>
      </c>
    </row>
    <row r="265" spans="3:21" x14ac:dyDescent="0.2">
      <c r="C265" s="710"/>
      <c r="D265" s="664">
        <f t="shared" ref="D265:D271" si="159">D256</f>
        <v>2011</v>
      </c>
      <c r="E265" s="690"/>
      <c r="F265" s="693"/>
      <c r="G265" s="714"/>
      <c r="H265" s="693"/>
      <c r="I265" s="715"/>
      <c r="J265" s="710"/>
      <c r="K265" s="611">
        <f>D265</f>
        <v>2011</v>
      </c>
      <c r="L265" s="695"/>
      <c r="M265" s="695"/>
      <c r="N265" s="693"/>
      <c r="O265" s="616"/>
      <c r="P265" s="710"/>
      <c r="Q265" s="611">
        <f>K265</f>
        <v>2011</v>
      </c>
      <c r="R265" s="717"/>
      <c r="S265" s="717"/>
      <c r="T265" s="693"/>
      <c r="U265" s="681"/>
    </row>
    <row r="266" spans="3:21" x14ac:dyDescent="0.2">
      <c r="C266" s="710"/>
      <c r="D266" s="656">
        <f t="shared" si="159"/>
        <v>2012</v>
      </c>
      <c r="E266" s="693"/>
      <c r="F266" s="693"/>
      <c r="G266" s="718" t="str">
        <f t="shared" ref="G266:G271" si="160">IF(G256=0,"",G257/G256-1)</f>
        <v/>
      </c>
      <c r="H266" s="693"/>
      <c r="I266" s="715"/>
      <c r="J266" s="710"/>
      <c r="K266" s="611">
        <f t="shared" ref="K266:K272" si="161">D266</f>
        <v>2012</v>
      </c>
      <c r="L266" s="697" t="str">
        <f>IF(L256=0,"",L257/L256-1)</f>
        <v/>
      </c>
      <c r="M266" s="697" t="str">
        <f>IF(M256=0,"",M257/M256-1)</f>
        <v/>
      </c>
      <c r="N266" s="693"/>
      <c r="O266" s="616"/>
      <c r="P266" s="710"/>
      <c r="Q266" s="611">
        <f t="shared" ref="Q266:Q272" si="162">K266</f>
        <v>2012</v>
      </c>
      <c r="R266" s="719" t="str">
        <f>IF(R256="","",IF(R256=0,"",R257/R256-1))</f>
        <v/>
      </c>
      <c r="S266" s="719" t="str">
        <f>IF(S256="","",IF(S256=0,"",S257/S256-1))</f>
        <v/>
      </c>
      <c r="T266" s="693"/>
      <c r="U266" s="681"/>
    </row>
    <row r="267" spans="3:21" x14ac:dyDescent="0.2">
      <c r="C267" s="710"/>
      <c r="D267" s="665">
        <f t="shared" si="159"/>
        <v>2013</v>
      </c>
      <c r="E267" s="693"/>
      <c r="F267" s="693"/>
      <c r="G267" s="718" t="str">
        <f t="shared" si="160"/>
        <v/>
      </c>
      <c r="H267" s="693"/>
      <c r="I267" s="715"/>
      <c r="J267" s="710"/>
      <c r="K267" s="611">
        <f t="shared" si="161"/>
        <v>2013</v>
      </c>
      <c r="L267" s="697" t="str">
        <f t="shared" ref="L267:M271" si="163">IF(L257=0,"",L258/L257-1)</f>
        <v/>
      </c>
      <c r="M267" s="697" t="str">
        <f t="shared" si="163"/>
        <v/>
      </c>
      <c r="N267" s="693"/>
      <c r="O267" s="616"/>
      <c r="P267" s="710"/>
      <c r="Q267" s="611">
        <f t="shared" si="162"/>
        <v>2013</v>
      </c>
      <c r="R267" s="719" t="str">
        <f t="shared" ref="R267:S271" si="164">IF(R257="","",IF(R257=0,"",R258/R257-1))</f>
        <v/>
      </c>
      <c r="S267" s="719" t="str">
        <f t="shared" si="164"/>
        <v/>
      </c>
      <c r="T267" s="693"/>
      <c r="U267" s="681"/>
    </row>
    <row r="268" spans="3:21" x14ac:dyDescent="0.2">
      <c r="C268" s="710"/>
      <c r="D268" s="656">
        <f t="shared" si="159"/>
        <v>2014</v>
      </c>
      <c r="E268" s="693"/>
      <c r="F268" s="693"/>
      <c r="G268" s="718" t="str">
        <f t="shared" si="160"/>
        <v/>
      </c>
      <c r="H268" s="693"/>
      <c r="I268" s="715"/>
      <c r="J268" s="710"/>
      <c r="K268" s="611">
        <f t="shared" si="161"/>
        <v>2014</v>
      </c>
      <c r="L268" s="697" t="str">
        <f t="shared" si="163"/>
        <v/>
      </c>
      <c r="M268" s="697" t="str">
        <f t="shared" si="163"/>
        <v/>
      </c>
      <c r="N268" s="693"/>
      <c r="O268" s="616"/>
      <c r="P268" s="710"/>
      <c r="Q268" s="611">
        <f t="shared" si="162"/>
        <v>2014</v>
      </c>
      <c r="R268" s="719" t="str">
        <f t="shared" si="164"/>
        <v/>
      </c>
      <c r="S268" s="719" t="str">
        <f t="shared" si="164"/>
        <v/>
      </c>
      <c r="T268" s="693"/>
      <c r="U268" s="681"/>
    </row>
    <row r="269" spans="3:21" x14ac:dyDescent="0.2">
      <c r="C269" s="710"/>
      <c r="D269" s="656">
        <f t="shared" si="159"/>
        <v>2015</v>
      </c>
      <c r="E269" s="693"/>
      <c r="F269" s="693"/>
      <c r="G269" s="718" t="str">
        <f t="shared" si="160"/>
        <v/>
      </c>
      <c r="H269" s="693"/>
      <c r="I269" s="715"/>
      <c r="J269" s="710"/>
      <c r="K269" s="611">
        <f t="shared" si="161"/>
        <v>2015</v>
      </c>
      <c r="L269" s="697" t="str">
        <f t="shared" si="163"/>
        <v/>
      </c>
      <c r="M269" s="697" t="str">
        <f t="shared" si="163"/>
        <v/>
      </c>
      <c r="N269" s="693"/>
      <c r="O269" s="616"/>
      <c r="P269" s="710"/>
      <c r="Q269" s="611">
        <f t="shared" si="162"/>
        <v>2015</v>
      </c>
      <c r="R269" s="719" t="str">
        <f t="shared" si="164"/>
        <v/>
      </c>
      <c r="S269" s="719" t="str">
        <f t="shared" si="164"/>
        <v/>
      </c>
      <c r="T269" s="693"/>
      <c r="U269" s="681"/>
    </row>
    <row r="270" spans="3:21" x14ac:dyDescent="0.2">
      <c r="C270" s="710"/>
      <c r="D270" s="656">
        <f t="shared" si="159"/>
        <v>2016</v>
      </c>
      <c r="E270" s="693"/>
      <c r="F270" s="693"/>
      <c r="G270" s="718" t="str">
        <f t="shared" si="160"/>
        <v/>
      </c>
      <c r="H270" s="693"/>
      <c r="I270" s="715"/>
      <c r="J270" s="710"/>
      <c r="K270" s="611">
        <f t="shared" si="161"/>
        <v>2016</v>
      </c>
      <c r="L270" s="697" t="str">
        <f>IF(K261="Forecast","",IF(L260=0,"",L261/L260-1))</f>
        <v/>
      </c>
      <c r="M270" s="697" t="str">
        <f t="shared" si="163"/>
        <v/>
      </c>
      <c r="N270" s="693"/>
      <c r="O270" s="616"/>
      <c r="P270" s="710"/>
      <c r="Q270" s="611">
        <f t="shared" si="162"/>
        <v>2016</v>
      </c>
      <c r="R270" s="719" t="str">
        <f>IF(Q261="Forecast","",IF(R260=0,"",R261/R260-1))</f>
        <v/>
      </c>
      <c r="S270" s="719" t="str">
        <f t="shared" si="164"/>
        <v/>
      </c>
      <c r="T270" s="693"/>
      <c r="U270" s="681"/>
    </row>
    <row r="271" spans="3:21" x14ac:dyDescent="0.2">
      <c r="C271" s="710"/>
      <c r="D271" s="665">
        <f t="shared" si="159"/>
        <v>2017</v>
      </c>
      <c r="E271" s="693"/>
      <c r="F271" s="693"/>
      <c r="G271" s="718" t="str">
        <f t="shared" si="160"/>
        <v/>
      </c>
      <c r="H271" s="693"/>
      <c r="I271" s="720" t="str">
        <f>IF(I263=0,"",G262/I263-1)</f>
        <v/>
      </c>
      <c r="J271" s="710"/>
      <c r="K271" s="611">
        <f t="shared" si="161"/>
        <v>2017</v>
      </c>
      <c r="L271" s="697" t="str">
        <f>IF(K262="Forecast","",IF(L261=0,"",L262/L261-1))</f>
        <v/>
      </c>
      <c r="M271" s="697" t="str">
        <f t="shared" si="163"/>
        <v/>
      </c>
      <c r="N271" s="693"/>
      <c r="O271" s="729" t="str">
        <f>IF(O263=0,"",M262/O263-1)</f>
        <v/>
      </c>
      <c r="P271" s="710"/>
      <c r="Q271" s="611">
        <f t="shared" si="162"/>
        <v>2017</v>
      </c>
      <c r="R271" s="719" t="str">
        <f>IF(Q262="Forecast","",IF(R261=0,"",R262/R261-1))</f>
        <v/>
      </c>
      <c r="S271" s="719" t="str">
        <f t="shared" si="164"/>
        <v/>
      </c>
      <c r="T271" s="693"/>
      <c r="U271" s="698" t="str">
        <f>IF(U263=0,"",S262/U263-1)</f>
        <v/>
      </c>
    </row>
    <row r="272" spans="3:21" ht="26.25" thickBot="1" x14ac:dyDescent="0.25">
      <c r="C272" s="677"/>
      <c r="D272" s="721" t="s">
        <v>282</v>
      </c>
      <c r="E272" s="699"/>
      <c r="F272" s="699"/>
      <c r="G272" s="722" t="str">
        <f>IF(G256=0,"",GEOMEAN(G266:G271))</f>
        <v/>
      </c>
      <c r="H272" s="699"/>
      <c r="I272" s="705" t="s">
        <v>312</v>
      </c>
      <c r="J272" s="710"/>
      <c r="K272" s="703" t="str">
        <f t="shared" si="161"/>
        <v>Geometric Mean</v>
      </c>
      <c r="L272" s="704"/>
      <c r="M272" s="704" t="str">
        <f>IF(M256=0,"",GEOMEAN(M266:M271))</f>
        <v/>
      </c>
      <c r="N272" s="699"/>
      <c r="O272" s="705" t="s">
        <v>312</v>
      </c>
      <c r="P272" s="677"/>
      <c r="Q272" s="703" t="str">
        <f t="shared" si="162"/>
        <v>Geometric Mean</v>
      </c>
      <c r="R272" s="724"/>
      <c r="S272" s="704" t="str">
        <f>IF(S256="","",IF(S256=0,"",(S262/S256)^(1/(Q271-Q265-1)-1)))</f>
        <v/>
      </c>
      <c r="T272" s="699"/>
      <c r="U272" s="705" t="s">
        <v>312</v>
      </c>
    </row>
    <row r="273" spans="2:22" ht="13.5" thickBot="1" x14ac:dyDescent="0.25"/>
    <row r="274" spans="2:22" ht="13.5" thickBot="1" x14ac:dyDescent="0.25">
      <c r="B274" s="635">
        <f>B231+1</f>
        <v>6</v>
      </c>
      <c r="C274" s="636" t="s">
        <v>284</v>
      </c>
      <c r="D274" s="817" t="s">
        <v>61</v>
      </c>
      <c r="E274" s="818"/>
      <c r="F274" s="819"/>
      <c r="G274" s="707"/>
      <c r="H274" s="12" t="s">
        <v>285</v>
      </c>
      <c r="N274" s="708"/>
      <c r="O274" s="709"/>
      <c r="P274" s="709"/>
      <c r="Q274" s="709"/>
      <c r="R274" s="709"/>
      <c r="S274" s="709"/>
      <c r="T274" s="709"/>
      <c r="U274" s="709"/>
    </row>
    <row r="275" spans="2:22" ht="13.5" thickBot="1" x14ac:dyDescent="0.25">
      <c r="Q275" s="699"/>
      <c r="R275" s="699"/>
      <c r="S275" s="699"/>
      <c r="T275" s="699"/>
      <c r="U275" s="699"/>
    </row>
    <row r="276" spans="2:22" x14ac:dyDescent="0.2">
      <c r="C276" s="597"/>
      <c r="D276" s="598" t="s">
        <v>274</v>
      </c>
      <c r="E276" s="598"/>
      <c r="F276" s="820" t="s">
        <v>286</v>
      </c>
      <c r="G276" s="821"/>
      <c r="H276" s="821"/>
      <c r="I276" s="822"/>
      <c r="J276" s="598"/>
      <c r="K276" s="812" t="s">
        <v>275</v>
      </c>
      <c r="L276" s="813"/>
      <c r="M276" s="813"/>
      <c r="N276" s="813"/>
      <c r="O276" s="814"/>
      <c r="P276" s="599"/>
      <c r="Q276" s="823" t="str">
        <f>CONCATENATE("Consumption (kWh) per ",LEFT(F276,LEN(F276)-1))</f>
        <v>Consumption (kWh) per Customer</v>
      </c>
      <c r="R276" s="824"/>
      <c r="S276" s="824"/>
      <c r="T276" s="824"/>
      <c r="U276" s="825"/>
      <c r="V276" s="637"/>
    </row>
    <row r="277" spans="2:22" ht="39" thickBot="1" x14ac:dyDescent="0.25">
      <c r="C277" s="677"/>
      <c r="D277" s="602" t="s">
        <v>311</v>
      </c>
      <c r="E277" s="610"/>
      <c r="F277" s="826"/>
      <c r="G277" s="827"/>
      <c r="H277" s="828"/>
      <c r="I277" s="638"/>
      <c r="J277" s="610"/>
      <c r="K277" s="606"/>
      <c r="L277" s="607" t="s">
        <v>276</v>
      </c>
      <c r="M277" s="607" t="s">
        <v>277</v>
      </c>
      <c r="N277" s="608"/>
      <c r="O277" s="609" t="s">
        <v>277</v>
      </c>
      <c r="P277" s="610"/>
      <c r="Q277" s="639"/>
      <c r="R277" s="640" t="str">
        <f>L277</f>
        <v>Actual (Weather actual)</v>
      </c>
      <c r="S277" s="641" t="str">
        <f>M277</f>
        <v>Weather-normalized</v>
      </c>
      <c r="T277" s="641"/>
      <c r="U277" s="642" t="str">
        <f>O277</f>
        <v>Weather-normalized</v>
      </c>
      <c r="V277" s="637"/>
    </row>
    <row r="278" spans="2:22" x14ac:dyDescent="0.2">
      <c r="C278" s="610" t="s">
        <v>278</v>
      </c>
      <c r="D278" s="611">
        <f t="shared" ref="D278:D283" si="165">D279-1</f>
        <v>2011</v>
      </c>
      <c r="E278" s="710"/>
      <c r="F278" s="643" t="str">
        <f>F235</f>
        <v>Actual</v>
      </c>
      <c r="G278" s="644">
        <f>'Input - Customer Data'!P10</f>
        <v>29</v>
      </c>
      <c r="H278" s="680" t="str">
        <f t="shared" ref="H278:H284" si="166">IF(D278=2013,"Board-approved","")</f>
        <v/>
      </c>
      <c r="I278" s="681"/>
      <c r="J278" s="710"/>
      <c r="K278" s="645" t="str">
        <f>F278</f>
        <v>Actual</v>
      </c>
      <c r="L278" s="615"/>
      <c r="M278" s="615"/>
      <c r="N278" s="646" t="str">
        <f>H278</f>
        <v/>
      </c>
      <c r="O278" s="681"/>
      <c r="P278" s="710"/>
      <c r="Q278" s="645" t="str">
        <f>K278</f>
        <v>Actual</v>
      </c>
      <c r="R278" s="711">
        <f>IF(G278=0,"",L278/G278)</f>
        <v>0</v>
      </c>
      <c r="S278" s="693">
        <f>IF(G278=0,"",M278/G278)</f>
        <v>0</v>
      </c>
      <c r="T278" s="693" t="str">
        <f>N278</f>
        <v/>
      </c>
      <c r="U278" s="693" t="str">
        <f>IF(T278="","",IF(I278=0,"",O278/I278))</f>
        <v/>
      </c>
      <c r="V278" s="678"/>
    </row>
    <row r="279" spans="2:22" x14ac:dyDescent="0.2">
      <c r="C279" s="610" t="s">
        <v>278</v>
      </c>
      <c r="D279" s="611">
        <f t="shared" si="165"/>
        <v>2012</v>
      </c>
      <c r="E279" s="710"/>
      <c r="F279" s="647" t="str">
        <f t="shared" ref="F279:F284" si="167">F236</f>
        <v>Actual</v>
      </c>
      <c r="G279" s="644">
        <f>'Input - Customer Data'!P11</f>
        <v>31</v>
      </c>
      <c r="H279" s="680" t="str">
        <f t="shared" si="166"/>
        <v/>
      </c>
      <c r="I279" s="681"/>
      <c r="J279" s="710"/>
      <c r="K279" s="645" t="str">
        <f t="shared" ref="K279:K284" si="168">F279</f>
        <v>Actual</v>
      </c>
      <c r="L279" s="615"/>
      <c r="M279" s="615"/>
      <c r="N279" s="646" t="str">
        <f t="shared" ref="N279:N284" si="169">H279</f>
        <v/>
      </c>
      <c r="O279" s="681"/>
      <c r="P279" s="710"/>
      <c r="Q279" s="645" t="str">
        <f t="shared" ref="Q279:Q284" si="170">K279</f>
        <v>Actual</v>
      </c>
      <c r="R279" s="711">
        <f t="shared" ref="R279:R284" si="171">IF(G279=0,"",L279/G279)</f>
        <v>0</v>
      </c>
      <c r="S279" s="693">
        <f t="shared" ref="S279:S284" si="172">IF(G279=0,"",M279/G279)</f>
        <v>0</v>
      </c>
      <c r="T279" s="693" t="str">
        <f t="shared" ref="T279:T284" si="173">N279</f>
        <v/>
      </c>
      <c r="U279" s="693" t="str">
        <f t="shared" ref="U279:U284" si="174">IF(T279="","",IF(I279=0,"",O279/I279))</f>
        <v/>
      </c>
      <c r="V279" s="678"/>
    </row>
    <row r="280" spans="2:22" x14ac:dyDescent="0.2">
      <c r="C280" s="610" t="s">
        <v>278</v>
      </c>
      <c r="D280" s="611">
        <f t="shared" si="165"/>
        <v>2013</v>
      </c>
      <c r="E280" s="710"/>
      <c r="F280" s="647" t="str">
        <f t="shared" si="167"/>
        <v>Actual</v>
      </c>
      <c r="G280" s="644">
        <f>'Input - Customer Data'!P12</f>
        <v>31</v>
      </c>
      <c r="H280" s="680" t="str">
        <f t="shared" si="166"/>
        <v>Board-approved</v>
      </c>
      <c r="I280" s="616"/>
      <c r="J280" s="710"/>
      <c r="K280" s="645" t="str">
        <f t="shared" si="168"/>
        <v>Actual</v>
      </c>
      <c r="L280" s="615"/>
      <c r="M280" s="615"/>
      <c r="N280" s="646" t="str">
        <f t="shared" si="169"/>
        <v>Board-approved</v>
      </c>
      <c r="O280" s="616"/>
      <c r="P280" s="710"/>
      <c r="Q280" s="645" t="str">
        <f t="shared" si="170"/>
        <v>Actual</v>
      </c>
      <c r="R280" s="711">
        <f t="shared" si="171"/>
        <v>0</v>
      </c>
      <c r="S280" s="693">
        <f t="shared" si="172"/>
        <v>0</v>
      </c>
      <c r="T280" s="693" t="str">
        <f t="shared" si="173"/>
        <v>Board-approved</v>
      </c>
      <c r="U280" s="693" t="str">
        <f t="shared" si="174"/>
        <v/>
      </c>
      <c r="V280" s="678"/>
    </row>
    <row r="281" spans="2:22" x14ac:dyDescent="0.2">
      <c r="C281" s="610" t="s">
        <v>278</v>
      </c>
      <c r="D281" s="611">
        <f t="shared" si="165"/>
        <v>2014</v>
      </c>
      <c r="E281" s="710"/>
      <c r="F281" s="647" t="str">
        <f t="shared" si="167"/>
        <v>Actual</v>
      </c>
      <c r="G281" s="644">
        <f>'Input - Customer Data'!P13</f>
        <v>31</v>
      </c>
      <c r="H281" s="680" t="str">
        <f t="shared" si="166"/>
        <v/>
      </c>
      <c r="I281" s="681"/>
      <c r="J281" s="710"/>
      <c r="K281" s="645" t="str">
        <f t="shared" si="168"/>
        <v>Actual</v>
      </c>
      <c r="L281" s="615"/>
      <c r="M281" s="615"/>
      <c r="N281" s="646" t="str">
        <f t="shared" si="169"/>
        <v/>
      </c>
      <c r="O281" s="681"/>
      <c r="P281" s="710"/>
      <c r="Q281" s="645" t="str">
        <f t="shared" si="170"/>
        <v>Actual</v>
      </c>
      <c r="R281" s="711">
        <f t="shared" si="171"/>
        <v>0</v>
      </c>
      <c r="S281" s="693">
        <f t="shared" si="172"/>
        <v>0</v>
      </c>
      <c r="T281" s="693" t="str">
        <f t="shared" si="173"/>
        <v/>
      </c>
      <c r="U281" s="693" t="str">
        <f t="shared" si="174"/>
        <v/>
      </c>
      <c r="V281" s="678"/>
    </row>
    <row r="282" spans="2:22" x14ac:dyDescent="0.2">
      <c r="C282" s="610" t="s">
        <v>278</v>
      </c>
      <c r="D282" s="611">
        <f t="shared" si="165"/>
        <v>2015</v>
      </c>
      <c r="E282" s="710"/>
      <c r="F282" s="647" t="str">
        <f t="shared" si="167"/>
        <v>Actual</v>
      </c>
      <c r="G282" s="644">
        <f>'Input - Customer Data'!P14</f>
        <v>29</v>
      </c>
      <c r="H282" s="680" t="str">
        <f t="shared" si="166"/>
        <v/>
      </c>
      <c r="I282" s="681"/>
      <c r="J282" s="710"/>
      <c r="K282" s="645" t="str">
        <f t="shared" si="168"/>
        <v>Actual</v>
      </c>
      <c r="L282" s="615"/>
      <c r="M282" s="615"/>
      <c r="N282" s="646" t="str">
        <f t="shared" si="169"/>
        <v/>
      </c>
      <c r="O282" s="681"/>
      <c r="P282" s="710"/>
      <c r="Q282" s="645" t="str">
        <f t="shared" si="170"/>
        <v>Actual</v>
      </c>
      <c r="R282" s="711">
        <f t="shared" si="171"/>
        <v>0</v>
      </c>
      <c r="S282" s="693">
        <f t="shared" si="172"/>
        <v>0</v>
      </c>
      <c r="T282" s="693" t="str">
        <f t="shared" si="173"/>
        <v/>
      </c>
      <c r="U282" s="693" t="str">
        <f t="shared" si="174"/>
        <v/>
      </c>
      <c r="V282" s="678"/>
    </row>
    <row r="283" spans="2:22" x14ac:dyDescent="0.2">
      <c r="C283" s="610" t="s">
        <v>54</v>
      </c>
      <c r="D283" s="611">
        <f t="shared" si="165"/>
        <v>2016</v>
      </c>
      <c r="E283" s="710"/>
      <c r="F283" s="647" t="str">
        <f t="shared" si="167"/>
        <v>Forecast</v>
      </c>
      <c r="G283" s="644">
        <f>'Input - Customer Data'!P19</f>
        <v>28.759248664054667</v>
      </c>
      <c r="H283" s="680" t="str">
        <f t="shared" si="166"/>
        <v/>
      </c>
      <c r="I283" s="681"/>
      <c r="J283" s="710"/>
      <c r="K283" s="645" t="str">
        <f t="shared" si="168"/>
        <v>Forecast</v>
      </c>
      <c r="L283" s="682"/>
      <c r="M283" s="615"/>
      <c r="N283" s="646" t="str">
        <f t="shared" si="169"/>
        <v/>
      </c>
      <c r="O283" s="681"/>
      <c r="P283" s="710"/>
      <c r="Q283" s="645" t="str">
        <f t="shared" si="170"/>
        <v>Forecast</v>
      </c>
      <c r="R283" s="711">
        <f t="shared" si="171"/>
        <v>0</v>
      </c>
      <c r="S283" s="693">
        <f t="shared" si="172"/>
        <v>0</v>
      </c>
      <c r="T283" s="693" t="str">
        <f t="shared" si="173"/>
        <v/>
      </c>
      <c r="U283" s="693" t="str">
        <f t="shared" si="174"/>
        <v/>
      </c>
      <c r="V283" s="678"/>
    </row>
    <row r="284" spans="2:22" ht="13.5" thickBot="1" x14ac:dyDescent="0.25">
      <c r="C284" s="617" t="s">
        <v>53</v>
      </c>
      <c r="D284" s="618">
        <v>2017</v>
      </c>
      <c r="E284" s="677"/>
      <c r="F284" s="648" t="str">
        <f t="shared" si="167"/>
        <v>Forecast</v>
      </c>
      <c r="G284" s="649">
        <f>'Input - Customer Data'!P20</f>
        <v>28.520495990376901</v>
      </c>
      <c r="H284" s="685" t="str">
        <f t="shared" si="166"/>
        <v/>
      </c>
      <c r="I284" s="687"/>
      <c r="J284" s="677"/>
      <c r="K284" s="650" t="str">
        <f t="shared" si="168"/>
        <v>Forecast</v>
      </c>
      <c r="L284" s="686"/>
      <c r="M284" s="730"/>
      <c r="N284" s="651" t="str">
        <f t="shared" si="169"/>
        <v/>
      </c>
      <c r="O284" s="687"/>
      <c r="P284" s="677"/>
      <c r="Q284" s="650" t="str">
        <f t="shared" si="170"/>
        <v>Forecast</v>
      </c>
      <c r="R284" s="712">
        <f t="shared" si="171"/>
        <v>0</v>
      </c>
      <c r="S284" s="699">
        <f t="shared" si="172"/>
        <v>0</v>
      </c>
      <c r="T284" s="699" t="str">
        <f t="shared" si="173"/>
        <v/>
      </c>
      <c r="U284" s="699" t="str">
        <f t="shared" si="174"/>
        <v/>
      </c>
      <c r="V284" s="678"/>
    </row>
    <row r="285" spans="2:22" ht="13.5" thickBot="1" x14ac:dyDescent="0.25">
      <c r="B285" s="693"/>
      <c r="C285" s="652"/>
      <c r="I285" s="623">
        <f>SUM(I278:I283)</f>
        <v>0</v>
      </c>
      <c r="O285" s="623">
        <f>SUM(O278:O283)</f>
        <v>0</v>
      </c>
      <c r="U285" s="623">
        <f>SUM(U278:U283)</f>
        <v>0</v>
      </c>
    </row>
    <row r="286" spans="2:22" ht="39" thickBot="1" x14ac:dyDescent="0.25">
      <c r="C286" s="653" t="s">
        <v>279</v>
      </c>
      <c r="D286" s="654" t="s">
        <v>80</v>
      </c>
      <c r="E286" s="688"/>
      <c r="F286" s="688"/>
      <c r="G286" s="628" t="s">
        <v>280</v>
      </c>
      <c r="H286" s="688"/>
      <c r="I286" s="630" t="s">
        <v>287</v>
      </c>
      <c r="J286" s="713"/>
      <c r="K286" s="627" t="s">
        <v>80</v>
      </c>
      <c r="L286" s="816" t="s">
        <v>280</v>
      </c>
      <c r="M286" s="816"/>
      <c r="N286" s="688"/>
      <c r="O286" s="630" t="str">
        <f>I286</f>
        <v>Test Year Versus Board-approved</v>
      </c>
      <c r="P286" s="597"/>
      <c r="Q286" s="627" t="s">
        <v>80</v>
      </c>
      <c r="R286" s="816" t="s">
        <v>280</v>
      </c>
      <c r="S286" s="816"/>
      <c r="T286" s="688"/>
      <c r="U286" s="630" t="str">
        <f>O286</f>
        <v>Test Year Versus Board-approved</v>
      </c>
    </row>
    <row r="287" spans="2:22" x14ac:dyDescent="0.2">
      <c r="C287" s="710"/>
      <c r="D287" s="655">
        <f t="shared" ref="D287:D293" si="175">D278</f>
        <v>2011</v>
      </c>
      <c r="E287" s="693"/>
      <c r="F287" s="693"/>
      <c r="G287" s="714"/>
      <c r="H287" s="693"/>
      <c r="I287" s="715"/>
      <c r="J287" s="716"/>
      <c r="K287" s="611">
        <f>D287</f>
        <v>2011</v>
      </c>
      <c r="L287" s="695"/>
      <c r="M287" s="695"/>
      <c r="N287" s="693"/>
      <c r="O287" s="681"/>
      <c r="P287" s="710"/>
      <c r="Q287" s="611">
        <f>K287</f>
        <v>2011</v>
      </c>
      <c r="R287" s="717"/>
      <c r="S287" s="717"/>
      <c r="T287" s="693"/>
      <c r="U287" s="681"/>
    </row>
    <row r="288" spans="2:22" x14ac:dyDescent="0.2">
      <c r="C288" s="710"/>
      <c r="D288" s="656">
        <f t="shared" si="175"/>
        <v>2012</v>
      </c>
      <c r="E288" s="693"/>
      <c r="F288" s="693"/>
      <c r="G288" s="718">
        <f t="shared" ref="G288:G293" si="176">IF(G278=0,"",G279/G278-1)</f>
        <v>6.8965517241379226E-2</v>
      </c>
      <c r="H288" s="693"/>
      <c r="I288" s="715"/>
      <c r="J288" s="716"/>
      <c r="K288" s="611">
        <f t="shared" ref="K288:K294" si="177">D288</f>
        <v>2012</v>
      </c>
      <c r="L288" s="697" t="str">
        <f t="shared" ref="L288:M291" si="178">IF(L278=0,"",L279/L278-1)</f>
        <v/>
      </c>
      <c r="M288" s="697" t="str">
        <f t="shared" si="178"/>
        <v/>
      </c>
      <c r="N288" s="693"/>
      <c r="O288" s="681"/>
      <c r="P288" s="710"/>
      <c r="Q288" s="611">
        <f t="shared" ref="Q288:Q294" si="179">K288</f>
        <v>2012</v>
      </c>
      <c r="R288" s="719" t="str">
        <f>IF(R278="","",IF(R278=0,"",R279/R278-1))</f>
        <v/>
      </c>
      <c r="S288" s="719" t="str">
        <f>IF(S278="","",IF(S278=0,"",S279/S278-1))</f>
        <v/>
      </c>
      <c r="T288" s="693"/>
      <c r="U288" s="681"/>
    </row>
    <row r="289" spans="3:21" x14ac:dyDescent="0.2">
      <c r="C289" s="710"/>
      <c r="D289" s="656">
        <f t="shared" si="175"/>
        <v>2013</v>
      </c>
      <c r="E289" s="693"/>
      <c r="F289" s="693"/>
      <c r="G289" s="718">
        <f t="shared" si="176"/>
        <v>0</v>
      </c>
      <c r="H289" s="693"/>
      <c r="I289" s="715"/>
      <c r="J289" s="716"/>
      <c r="K289" s="611">
        <f t="shared" si="177"/>
        <v>2013</v>
      </c>
      <c r="L289" s="697" t="str">
        <f t="shared" si="178"/>
        <v/>
      </c>
      <c r="M289" s="697" t="str">
        <f t="shared" si="178"/>
        <v/>
      </c>
      <c r="N289" s="693"/>
      <c r="O289" s="681"/>
      <c r="P289" s="710"/>
      <c r="Q289" s="611">
        <f t="shared" si="179"/>
        <v>2013</v>
      </c>
      <c r="R289" s="719" t="str">
        <f t="shared" ref="R289:S293" si="180">IF(R279="","",IF(R279=0,"",R280/R279-1))</f>
        <v/>
      </c>
      <c r="S289" s="719" t="str">
        <f t="shared" si="180"/>
        <v/>
      </c>
      <c r="T289" s="693"/>
      <c r="U289" s="681"/>
    </row>
    <row r="290" spans="3:21" x14ac:dyDescent="0.2">
      <c r="C290" s="710"/>
      <c r="D290" s="656">
        <f t="shared" si="175"/>
        <v>2014</v>
      </c>
      <c r="E290" s="693"/>
      <c r="F290" s="693"/>
      <c r="G290" s="718">
        <f t="shared" si="176"/>
        <v>0</v>
      </c>
      <c r="H290" s="693"/>
      <c r="I290" s="715"/>
      <c r="J290" s="716"/>
      <c r="K290" s="611">
        <f t="shared" si="177"/>
        <v>2014</v>
      </c>
      <c r="L290" s="697" t="str">
        <f t="shared" si="178"/>
        <v/>
      </c>
      <c r="M290" s="697" t="str">
        <f t="shared" si="178"/>
        <v/>
      </c>
      <c r="N290" s="693"/>
      <c r="O290" s="681"/>
      <c r="P290" s="710"/>
      <c r="Q290" s="611">
        <f t="shared" si="179"/>
        <v>2014</v>
      </c>
      <c r="R290" s="719" t="str">
        <f t="shared" si="180"/>
        <v/>
      </c>
      <c r="S290" s="719" t="str">
        <f t="shared" si="180"/>
        <v/>
      </c>
      <c r="T290" s="693"/>
      <c r="U290" s="681"/>
    </row>
    <row r="291" spans="3:21" x14ac:dyDescent="0.2">
      <c r="C291" s="710"/>
      <c r="D291" s="656">
        <f t="shared" si="175"/>
        <v>2015</v>
      </c>
      <c r="E291" s="693"/>
      <c r="F291" s="693"/>
      <c r="G291" s="718">
        <f t="shared" si="176"/>
        <v>-6.4516129032258118E-2</v>
      </c>
      <c r="H291" s="693"/>
      <c r="I291" s="715"/>
      <c r="J291" s="716"/>
      <c r="K291" s="611">
        <f t="shared" si="177"/>
        <v>2015</v>
      </c>
      <c r="L291" s="697" t="str">
        <f t="shared" si="178"/>
        <v/>
      </c>
      <c r="M291" s="697" t="str">
        <f t="shared" si="178"/>
        <v/>
      </c>
      <c r="N291" s="693"/>
      <c r="O291" s="681"/>
      <c r="P291" s="710"/>
      <c r="Q291" s="611">
        <f t="shared" si="179"/>
        <v>2015</v>
      </c>
      <c r="R291" s="719" t="str">
        <f t="shared" si="180"/>
        <v/>
      </c>
      <c r="S291" s="719" t="str">
        <f t="shared" si="180"/>
        <v/>
      </c>
      <c r="T291" s="693"/>
      <c r="U291" s="681"/>
    </row>
    <row r="292" spans="3:21" x14ac:dyDescent="0.2">
      <c r="C292" s="710"/>
      <c r="D292" s="656">
        <f t="shared" si="175"/>
        <v>2016</v>
      </c>
      <c r="E292" s="693"/>
      <c r="F292" s="693"/>
      <c r="G292" s="718">
        <f t="shared" si="176"/>
        <v>-8.3017702050114384E-3</v>
      </c>
      <c r="H292" s="693"/>
      <c r="I292" s="715"/>
      <c r="J292" s="716"/>
      <c r="K292" s="611">
        <f t="shared" si="177"/>
        <v>2016</v>
      </c>
      <c r="L292" s="697" t="str">
        <f>IF(K283="Forecast","",IF(L282=0,"",L283/L282-1))</f>
        <v/>
      </c>
      <c r="M292" s="697" t="str">
        <f>IF(M282=0,"",M283/M282-1)</f>
        <v/>
      </c>
      <c r="N292" s="693"/>
      <c r="O292" s="681"/>
      <c r="P292" s="710"/>
      <c r="Q292" s="611">
        <f t="shared" si="179"/>
        <v>2016</v>
      </c>
      <c r="R292" s="719" t="str">
        <f>IF(Q283="Forecast","",IF(R282=0,"",R283/R282-1))</f>
        <v/>
      </c>
      <c r="S292" s="719" t="str">
        <f t="shared" si="180"/>
        <v/>
      </c>
      <c r="T292" s="693"/>
      <c r="U292" s="681"/>
    </row>
    <row r="293" spans="3:21" x14ac:dyDescent="0.2">
      <c r="C293" s="710"/>
      <c r="D293" s="656">
        <f t="shared" si="175"/>
        <v>2017</v>
      </c>
      <c r="E293" s="693"/>
      <c r="F293" s="693"/>
      <c r="G293" s="718">
        <f t="shared" si="176"/>
        <v>-8.3017702050115494E-3</v>
      </c>
      <c r="H293" s="693"/>
      <c r="I293" s="720" t="str">
        <f>IF(I285=0,"",G284/I285-1)</f>
        <v/>
      </c>
      <c r="J293" s="716"/>
      <c r="K293" s="611">
        <f t="shared" si="177"/>
        <v>2017</v>
      </c>
      <c r="L293" s="697" t="str">
        <f>IF(K284="Forecast","",IF(L283=0,"",L284/L283-1))</f>
        <v/>
      </c>
      <c r="M293" s="697" t="str">
        <f>IF(M283=0,"",M284/M283-1)</f>
        <v/>
      </c>
      <c r="N293" s="693"/>
      <c r="O293" s="698" t="str">
        <f>IF(O285=0,"",M284/O285-1)</f>
        <v/>
      </c>
      <c r="P293" s="710"/>
      <c r="Q293" s="611">
        <f t="shared" si="179"/>
        <v>2017</v>
      </c>
      <c r="R293" s="719" t="str">
        <f>IF(Q284="Forecast","",IF(R283=0,"",R284/R283-1))</f>
        <v/>
      </c>
      <c r="S293" s="719" t="str">
        <f t="shared" si="180"/>
        <v/>
      </c>
      <c r="T293" s="693"/>
      <c r="U293" s="698" t="str">
        <f>IF(U285=0,"",S284/U285-1)</f>
        <v/>
      </c>
    </row>
    <row r="294" spans="3:21" ht="26.25" thickBot="1" x14ac:dyDescent="0.25">
      <c r="C294" s="677"/>
      <c r="D294" s="721" t="s">
        <v>282</v>
      </c>
      <c r="E294" s="699"/>
      <c r="F294" s="699"/>
      <c r="G294" s="722" t="e">
        <f>IF(G278=0,"",GEOMEAN(G288:G293))</f>
        <v>#NUM!</v>
      </c>
      <c r="H294" s="699"/>
      <c r="I294" s="723" t="s">
        <v>312</v>
      </c>
      <c r="J294" s="702"/>
      <c r="K294" s="703" t="str">
        <f t="shared" si="177"/>
        <v>Geometric Mean</v>
      </c>
      <c r="L294" s="704"/>
      <c r="M294" s="704" t="str">
        <f>IF(M278=0,"",(M284/M278)^(1/(K293-K287-1)-1))</f>
        <v/>
      </c>
      <c r="N294" s="699"/>
      <c r="O294" s="705" t="s">
        <v>312</v>
      </c>
      <c r="P294" s="677"/>
      <c r="Q294" s="703" t="str">
        <f t="shared" si="179"/>
        <v>Geometric Mean</v>
      </c>
      <c r="R294" s="724"/>
      <c r="S294" s="704" t="str">
        <f>IF(S278="","",IF(S278=0,"",(S284/S278)^(1/(Q293-Q287-1)-1)))</f>
        <v/>
      </c>
      <c r="T294" s="699"/>
      <c r="U294" s="705" t="s">
        <v>312</v>
      </c>
    </row>
    <row r="296" spans="3:21" ht="13.5" thickBot="1" x14ac:dyDescent="0.25">
      <c r="Q296" s="699"/>
      <c r="R296" s="699"/>
      <c r="S296" s="699"/>
      <c r="T296" s="699"/>
      <c r="U296" s="699"/>
    </row>
    <row r="297" spans="3:21" x14ac:dyDescent="0.2">
      <c r="C297" s="597"/>
      <c r="D297" s="598" t="s">
        <v>274</v>
      </c>
      <c r="E297" s="598"/>
      <c r="F297" s="829" t="s">
        <v>240</v>
      </c>
      <c r="G297" s="830"/>
      <c r="H297" s="830"/>
      <c r="I297" s="831"/>
      <c r="K297" s="812" t="str">
        <f>IF(ISBLANK(N274),"",CONCATENATE("Demand (",N274,")"))</f>
        <v/>
      </c>
      <c r="L297" s="813"/>
      <c r="M297" s="813"/>
      <c r="N297" s="813"/>
      <c r="O297" s="814"/>
      <c r="Q297" s="823" t="str">
        <f>CONCATENATE("Demand (",N274,") per ",LEFT(F276,LEN(F276)-1))</f>
        <v>Demand () per Customer</v>
      </c>
      <c r="R297" s="824"/>
      <c r="S297" s="824"/>
      <c r="T297" s="824"/>
      <c r="U297" s="825"/>
    </row>
    <row r="298" spans="3:21" ht="39" thickBot="1" x14ac:dyDescent="0.25">
      <c r="C298" s="677"/>
      <c r="D298" s="602" t="s">
        <v>311</v>
      </c>
      <c r="E298" s="610"/>
      <c r="F298" s="826"/>
      <c r="G298" s="827"/>
      <c r="H298" s="827"/>
      <c r="I298" s="638"/>
      <c r="K298" s="606"/>
      <c r="L298" s="607" t="s">
        <v>276</v>
      </c>
      <c r="M298" s="607" t="s">
        <v>277</v>
      </c>
      <c r="N298" s="608"/>
      <c r="O298" s="609" t="str">
        <f>M298</f>
        <v>Weather-normalized</v>
      </c>
      <c r="Q298" s="657"/>
      <c r="R298" s="607" t="str">
        <f>L298</f>
        <v>Actual (Weather actual)</v>
      </c>
      <c r="S298" s="607" t="str">
        <f>M298</f>
        <v>Weather-normalized</v>
      </c>
      <c r="T298" s="607"/>
      <c r="U298" s="658" t="str">
        <f>O298</f>
        <v>Weather-normalized</v>
      </c>
    </row>
    <row r="299" spans="3:21" x14ac:dyDescent="0.2">
      <c r="C299" s="610" t="s">
        <v>278</v>
      </c>
      <c r="D299" s="611">
        <f t="shared" ref="D299:D304" si="181">D300-1</f>
        <v>2011</v>
      </c>
      <c r="E299" s="710"/>
      <c r="F299" s="643" t="str">
        <f t="shared" ref="F299:F305" si="182">F278</f>
        <v>Actual</v>
      </c>
      <c r="G299" s="659"/>
      <c r="H299" s="679" t="str">
        <f t="shared" ref="H299:H305" si="183">IF(D299=2013,"Board-approved","")</f>
        <v/>
      </c>
      <c r="I299" s="725"/>
      <c r="K299" s="645" t="str">
        <f t="shared" ref="K299:K305" si="184">K278</f>
        <v>Actual</v>
      </c>
      <c r="L299" s="615"/>
      <c r="M299" s="615"/>
      <c r="N299" s="646" t="str">
        <f t="shared" ref="N299:N305" si="185">N278</f>
        <v/>
      </c>
      <c r="O299" s="681"/>
      <c r="Q299" s="645" t="str">
        <f>K299</f>
        <v>Actual</v>
      </c>
      <c r="R299" s="693" t="str">
        <f>IF(G299=0,"",L299/G299)</f>
        <v/>
      </c>
      <c r="S299" s="678" t="str">
        <f>IF(G299=0,"",M299/G299)</f>
        <v/>
      </c>
      <c r="T299" s="678" t="str">
        <f>N299</f>
        <v/>
      </c>
      <c r="U299" s="710" t="str">
        <f>IF(T299="","",IF(I299=0,"",O299/I299))</f>
        <v/>
      </c>
    </row>
    <row r="300" spans="3:21" x14ac:dyDescent="0.2">
      <c r="C300" s="610" t="s">
        <v>278</v>
      </c>
      <c r="D300" s="611">
        <f t="shared" si="181"/>
        <v>2012</v>
      </c>
      <c r="E300" s="710"/>
      <c r="F300" s="647" t="str">
        <f t="shared" si="182"/>
        <v>Actual</v>
      </c>
      <c r="G300" s="659"/>
      <c r="H300" s="679" t="str">
        <f t="shared" si="183"/>
        <v/>
      </c>
      <c r="I300" s="681"/>
      <c r="K300" s="645" t="str">
        <f t="shared" si="184"/>
        <v>Actual</v>
      </c>
      <c r="L300" s="615"/>
      <c r="M300" s="615"/>
      <c r="N300" s="646" t="str">
        <f t="shared" si="185"/>
        <v/>
      </c>
      <c r="O300" s="681"/>
      <c r="Q300" s="645" t="str">
        <f t="shared" ref="Q300:Q305" si="186">K300</f>
        <v>Actual</v>
      </c>
      <c r="R300" s="693" t="str">
        <f t="shared" ref="R300:R305" si="187">IF(G300=0,"",L300/G300)</f>
        <v/>
      </c>
      <c r="S300" s="678" t="str">
        <f t="shared" ref="S300:S305" si="188">IF(G300=0,"",M300/G300)</f>
        <v/>
      </c>
      <c r="T300" s="678" t="str">
        <f t="shared" ref="T300:T305" si="189">N300</f>
        <v/>
      </c>
      <c r="U300" s="710" t="str">
        <f t="shared" ref="U300:U305" si="190">IF(T300="","",IF(I300=0,"",O300/I300))</f>
        <v/>
      </c>
    </row>
    <row r="301" spans="3:21" x14ac:dyDescent="0.2">
      <c r="C301" s="610" t="s">
        <v>278</v>
      </c>
      <c r="D301" s="611">
        <f t="shared" si="181"/>
        <v>2013</v>
      </c>
      <c r="E301" s="710"/>
      <c r="F301" s="647" t="str">
        <f t="shared" si="182"/>
        <v>Actual</v>
      </c>
      <c r="G301" s="659"/>
      <c r="H301" s="679" t="str">
        <f t="shared" si="183"/>
        <v>Board-approved</v>
      </c>
      <c r="I301" s="660"/>
      <c r="K301" s="645" t="str">
        <f t="shared" si="184"/>
        <v>Actual</v>
      </c>
      <c r="L301" s="615"/>
      <c r="M301" s="615"/>
      <c r="N301" s="646" t="str">
        <f t="shared" si="185"/>
        <v>Board-approved</v>
      </c>
      <c r="O301" s="616"/>
      <c r="Q301" s="645" t="str">
        <f t="shared" si="186"/>
        <v>Actual</v>
      </c>
      <c r="R301" s="693" t="str">
        <f t="shared" si="187"/>
        <v/>
      </c>
      <c r="S301" s="678" t="str">
        <f t="shared" si="188"/>
        <v/>
      </c>
      <c r="T301" s="678" t="str">
        <f t="shared" si="189"/>
        <v>Board-approved</v>
      </c>
      <c r="U301" s="710" t="str">
        <f t="shared" si="190"/>
        <v/>
      </c>
    </row>
    <row r="302" spans="3:21" x14ac:dyDescent="0.2">
      <c r="C302" s="610" t="s">
        <v>278</v>
      </c>
      <c r="D302" s="611">
        <f t="shared" si="181"/>
        <v>2014</v>
      </c>
      <c r="E302" s="710"/>
      <c r="F302" s="647" t="str">
        <f t="shared" si="182"/>
        <v>Actual</v>
      </c>
      <c r="G302" s="659"/>
      <c r="H302" s="679" t="str">
        <f t="shared" si="183"/>
        <v/>
      </c>
      <c r="I302" s="681"/>
      <c r="K302" s="645" t="str">
        <f t="shared" si="184"/>
        <v>Actual</v>
      </c>
      <c r="L302" s="615"/>
      <c r="M302" s="615"/>
      <c r="N302" s="646" t="str">
        <f t="shared" si="185"/>
        <v/>
      </c>
      <c r="O302" s="681"/>
      <c r="Q302" s="645" t="str">
        <f t="shared" si="186"/>
        <v>Actual</v>
      </c>
      <c r="R302" s="693" t="str">
        <f t="shared" si="187"/>
        <v/>
      </c>
      <c r="S302" s="678" t="str">
        <f t="shared" si="188"/>
        <v/>
      </c>
      <c r="T302" s="678" t="str">
        <f t="shared" si="189"/>
        <v/>
      </c>
      <c r="U302" s="710" t="str">
        <f t="shared" si="190"/>
        <v/>
      </c>
    </row>
    <row r="303" spans="3:21" x14ac:dyDescent="0.2">
      <c r="C303" s="610" t="s">
        <v>278</v>
      </c>
      <c r="D303" s="611">
        <f t="shared" si="181"/>
        <v>2015</v>
      </c>
      <c r="E303" s="710"/>
      <c r="F303" s="647" t="str">
        <f t="shared" si="182"/>
        <v>Actual</v>
      </c>
      <c r="G303" s="659"/>
      <c r="H303" s="679" t="str">
        <f t="shared" si="183"/>
        <v/>
      </c>
      <c r="I303" s="681"/>
      <c r="K303" s="645" t="str">
        <f t="shared" si="184"/>
        <v>Actual</v>
      </c>
      <c r="L303" s="615"/>
      <c r="M303" s="615"/>
      <c r="N303" s="646" t="str">
        <f t="shared" si="185"/>
        <v/>
      </c>
      <c r="O303" s="681"/>
      <c r="Q303" s="645" t="str">
        <f t="shared" si="186"/>
        <v>Actual</v>
      </c>
      <c r="R303" s="693" t="str">
        <f t="shared" si="187"/>
        <v/>
      </c>
      <c r="S303" s="678" t="str">
        <f t="shared" si="188"/>
        <v/>
      </c>
      <c r="T303" s="678" t="str">
        <f t="shared" si="189"/>
        <v/>
      </c>
      <c r="U303" s="710" t="str">
        <f t="shared" si="190"/>
        <v/>
      </c>
    </row>
    <row r="304" spans="3:21" x14ac:dyDescent="0.2">
      <c r="C304" s="610" t="s">
        <v>288</v>
      </c>
      <c r="D304" s="611">
        <f t="shared" si="181"/>
        <v>2016</v>
      </c>
      <c r="E304" s="710"/>
      <c r="F304" s="647" t="str">
        <f t="shared" si="182"/>
        <v>Forecast</v>
      </c>
      <c r="G304" s="659"/>
      <c r="H304" s="679" t="str">
        <f t="shared" si="183"/>
        <v/>
      </c>
      <c r="I304" s="681"/>
      <c r="K304" s="645" t="str">
        <f t="shared" si="184"/>
        <v>Forecast</v>
      </c>
      <c r="L304" s="682"/>
      <c r="M304" s="726"/>
      <c r="N304" s="646" t="str">
        <f t="shared" si="185"/>
        <v/>
      </c>
      <c r="O304" s="681"/>
      <c r="Q304" s="645" t="str">
        <f t="shared" si="186"/>
        <v>Forecast</v>
      </c>
      <c r="R304" s="693" t="str">
        <f t="shared" si="187"/>
        <v/>
      </c>
      <c r="S304" s="678" t="str">
        <f t="shared" si="188"/>
        <v/>
      </c>
      <c r="T304" s="678" t="str">
        <f t="shared" si="189"/>
        <v/>
      </c>
      <c r="U304" s="710" t="str">
        <f t="shared" si="190"/>
        <v/>
      </c>
    </row>
    <row r="305" spans="2:22" ht="13.5" thickBot="1" x14ac:dyDescent="0.25">
      <c r="C305" s="617" t="s">
        <v>289</v>
      </c>
      <c r="D305" s="618">
        <v>2017</v>
      </c>
      <c r="E305" s="677"/>
      <c r="F305" s="648" t="str">
        <f t="shared" si="182"/>
        <v>Forecast</v>
      </c>
      <c r="G305" s="661"/>
      <c r="H305" s="684" t="str">
        <f t="shared" si="183"/>
        <v/>
      </c>
      <c r="I305" s="687"/>
      <c r="K305" s="650" t="str">
        <f t="shared" si="184"/>
        <v>Forecast</v>
      </c>
      <c r="L305" s="686"/>
      <c r="M305" s="727"/>
      <c r="N305" s="651" t="str">
        <f t="shared" si="185"/>
        <v/>
      </c>
      <c r="O305" s="687"/>
      <c r="Q305" s="728" t="str">
        <f t="shared" si="186"/>
        <v>Forecast</v>
      </c>
      <c r="R305" s="683" t="str">
        <f t="shared" si="187"/>
        <v/>
      </c>
      <c r="S305" s="683" t="str">
        <f t="shared" si="188"/>
        <v/>
      </c>
      <c r="T305" s="683" t="str">
        <f t="shared" si="189"/>
        <v/>
      </c>
      <c r="U305" s="677" t="str">
        <f t="shared" si="190"/>
        <v/>
      </c>
    </row>
    <row r="306" spans="2:22" ht="13.5" thickBot="1" x14ac:dyDescent="0.25">
      <c r="C306" s="652"/>
      <c r="I306" s="623">
        <f>SUM(I299:I304)</f>
        <v>0</v>
      </c>
      <c r="J306" s="693"/>
      <c r="O306" s="623">
        <f>SUM(O299:O304)</f>
        <v>0</v>
      </c>
      <c r="U306" s="623">
        <f>SUM(U299:U304)</f>
        <v>0</v>
      </c>
    </row>
    <row r="307" spans="2:22" ht="39" thickBot="1" x14ac:dyDescent="0.25">
      <c r="C307" s="653" t="s">
        <v>279</v>
      </c>
      <c r="D307" s="654" t="s">
        <v>80</v>
      </c>
      <c r="E307" s="628"/>
      <c r="F307" s="628"/>
      <c r="G307" s="628" t="s">
        <v>280</v>
      </c>
      <c r="H307" s="628"/>
      <c r="I307" s="630" t="str">
        <f>I286</f>
        <v>Test Year Versus Board-approved</v>
      </c>
      <c r="J307" s="662"/>
      <c r="K307" s="627" t="s">
        <v>80</v>
      </c>
      <c r="L307" s="816" t="s">
        <v>280</v>
      </c>
      <c r="M307" s="816"/>
      <c r="N307" s="628"/>
      <c r="O307" s="630" t="str">
        <f>I307</f>
        <v>Test Year Versus Board-approved</v>
      </c>
      <c r="P307" s="663"/>
      <c r="Q307" s="627" t="s">
        <v>80</v>
      </c>
      <c r="R307" s="816" t="s">
        <v>280</v>
      </c>
      <c r="S307" s="816"/>
      <c r="T307" s="628"/>
      <c r="U307" s="630" t="str">
        <f>O307</f>
        <v>Test Year Versus Board-approved</v>
      </c>
    </row>
    <row r="308" spans="2:22" x14ac:dyDescent="0.2">
      <c r="C308" s="710"/>
      <c r="D308" s="664">
        <f t="shared" ref="D308:D314" si="191">D299</f>
        <v>2011</v>
      </c>
      <c r="E308" s="690"/>
      <c r="F308" s="693"/>
      <c r="G308" s="714"/>
      <c r="H308" s="693"/>
      <c r="I308" s="715"/>
      <c r="J308" s="710"/>
      <c r="K308" s="611">
        <f>D308</f>
        <v>2011</v>
      </c>
      <c r="L308" s="695"/>
      <c r="M308" s="695"/>
      <c r="N308" s="693"/>
      <c r="O308" s="616"/>
      <c r="P308" s="710"/>
      <c r="Q308" s="611">
        <f>K308</f>
        <v>2011</v>
      </c>
      <c r="R308" s="717"/>
      <c r="S308" s="717"/>
      <c r="T308" s="693"/>
      <c r="U308" s="681"/>
    </row>
    <row r="309" spans="2:22" ht="6" customHeight="1" x14ac:dyDescent="0.2">
      <c r="C309" s="710"/>
      <c r="D309" s="656">
        <f t="shared" si="191"/>
        <v>2012</v>
      </c>
      <c r="E309" s="693"/>
      <c r="F309" s="693"/>
      <c r="G309" s="718" t="str">
        <f t="shared" ref="G309:G314" si="192">IF(G299=0,"",G300/G299-1)</f>
        <v/>
      </c>
      <c r="H309" s="693"/>
      <c r="I309" s="715"/>
      <c r="J309" s="710"/>
      <c r="K309" s="611">
        <f t="shared" ref="K309:K315" si="193">D309</f>
        <v>2012</v>
      </c>
      <c r="L309" s="697" t="str">
        <f>IF(L299=0,"",L300/L299-1)</f>
        <v/>
      </c>
      <c r="M309" s="697" t="str">
        <f>IF(M299=0,"",M300/M299-1)</f>
        <v/>
      </c>
      <c r="N309" s="693"/>
      <c r="O309" s="616"/>
      <c r="P309" s="710"/>
      <c r="Q309" s="611">
        <f t="shared" ref="Q309:Q315" si="194">K309</f>
        <v>2012</v>
      </c>
      <c r="R309" s="719" t="str">
        <f>IF(R299="","",IF(R299=0,"",R300/R299-1))</f>
        <v/>
      </c>
      <c r="S309" s="719" t="str">
        <f>IF(S299="","",IF(S299=0,"",S300/S299-1))</f>
        <v/>
      </c>
      <c r="T309" s="693"/>
      <c r="U309" s="681"/>
    </row>
    <row r="310" spans="2:22" ht="31.5" customHeight="1" x14ac:dyDescent="0.2">
      <c r="C310" s="710"/>
      <c r="D310" s="665">
        <f t="shared" si="191"/>
        <v>2013</v>
      </c>
      <c r="E310" s="693"/>
      <c r="F310" s="693"/>
      <c r="G310" s="718" t="str">
        <f t="shared" si="192"/>
        <v/>
      </c>
      <c r="H310" s="693"/>
      <c r="I310" s="715"/>
      <c r="J310" s="710"/>
      <c r="K310" s="611">
        <f t="shared" si="193"/>
        <v>2013</v>
      </c>
      <c r="L310" s="697" t="str">
        <f t="shared" ref="L310:M314" si="195">IF(L300=0,"",L301/L300-1)</f>
        <v/>
      </c>
      <c r="M310" s="697" t="str">
        <f t="shared" si="195"/>
        <v/>
      </c>
      <c r="N310" s="693"/>
      <c r="O310" s="616"/>
      <c r="P310" s="710"/>
      <c r="Q310" s="611">
        <f t="shared" si="194"/>
        <v>2013</v>
      </c>
      <c r="R310" s="719" t="str">
        <f t="shared" ref="R310:S314" si="196">IF(R300="","",IF(R300=0,"",R301/R300-1))</f>
        <v/>
      </c>
      <c r="S310" s="719" t="str">
        <f t="shared" si="196"/>
        <v/>
      </c>
      <c r="T310" s="693"/>
      <c r="U310" s="681"/>
    </row>
    <row r="311" spans="2:22" ht="30.75" customHeight="1" x14ac:dyDescent="0.2">
      <c r="C311" s="710"/>
      <c r="D311" s="656">
        <f t="shared" si="191"/>
        <v>2014</v>
      </c>
      <c r="E311" s="693"/>
      <c r="F311" s="693"/>
      <c r="G311" s="718" t="str">
        <f t="shared" si="192"/>
        <v/>
      </c>
      <c r="H311" s="693"/>
      <c r="I311" s="715"/>
      <c r="J311" s="710"/>
      <c r="K311" s="611">
        <f t="shared" si="193"/>
        <v>2014</v>
      </c>
      <c r="L311" s="697" t="str">
        <f t="shared" si="195"/>
        <v/>
      </c>
      <c r="M311" s="697" t="str">
        <f t="shared" si="195"/>
        <v/>
      </c>
      <c r="N311" s="693"/>
      <c r="O311" s="616"/>
      <c r="P311" s="710"/>
      <c r="Q311" s="611">
        <f t="shared" si="194"/>
        <v>2014</v>
      </c>
      <c r="R311" s="719" t="str">
        <f t="shared" si="196"/>
        <v/>
      </c>
      <c r="S311" s="719" t="str">
        <f t="shared" si="196"/>
        <v/>
      </c>
      <c r="T311" s="693"/>
      <c r="U311" s="681"/>
    </row>
    <row r="312" spans="2:22" ht="15" customHeight="1" x14ac:dyDescent="0.2">
      <c r="C312" s="710"/>
      <c r="D312" s="656">
        <f t="shared" si="191"/>
        <v>2015</v>
      </c>
      <c r="E312" s="693"/>
      <c r="F312" s="693"/>
      <c r="G312" s="718" t="str">
        <f t="shared" si="192"/>
        <v/>
      </c>
      <c r="H312" s="693"/>
      <c r="I312" s="715"/>
      <c r="J312" s="710"/>
      <c r="K312" s="611">
        <f t="shared" si="193"/>
        <v>2015</v>
      </c>
      <c r="L312" s="697" t="str">
        <f t="shared" si="195"/>
        <v/>
      </c>
      <c r="M312" s="697" t="str">
        <f t="shared" si="195"/>
        <v/>
      </c>
      <c r="N312" s="693"/>
      <c r="O312" s="616"/>
      <c r="P312" s="710"/>
      <c r="Q312" s="611">
        <f t="shared" si="194"/>
        <v>2015</v>
      </c>
      <c r="R312" s="719" t="str">
        <f t="shared" si="196"/>
        <v/>
      </c>
      <c r="S312" s="719" t="str">
        <f t="shared" si="196"/>
        <v/>
      </c>
      <c r="T312" s="693"/>
      <c r="U312" s="681"/>
    </row>
    <row r="313" spans="2:22" ht="15" customHeight="1" x14ac:dyDescent="0.2">
      <c r="C313" s="710"/>
      <c r="D313" s="656">
        <f t="shared" si="191"/>
        <v>2016</v>
      </c>
      <c r="E313" s="693"/>
      <c r="F313" s="693"/>
      <c r="G313" s="718" t="str">
        <f t="shared" si="192"/>
        <v/>
      </c>
      <c r="H313" s="693"/>
      <c r="I313" s="715"/>
      <c r="J313" s="710"/>
      <c r="K313" s="611">
        <f t="shared" si="193"/>
        <v>2016</v>
      </c>
      <c r="L313" s="697" t="str">
        <f>IF(K304="Forecast","",IF(L303=0,"",L304/L303-1))</f>
        <v/>
      </c>
      <c r="M313" s="697" t="str">
        <f t="shared" si="195"/>
        <v/>
      </c>
      <c r="N313" s="693"/>
      <c r="O313" s="616"/>
      <c r="P313" s="710"/>
      <c r="Q313" s="611">
        <f t="shared" si="194"/>
        <v>2016</v>
      </c>
      <c r="R313" s="719" t="str">
        <f>IF(Q304="Forecast","",IF(R303=0,"",R304/R303-1))</f>
        <v/>
      </c>
      <c r="S313" s="719" t="str">
        <f t="shared" si="196"/>
        <v/>
      </c>
      <c r="T313" s="693"/>
      <c r="U313" s="681"/>
    </row>
    <row r="314" spans="2:22" x14ac:dyDescent="0.2">
      <c r="C314" s="710"/>
      <c r="D314" s="665">
        <f t="shared" si="191"/>
        <v>2017</v>
      </c>
      <c r="E314" s="693"/>
      <c r="F314" s="693"/>
      <c r="G314" s="718" t="str">
        <f t="shared" si="192"/>
        <v/>
      </c>
      <c r="H314" s="693"/>
      <c r="I314" s="720" t="str">
        <f>IF(I306=0,"",G305/I306-1)</f>
        <v/>
      </c>
      <c r="J314" s="710"/>
      <c r="K314" s="611">
        <f t="shared" si="193"/>
        <v>2017</v>
      </c>
      <c r="L314" s="697" t="str">
        <f>IF(K305="Forecast","",IF(L304=0,"",L305/L304-1))</f>
        <v/>
      </c>
      <c r="M314" s="697" t="str">
        <f t="shared" si="195"/>
        <v/>
      </c>
      <c r="N314" s="693"/>
      <c r="O314" s="729" t="str">
        <f>IF(O306=0,"",M305/O306-1)</f>
        <v/>
      </c>
      <c r="P314" s="710"/>
      <c r="Q314" s="611">
        <f t="shared" si="194"/>
        <v>2017</v>
      </c>
      <c r="R314" s="719" t="str">
        <f>IF(Q305="Forecast","",IF(R304=0,"",R305/R304-1))</f>
        <v/>
      </c>
      <c r="S314" s="719" t="str">
        <f t="shared" si="196"/>
        <v/>
      </c>
      <c r="T314" s="693"/>
      <c r="U314" s="698" t="str">
        <f>IF(U306=0,"",S305/U306-1)</f>
        <v/>
      </c>
    </row>
    <row r="315" spans="2:22" ht="26.25" thickBot="1" x14ac:dyDescent="0.25">
      <c r="C315" s="677"/>
      <c r="D315" s="721" t="s">
        <v>282</v>
      </c>
      <c r="E315" s="699"/>
      <c r="F315" s="699"/>
      <c r="G315" s="722" t="str">
        <f>IF(G299=0,"",GEOMEAN(G309:G314))</f>
        <v/>
      </c>
      <c r="H315" s="699"/>
      <c r="I315" s="705" t="s">
        <v>312</v>
      </c>
      <c r="J315" s="710"/>
      <c r="K315" s="703" t="str">
        <f t="shared" si="193"/>
        <v>Geometric Mean</v>
      </c>
      <c r="L315" s="704"/>
      <c r="M315" s="704" t="str">
        <f>IF(M299=0,"",GEOMEAN(M309:M314))</f>
        <v/>
      </c>
      <c r="N315" s="699"/>
      <c r="O315" s="705" t="s">
        <v>312</v>
      </c>
      <c r="P315" s="677"/>
      <c r="Q315" s="703" t="str">
        <f t="shared" si="194"/>
        <v>Geometric Mean</v>
      </c>
      <c r="R315" s="724"/>
      <c r="S315" s="704" t="str">
        <f>IF(S299="","",IF(S299=0,"",(S305/S299)^(1/(Q314-Q308-1)-1)))</f>
        <v/>
      </c>
      <c r="T315" s="699"/>
      <c r="U315" s="705" t="s">
        <v>312</v>
      </c>
    </row>
    <row r="316" spans="2:22" ht="13.5" thickBot="1" x14ac:dyDescent="0.25"/>
    <row r="317" spans="2:22" ht="13.5" thickBot="1" x14ac:dyDescent="0.25">
      <c r="B317" s="635">
        <f>B274+1</f>
        <v>7</v>
      </c>
      <c r="C317" s="636" t="s">
        <v>284</v>
      </c>
      <c r="D317" s="817" t="s">
        <v>60</v>
      </c>
      <c r="E317" s="818"/>
      <c r="F317" s="819"/>
      <c r="G317" s="707"/>
      <c r="H317" s="12" t="s">
        <v>285</v>
      </c>
      <c r="N317" s="708"/>
      <c r="O317" s="709"/>
      <c r="P317" s="709"/>
      <c r="Q317" s="709"/>
      <c r="R317" s="709"/>
      <c r="S317" s="709"/>
      <c r="T317" s="709"/>
      <c r="U317" s="709"/>
    </row>
    <row r="318" spans="2:22" ht="13.5" thickBot="1" x14ac:dyDescent="0.25">
      <c r="Q318" s="699"/>
      <c r="R318" s="699"/>
      <c r="S318" s="699"/>
      <c r="T318" s="699"/>
      <c r="U318" s="699"/>
    </row>
    <row r="319" spans="2:22" x14ac:dyDescent="0.2">
      <c r="C319" s="597"/>
      <c r="D319" s="598" t="s">
        <v>274</v>
      </c>
      <c r="E319" s="598"/>
      <c r="F319" s="820" t="s">
        <v>286</v>
      </c>
      <c r="G319" s="821"/>
      <c r="H319" s="821"/>
      <c r="I319" s="822"/>
      <c r="J319" s="598"/>
      <c r="K319" s="812" t="s">
        <v>275</v>
      </c>
      <c r="L319" s="813"/>
      <c r="M319" s="813"/>
      <c r="N319" s="813"/>
      <c r="O319" s="814"/>
      <c r="P319" s="599"/>
      <c r="Q319" s="823" t="str">
        <f>CONCATENATE("Consumption (kWh) per ",LEFT(F319,LEN(F319)-1))</f>
        <v>Consumption (kWh) per Customer</v>
      </c>
      <c r="R319" s="824"/>
      <c r="S319" s="824"/>
      <c r="T319" s="824"/>
      <c r="U319" s="825"/>
      <c r="V319" s="637"/>
    </row>
    <row r="320" spans="2:22" ht="39" thickBot="1" x14ac:dyDescent="0.25">
      <c r="C320" s="677"/>
      <c r="D320" s="602" t="s">
        <v>311</v>
      </c>
      <c r="E320" s="610"/>
      <c r="F320" s="826"/>
      <c r="G320" s="827"/>
      <c r="H320" s="828"/>
      <c r="I320" s="638"/>
      <c r="J320" s="610"/>
      <c r="K320" s="606"/>
      <c r="L320" s="607" t="s">
        <v>276</v>
      </c>
      <c r="M320" s="607" t="s">
        <v>277</v>
      </c>
      <c r="N320" s="608"/>
      <c r="O320" s="609" t="s">
        <v>277</v>
      </c>
      <c r="P320" s="610"/>
      <c r="Q320" s="639"/>
      <c r="R320" s="640" t="str">
        <f>L320</f>
        <v>Actual (Weather actual)</v>
      </c>
      <c r="S320" s="641" t="str">
        <f>M320</f>
        <v>Weather-normalized</v>
      </c>
      <c r="T320" s="641"/>
      <c r="U320" s="642" t="str">
        <f>O320</f>
        <v>Weather-normalized</v>
      </c>
      <c r="V320" s="637"/>
    </row>
    <row r="321" spans="2:22" x14ac:dyDescent="0.2">
      <c r="C321" s="610" t="s">
        <v>278</v>
      </c>
      <c r="D321" s="611">
        <f t="shared" ref="D321:D326" si="197">D322-1</f>
        <v>2011</v>
      </c>
      <c r="E321" s="710"/>
      <c r="F321" s="643" t="str">
        <f>F278</f>
        <v>Actual</v>
      </c>
      <c r="G321" s="644">
        <f>'Input - Customer Data'!R10</f>
        <v>1688</v>
      </c>
      <c r="H321" s="680" t="str">
        <f t="shared" ref="H321:H327" si="198">IF(D321=2013,"Board-approved","")</f>
        <v/>
      </c>
      <c r="I321" s="681"/>
      <c r="J321" s="710"/>
      <c r="K321" s="645" t="str">
        <f>F321</f>
        <v>Actual</v>
      </c>
      <c r="L321" s="615"/>
      <c r="M321" s="615"/>
      <c r="N321" s="646" t="str">
        <f>H321</f>
        <v/>
      </c>
      <c r="O321" s="681"/>
      <c r="P321" s="710"/>
      <c r="Q321" s="645" t="str">
        <f>K321</f>
        <v>Actual</v>
      </c>
      <c r="R321" s="711">
        <f>IF(G321=0,"",L321/G321)</f>
        <v>0</v>
      </c>
      <c r="S321" s="693">
        <f>IF(G321=0,"",M321/G321)</f>
        <v>0</v>
      </c>
      <c r="T321" s="693" t="str">
        <f>N321</f>
        <v/>
      </c>
      <c r="U321" s="693" t="str">
        <f>IF(T321="","",IF(I321=0,"",O321/I321))</f>
        <v/>
      </c>
      <c r="V321" s="678"/>
    </row>
    <row r="322" spans="2:22" x14ac:dyDescent="0.2">
      <c r="C322" s="610" t="s">
        <v>278</v>
      </c>
      <c r="D322" s="611">
        <f t="shared" si="197"/>
        <v>2012</v>
      </c>
      <c r="E322" s="710"/>
      <c r="F322" s="647" t="str">
        <f t="shared" ref="F322:F327" si="199">F279</f>
        <v>Actual</v>
      </c>
      <c r="G322" s="644">
        <f>'Input - Customer Data'!R11</f>
        <v>1696</v>
      </c>
      <c r="H322" s="680" t="str">
        <f t="shared" si="198"/>
        <v/>
      </c>
      <c r="I322" s="681"/>
      <c r="J322" s="710"/>
      <c r="K322" s="645" t="str">
        <f t="shared" ref="K322:K327" si="200">F322</f>
        <v>Actual</v>
      </c>
      <c r="L322" s="615"/>
      <c r="M322" s="615"/>
      <c r="N322" s="646" t="str">
        <f t="shared" ref="N322:N327" si="201">H322</f>
        <v/>
      </c>
      <c r="O322" s="681"/>
      <c r="P322" s="710"/>
      <c r="Q322" s="645" t="str">
        <f t="shared" ref="Q322:Q327" si="202">K322</f>
        <v>Actual</v>
      </c>
      <c r="R322" s="711">
        <f t="shared" ref="R322:R327" si="203">IF(G322=0,"",L322/G322)</f>
        <v>0</v>
      </c>
      <c r="S322" s="693">
        <f t="shared" ref="S322:S327" si="204">IF(G322=0,"",M322/G322)</f>
        <v>0</v>
      </c>
      <c r="T322" s="693" t="str">
        <f t="shared" ref="T322:T327" si="205">N322</f>
        <v/>
      </c>
      <c r="U322" s="693" t="str">
        <f t="shared" ref="U322:U327" si="206">IF(T322="","",IF(I322=0,"",O322/I322))</f>
        <v/>
      </c>
      <c r="V322" s="678"/>
    </row>
    <row r="323" spans="2:22" x14ac:dyDescent="0.2">
      <c r="C323" s="610" t="s">
        <v>278</v>
      </c>
      <c r="D323" s="611">
        <f t="shared" si="197"/>
        <v>2013</v>
      </c>
      <c r="E323" s="710"/>
      <c r="F323" s="647" t="str">
        <f t="shared" si="199"/>
        <v>Actual</v>
      </c>
      <c r="G323" s="644">
        <f>'Input - Customer Data'!R12</f>
        <v>1705</v>
      </c>
      <c r="H323" s="680" t="str">
        <f t="shared" si="198"/>
        <v>Board-approved</v>
      </c>
      <c r="I323" s="616"/>
      <c r="J323" s="710"/>
      <c r="K323" s="645" t="str">
        <f t="shared" si="200"/>
        <v>Actual</v>
      </c>
      <c r="L323" s="615"/>
      <c r="M323" s="615"/>
      <c r="N323" s="646" t="str">
        <f t="shared" si="201"/>
        <v>Board-approved</v>
      </c>
      <c r="O323" s="616"/>
      <c r="P323" s="710"/>
      <c r="Q323" s="645" t="str">
        <f t="shared" si="202"/>
        <v>Actual</v>
      </c>
      <c r="R323" s="711">
        <f t="shared" si="203"/>
        <v>0</v>
      </c>
      <c r="S323" s="693">
        <f t="shared" si="204"/>
        <v>0</v>
      </c>
      <c r="T323" s="693" t="str">
        <f t="shared" si="205"/>
        <v>Board-approved</v>
      </c>
      <c r="U323" s="693" t="str">
        <f t="shared" si="206"/>
        <v/>
      </c>
      <c r="V323" s="678"/>
    </row>
    <row r="324" spans="2:22" x14ac:dyDescent="0.2">
      <c r="C324" s="610" t="s">
        <v>278</v>
      </c>
      <c r="D324" s="611">
        <f t="shared" si="197"/>
        <v>2014</v>
      </c>
      <c r="E324" s="710"/>
      <c r="F324" s="647" t="str">
        <f t="shared" si="199"/>
        <v>Actual</v>
      </c>
      <c r="G324" s="644">
        <f>'Input - Customer Data'!R13</f>
        <v>1706.5</v>
      </c>
      <c r="H324" s="680" t="str">
        <f t="shared" si="198"/>
        <v/>
      </c>
      <c r="I324" s="681"/>
      <c r="J324" s="710"/>
      <c r="K324" s="645" t="str">
        <f t="shared" si="200"/>
        <v>Actual</v>
      </c>
      <c r="L324" s="615"/>
      <c r="M324" s="615"/>
      <c r="N324" s="646" t="str">
        <f t="shared" si="201"/>
        <v/>
      </c>
      <c r="O324" s="681"/>
      <c r="P324" s="710"/>
      <c r="Q324" s="645" t="str">
        <f t="shared" si="202"/>
        <v>Actual</v>
      </c>
      <c r="R324" s="711">
        <f t="shared" si="203"/>
        <v>0</v>
      </c>
      <c r="S324" s="693">
        <f t="shared" si="204"/>
        <v>0</v>
      </c>
      <c r="T324" s="693" t="str">
        <f t="shared" si="205"/>
        <v/>
      </c>
      <c r="U324" s="693" t="str">
        <f t="shared" si="206"/>
        <v/>
      </c>
      <c r="V324" s="678"/>
    </row>
    <row r="325" spans="2:22" x14ac:dyDescent="0.2">
      <c r="C325" s="610" t="s">
        <v>278</v>
      </c>
      <c r="D325" s="611">
        <f t="shared" si="197"/>
        <v>2015</v>
      </c>
      <c r="E325" s="710"/>
      <c r="F325" s="647" t="str">
        <f t="shared" si="199"/>
        <v>Actual</v>
      </c>
      <c r="G325" s="644">
        <f>'Input - Customer Data'!R14</f>
        <v>1704.5</v>
      </c>
      <c r="H325" s="680" t="str">
        <f t="shared" si="198"/>
        <v/>
      </c>
      <c r="I325" s="681"/>
      <c r="J325" s="710"/>
      <c r="K325" s="645" t="str">
        <f t="shared" si="200"/>
        <v>Actual</v>
      </c>
      <c r="L325" s="615"/>
      <c r="M325" s="615"/>
      <c r="N325" s="646" t="str">
        <f t="shared" si="201"/>
        <v/>
      </c>
      <c r="O325" s="681"/>
      <c r="P325" s="710"/>
      <c r="Q325" s="645" t="str">
        <f t="shared" si="202"/>
        <v>Actual</v>
      </c>
      <c r="R325" s="711">
        <f t="shared" si="203"/>
        <v>0</v>
      </c>
      <c r="S325" s="693">
        <f t="shared" si="204"/>
        <v>0</v>
      </c>
      <c r="T325" s="693" t="str">
        <f t="shared" si="205"/>
        <v/>
      </c>
      <c r="U325" s="693" t="str">
        <f t="shared" si="206"/>
        <v/>
      </c>
      <c r="V325" s="678"/>
    </row>
    <row r="326" spans="2:22" x14ac:dyDescent="0.2">
      <c r="C326" s="610" t="s">
        <v>54</v>
      </c>
      <c r="D326" s="611">
        <f t="shared" si="197"/>
        <v>2016</v>
      </c>
      <c r="E326" s="710"/>
      <c r="F326" s="647" t="str">
        <f t="shared" si="199"/>
        <v>Forecast</v>
      </c>
      <c r="G326" s="644">
        <f>'Input - Customer Data'!R19</f>
        <v>1710.403456367013</v>
      </c>
      <c r="H326" s="680" t="str">
        <f t="shared" si="198"/>
        <v/>
      </c>
      <c r="I326" s="681"/>
      <c r="J326" s="710"/>
      <c r="K326" s="645" t="str">
        <f t="shared" si="200"/>
        <v>Forecast</v>
      </c>
      <c r="L326" s="682"/>
      <c r="M326" s="615"/>
      <c r="N326" s="646" t="str">
        <f t="shared" si="201"/>
        <v/>
      </c>
      <c r="O326" s="681"/>
      <c r="P326" s="710"/>
      <c r="Q326" s="645" t="str">
        <f t="shared" si="202"/>
        <v>Forecast</v>
      </c>
      <c r="R326" s="711">
        <f t="shared" si="203"/>
        <v>0</v>
      </c>
      <c r="S326" s="693">
        <f t="shared" si="204"/>
        <v>0</v>
      </c>
      <c r="T326" s="693" t="str">
        <f t="shared" si="205"/>
        <v/>
      </c>
      <c r="U326" s="693" t="str">
        <f t="shared" si="206"/>
        <v/>
      </c>
      <c r="V326" s="678"/>
    </row>
    <row r="327" spans="2:22" ht="13.5" thickBot="1" x14ac:dyDescent="0.25">
      <c r="C327" s="617" t="s">
        <v>53</v>
      </c>
      <c r="D327" s="618">
        <v>2017</v>
      </c>
      <c r="E327" s="677"/>
      <c r="F327" s="648" t="str">
        <f t="shared" si="199"/>
        <v>Forecast</v>
      </c>
      <c r="G327" s="649">
        <f>'Input - Customer Data'!R20</f>
        <v>1716.3273590802137</v>
      </c>
      <c r="H327" s="685" t="str">
        <f t="shared" si="198"/>
        <v/>
      </c>
      <c r="I327" s="687"/>
      <c r="J327" s="677"/>
      <c r="K327" s="650" t="str">
        <f t="shared" si="200"/>
        <v>Forecast</v>
      </c>
      <c r="L327" s="686"/>
      <c r="M327" s="730"/>
      <c r="N327" s="651" t="str">
        <f t="shared" si="201"/>
        <v/>
      </c>
      <c r="O327" s="687"/>
      <c r="P327" s="677"/>
      <c r="Q327" s="650" t="str">
        <f t="shared" si="202"/>
        <v>Forecast</v>
      </c>
      <c r="R327" s="712">
        <f t="shared" si="203"/>
        <v>0</v>
      </c>
      <c r="S327" s="699">
        <f t="shared" si="204"/>
        <v>0</v>
      </c>
      <c r="T327" s="699" t="str">
        <f t="shared" si="205"/>
        <v/>
      </c>
      <c r="U327" s="699" t="str">
        <f t="shared" si="206"/>
        <v/>
      </c>
      <c r="V327" s="678"/>
    </row>
    <row r="328" spans="2:22" ht="13.5" thickBot="1" x14ac:dyDescent="0.25">
      <c r="B328" s="693"/>
      <c r="C328" s="652"/>
      <c r="I328" s="623">
        <f>SUM(I321:I326)</f>
        <v>0</v>
      </c>
      <c r="O328" s="623">
        <f>SUM(O321:O326)</f>
        <v>0</v>
      </c>
      <c r="U328" s="623">
        <f>SUM(U321:U326)</f>
        <v>0</v>
      </c>
    </row>
    <row r="329" spans="2:22" ht="39" thickBot="1" x14ac:dyDescent="0.25">
      <c r="C329" s="653" t="s">
        <v>279</v>
      </c>
      <c r="D329" s="654" t="s">
        <v>80</v>
      </c>
      <c r="E329" s="688"/>
      <c r="F329" s="688"/>
      <c r="G329" s="628" t="s">
        <v>280</v>
      </c>
      <c r="H329" s="688"/>
      <c r="I329" s="630" t="s">
        <v>287</v>
      </c>
      <c r="J329" s="713"/>
      <c r="K329" s="627" t="s">
        <v>80</v>
      </c>
      <c r="L329" s="816" t="s">
        <v>280</v>
      </c>
      <c r="M329" s="816"/>
      <c r="N329" s="688"/>
      <c r="O329" s="630" t="str">
        <f>I329</f>
        <v>Test Year Versus Board-approved</v>
      </c>
      <c r="P329" s="597"/>
      <c r="Q329" s="627" t="s">
        <v>80</v>
      </c>
      <c r="R329" s="816" t="s">
        <v>280</v>
      </c>
      <c r="S329" s="816"/>
      <c r="T329" s="688"/>
      <c r="U329" s="630" t="str">
        <f>O329</f>
        <v>Test Year Versus Board-approved</v>
      </c>
    </row>
    <row r="330" spans="2:22" x14ac:dyDescent="0.2">
      <c r="C330" s="710"/>
      <c r="D330" s="655">
        <f t="shared" ref="D330:D336" si="207">D321</f>
        <v>2011</v>
      </c>
      <c r="E330" s="693"/>
      <c r="F330" s="693"/>
      <c r="G330" s="714"/>
      <c r="H330" s="693"/>
      <c r="I330" s="715"/>
      <c r="J330" s="716"/>
      <c r="K330" s="611">
        <f>D330</f>
        <v>2011</v>
      </c>
      <c r="L330" s="695"/>
      <c r="M330" s="695"/>
      <c r="N330" s="693"/>
      <c r="O330" s="681"/>
      <c r="P330" s="710"/>
      <c r="Q330" s="611">
        <f>K330</f>
        <v>2011</v>
      </c>
      <c r="R330" s="717"/>
      <c r="S330" s="717"/>
      <c r="T330" s="693"/>
      <c r="U330" s="681"/>
    </row>
    <row r="331" spans="2:22" x14ac:dyDescent="0.2">
      <c r="C331" s="710"/>
      <c r="D331" s="656">
        <f t="shared" si="207"/>
        <v>2012</v>
      </c>
      <c r="E331" s="693"/>
      <c r="F331" s="693"/>
      <c r="G331" s="718">
        <f t="shared" ref="G331:G336" si="208">IF(G321=0,"",G322/G321-1)</f>
        <v>4.7393364928909332E-3</v>
      </c>
      <c r="H331" s="693"/>
      <c r="I331" s="715"/>
      <c r="J331" s="716"/>
      <c r="K331" s="611">
        <f t="shared" ref="K331:K337" si="209">D331</f>
        <v>2012</v>
      </c>
      <c r="L331" s="697" t="str">
        <f t="shared" ref="L331:M334" si="210">IF(L321=0,"",L322/L321-1)</f>
        <v/>
      </c>
      <c r="M331" s="697" t="str">
        <f t="shared" si="210"/>
        <v/>
      </c>
      <c r="N331" s="693"/>
      <c r="O331" s="681"/>
      <c r="P331" s="710"/>
      <c r="Q331" s="611">
        <f t="shared" ref="Q331:Q337" si="211">K331</f>
        <v>2012</v>
      </c>
      <c r="R331" s="719" t="str">
        <f>IF(R321="","",IF(R321=0,"",R322/R321-1))</f>
        <v/>
      </c>
      <c r="S331" s="719" t="str">
        <f>IF(S321="","",IF(S321=0,"",S322/S321-1))</f>
        <v/>
      </c>
      <c r="T331" s="693"/>
      <c r="U331" s="681"/>
    </row>
    <row r="332" spans="2:22" x14ac:dyDescent="0.2">
      <c r="C332" s="710"/>
      <c r="D332" s="656">
        <f t="shared" si="207"/>
        <v>2013</v>
      </c>
      <c r="E332" s="693"/>
      <c r="F332" s="693"/>
      <c r="G332" s="718">
        <f t="shared" si="208"/>
        <v>5.3066037735849392E-3</v>
      </c>
      <c r="H332" s="693"/>
      <c r="I332" s="715"/>
      <c r="J332" s="716"/>
      <c r="K332" s="611">
        <f t="shared" si="209"/>
        <v>2013</v>
      </c>
      <c r="L332" s="697" t="str">
        <f t="shared" si="210"/>
        <v/>
      </c>
      <c r="M332" s="697" t="str">
        <f t="shared" si="210"/>
        <v/>
      </c>
      <c r="N332" s="693"/>
      <c r="O332" s="681"/>
      <c r="P332" s="710"/>
      <c r="Q332" s="611">
        <f t="shared" si="211"/>
        <v>2013</v>
      </c>
      <c r="R332" s="719" t="str">
        <f t="shared" ref="R332:S336" si="212">IF(R322="","",IF(R322=0,"",R323/R322-1))</f>
        <v/>
      </c>
      <c r="S332" s="719" t="str">
        <f t="shared" si="212"/>
        <v/>
      </c>
      <c r="T332" s="693"/>
      <c r="U332" s="681"/>
    </row>
    <row r="333" spans="2:22" x14ac:dyDescent="0.2">
      <c r="C333" s="710"/>
      <c r="D333" s="656">
        <f t="shared" si="207"/>
        <v>2014</v>
      </c>
      <c r="E333" s="693"/>
      <c r="F333" s="693"/>
      <c r="G333" s="718">
        <f t="shared" si="208"/>
        <v>8.7976539589451619E-4</v>
      </c>
      <c r="H333" s="693"/>
      <c r="I333" s="715"/>
      <c r="J333" s="716"/>
      <c r="K333" s="611">
        <f t="shared" si="209"/>
        <v>2014</v>
      </c>
      <c r="L333" s="697" t="str">
        <f t="shared" si="210"/>
        <v/>
      </c>
      <c r="M333" s="697" t="str">
        <f t="shared" si="210"/>
        <v/>
      </c>
      <c r="N333" s="693"/>
      <c r="O333" s="681"/>
      <c r="P333" s="710"/>
      <c r="Q333" s="611">
        <f t="shared" si="211"/>
        <v>2014</v>
      </c>
      <c r="R333" s="719" t="str">
        <f t="shared" si="212"/>
        <v/>
      </c>
      <c r="S333" s="719" t="str">
        <f t="shared" si="212"/>
        <v/>
      </c>
      <c r="T333" s="693"/>
      <c r="U333" s="681"/>
    </row>
    <row r="334" spans="2:22" x14ac:dyDescent="0.2">
      <c r="C334" s="710"/>
      <c r="D334" s="656">
        <f t="shared" si="207"/>
        <v>2015</v>
      </c>
      <c r="E334" s="693"/>
      <c r="F334" s="693"/>
      <c r="G334" s="718">
        <f t="shared" si="208"/>
        <v>-1.171989452094957E-3</v>
      </c>
      <c r="H334" s="693"/>
      <c r="I334" s="715"/>
      <c r="J334" s="716"/>
      <c r="K334" s="611">
        <f t="shared" si="209"/>
        <v>2015</v>
      </c>
      <c r="L334" s="697" t="str">
        <f t="shared" si="210"/>
        <v/>
      </c>
      <c r="M334" s="697" t="str">
        <f t="shared" si="210"/>
        <v/>
      </c>
      <c r="N334" s="693"/>
      <c r="O334" s="681"/>
      <c r="P334" s="710"/>
      <c r="Q334" s="611">
        <f t="shared" si="211"/>
        <v>2015</v>
      </c>
      <c r="R334" s="719" t="str">
        <f t="shared" si="212"/>
        <v/>
      </c>
      <c r="S334" s="719" t="str">
        <f t="shared" si="212"/>
        <v/>
      </c>
      <c r="T334" s="693"/>
      <c r="U334" s="681"/>
    </row>
    <row r="335" spans="2:22" x14ac:dyDescent="0.2">
      <c r="C335" s="710"/>
      <c r="D335" s="656">
        <f t="shared" si="207"/>
        <v>2016</v>
      </c>
      <c r="E335" s="693"/>
      <c r="F335" s="693"/>
      <c r="G335" s="718">
        <f t="shared" si="208"/>
        <v>3.4634534274056161E-3</v>
      </c>
      <c r="H335" s="693"/>
      <c r="I335" s="715"/>
      <c r="J335" s="716"/>
      <c r="K335" s="611">
        <f t="shared" si="209"/>
        <v>2016</v>
      </c>
      <c r="L335" s="697" t="str">
        <f>IF(K326="Forecast","",IF(L325=0,"",L326/L325-1))</f>
        <v/>
      </c>
      <c r="M335" s="697" t="str">
        <f>IF(M325=0,"",M326/M325-1)</f>
        <v/>
      </c>
      <c r="N335" s="693"/>
      <c r="O335" s="681"/>
      <c r="P335" s="710"/>
      <c r="Q335" s="611">
        <f t="shared" si="211"/>
        <v>2016</v>
      </c>
      <c r="R335" s="719" t="str">
        <f>IF(Q326="Forecast","",IF(R325=0,"",R326/R325-1))</f>
        <v/>
      </c>
      <c r="S335" s="719" t="str">
        <f t="shared" si="212"/>
        <v/>
      </c>
      <c r="T335" s="693"/>
      <c r="U335" s="681"/>
    </row>
    <row r="336" spans="2:22" x14ac:dyDescent="0.2">
      <c r="C336" s="710"/>
      <c r="D336" s="656">
        <f t="shared" si="207"/>
        <v>2017</v>
      </c>
      <c r="E336" s="693"/>
      <c r="F336" s="693"/>
      <c r="G336" s="718">
        <f t="shared" si="208"/>
        <v>3.4634534274056161E-3</v>
      </c>
      <c r="H336" s="693"/>
      <c r="I336" s="720" t="str">
        <f>IF(I328=0,"",G327/I328-1)</f>
        <v/>
      </c>
      <c r="J336" s="716"/>
      <c r="K336" s="611">
        <f t="shared" si="209"/>
        <v>2017</v>
      </c>
      <c r="L336" s="697" t="str">
        <f>IF(K327="Forecast","",IF(L326=0,"",L327/L326-1))</f>
        <v/>
      </c>
      <c r="M336" s="697" t="str">
        <f>IF(M326=0,"",M327/M326-1)</f>
        <v/>
      </c>
      <c r="N336" s="693"/>
      <c r="O336" s="698" t="str">
        <f>IF(O328=0,"",M327/O328-1)</f>
        <v/>
      </c>
      <c r="P336" s="710"/>
      <c r="Q336" s="611">
        <f t="shared" si="211"/>
        <v>2017</v>
      </c>
      <c r="R336" s="719" t="str">
        <f>IF(Q327="Forecast","",IF(R326=0,"",R327/R326-1))</f>
        <v/>
      </c>
      <c r="S336" s="719" t="str">
        <f t="shared" si="212"/>
        <v/>
      </c>
      <c r="T336" s="693"/>
      <c r="U336" s="698" t="str">
        <f>IF(U328=0,"",S327/U328-1)</f>
        <v/>
      </c>
    </row>
    <row r="337" spans="3:21" ht="26.25" thickBot="1" x14ac:dyDescent="0.25">
      <c r="C337" s="677"/>
      <c r="D337" s="721" t="s">
        <v>282</v>
      </c>
      <c r="E337" s="699"/>
      <c r="F337" s="699"/>
      <c r="G337" s="722" t="e">
        <f>IF(G321=0,"",GEOMEAN(G331:G336))</f>
        <v>#NUM!</v>
      </c>
      <c r="H337" s="699"/>
      <c r="I337" s="723" t="s">
        <v>312</v>
      </c>
      <c r="J337" s="702"/>
      <c r="K337" s="703" t="str">
        <f t="shared" si="209"/>
        <v>Geometric Mean</v>
      </c>
      <c r="L337" s="704"/>
      <c r="M337" s="704" t="str">
        <f>IF(M321=0,"",(M327/M321)^(1/(K336-K330-1)-1))</f>
        <v/>
      </c>
      <c r="N337" s="699"/>
      <c r="O337" s="705" t="s">
        <v>312</v>
      </c>
      <c r="P337" s="677"/>
      <c r="Q337" s="703" t="str">
        <f t="shared" si="211"/>
        <v>Geometric Mean</v>
      </c>
      <c r="R337" s="724"/>
      <c r="S337" s="704" t="str">
        <f>IF(S321="","",IF(S321=0,"",(S327/S321)^(1/(Q336-Q330-1)-1)))</f>
        <v/>
      </c>
      <c r="T337" s="699"/>
      <c r="U337" s="705" t="s">
        <v>312</v>
      </c>
    </row>
    <row r="339" spans="3:21" ht="13.5" thickBot="1" x14ac:dyDescent="0.25">
      <c r="Q339" s="699"/>
      <c r="R339" s="699"/>
      <c r="S339" s="699"/>
      <c r="T339" s="699"/>
      <c r="U339" s="699"/>
    </row>
    <row r="340" spans="3:21" x14ac:dyDescent="0.2">
      <c r="C340" s="597"/>
      <c r="D340" s="598" t="s">
        <v>274</v>
      </c>
      <c r="E340" s="598"/>
      <c r="F340" s="829" t="s">
        <v>240</v>
      </c>
      <c r="G340" s="830"/>
      <c r="H340" s="830"/>
      <c r="I340" s="831"/>
      <c r="K340" s="812" t="str">
        <f>IF(ISBLANK(N317),"",CONCATENATE("Demand (",N317,")"))</f>
        <v/>
      </c>
      <c r="L340" s="813"/>
      <c r="M340" s="813"/>
      <c r="N340" s="813"/>
      <c r="O340" s="814"/>
      <c r="Q340" s="823" t="str">
        <f>CONCATENATE("Demand (",N317,") per ",LEFT(F319,LEN(F319)-1))</f>
        <v>Demand () per Customer</v>
      </c>
      <c r="R340" s="824"/>
      <c r="S340" s="824"/>
      <c r="T340" s="824"/>
      <c r="U340" s="825"/>
    </row>
    <row r="341" spans="3:21" ht="39" thickBot="1" x14ac:dyDescent="0.25">
      <c r="C341" s="677"/>
      <c r="D341" s="602" t="s">
        <v>311</v>
      </c>
      <c r="E341" s="610"/>
      <c r="F341" s="826"/>
      <c r="G341" s="827"/>
      <c r="H341" s="827"/>
      <c r="I341" s="638"/>
      <c r="K341" s="606"/>
      <c r="L341" s="607" t="s">
        <v>276</v>
      </c>
      <c r="M341" s="607" t="s">
        <v>277</v>
      </c>
      <c r="N341" s="608"/>
      <c r="O341" s="609" t="str">
        <f>M341</f>
        <v>Weather-normalized</v>
      </c>
      <c r="Q341" s="657"/>
      <c r="R341" s="607" t="str">
        <f>L341</f>
        <v>Actual (Weather actual)</v>
      </c>
      <c r="S341" s="607" t="str">
        <f>M341</f>
        <v>Weather-normalized</v>
      </c>
      <c r="T341" s="607"/>
      <c r="U341" s="658" t="str">
        <f>O341</f>
        <v>Weather-normalized</v>
      </c>
    </row>
    <row r="342" spans="3:21" x14ac:dyDescent="0.2">
      <c r="C342" s="610" t="s">
        <v>278</v>
      </c>
      <c r="D342" s="611">
        <f t="shared" ref="D342:D347" si="213">D343-1</f>
        <v>2011</v>
      </c>
      <c r="E342" s="710"/>
      <c r="F342" s="643" t="str">
        <f t="shared" ref="F342:F348" si="214">F321</f>
        <v>Actual</v>
      </c>
      <c r="G342" s="659"/>
      <c r="H342" s="679" t="str">
        <f t="shared" ref="H342:H348" si="215">IF(D342=2013,"Board-approved","")</f>
        <v/>
      </c>
      <c r="I342" s="725"/>
      <c r="K342" s="645" t="str">
        <f t="shared" ref="K342:K348" si="216">K321</f>
        <v>Actual</v>
      </c>
      <c r="L342" s="615"/>
      <c r="M342" s="615"/>
      <c r="N342" s="646" t="str">
        <f t="shared" ref="N342:N348" si="217">N321</f>
        <v/>
      </c>
      <c r="O342" s="681"/>
      <c r="Q342" s="645" t="str">
        <f>K342</f>
        <v>Actual</v>
      </c>
      <c r="R342" s="693" t="str">
        <f>IF(G342=0,"",L342/G342)</f>
        <v/>
      </c>
      <c r="S342" s="678" t="str">
        <f>IF(G342=0,"",M342/G342)</f>
        <v/>
      </c>
      <c r="T342" s="678" t="str">
        <f>N342</f>
        <v/>
      </c>
      <c r="U342" s="710" t="str">
        <f>IF(T342="","",IF(I342=0,"",O342/I342))</f>
        <v/>
      </c>
    </row>
    <row r="343" spans="3:21" x14ac:dyDescent="0.2">
      <c r="C343" s="610" t="s">
        <v>278</v>
      </c>
      <c r="D343" s="611">
        <f t="shared" si="213"/>
        <v>2012</v>
      </c>
      <c r="E343" s="710"/>
      <c r="F343" s="647" t="str">
        <f t="shared" si="214"/>
        <v>Actual</v>
      </c>
      <c r="G343" s="659"/>
      <c r="H343" s="679" t="str">
        <f t="shared" si="215"/>
        <v/>
      </c>
      <c r="I343" s="681"/>
      <c r="K343" s="645" t="str">
        <f t="shared" si="216"/>
        <v>Actual</v>
      </c>
      <c r="L343" s="615"/>
      <c r="M343" s="615"/>
      <c r="N343" s="646" t="str">
        <f t="shared" si="217"/>
        <v/>
      </c>
      <c r="O343" s="681"/>
      <c r="Q343" s="645" t="str">
        <f t="shared" ref="Q343:Q348" si="218">K343</f>
        <v>Actual</v>
      </c>
      <c r="R343" s="693" t="str">
        <f t="shared" ref="R343:R348" si="219">IF(G343=0,"",L343/G343)</f>
        <v/>
      </c>
      <c r="S343" s="678" t="str">
        <f t="shared" ref="S343:S348" si="220">IF(G343=0,"",M343/G343)</f>
        <v/>
      </c>
      <c r="T343" s="678" t="str">
        <f t="shared" ref="T343:T348" si="221">N343</f>
        <v/>
      </c>
      <c r="U343" s="710" t="str">
        <f t="shared" ref="U343:U348" si="222">IF(T343="","",IF(I343=0,"",O343/I343))</f>
        <v/>
      </c>
    </row>
    <row r="344" spans="3:21" x14ac:dyDescent="0.2">
      <c r="C344" s="610" t="s">
        <v>278</v>
      </c>
      <c r="D344" s="611">
        <f t="shared" si="213"/>
        <v>2013</v>
      </c>
      <c r="E344" s="710"/>
      <c r="F344" s="647" t="str">
        <f t="shared" si="214"/>
        <v>Actual</v>
      </c>
      <c r="G344" s="659"/>
      <c r="H344" s="679" t="str">
        <f t="shared" si="215"/>
        <v>Board-approved</v>
      </c>
      <c r="I344" s="660"/>
      <c r="K344" s="645" t="str">
        <f t="shared" si="216"/>
        <v>Actual</v>
      </c>
      <c r="L344" s="615"/>
      <c r="M344" s="615"/>
      <c r="N344" s="646" t="str">
        <f t="shared" si="217"/>
        <v>Board-approved</v>
      </c>
      <c r="O344" s="616"/>
      <c r="Q344" s="645" t="str">
        <f t="shared" si="218"/>
        <v>Actual</v>
      </c>
      <c r="R344" s="693" t="str">
        <f t="shared" si="219"/>
        <v/>
      </c>
      <c r="S344" s="678" t="str">
        <f t="shared" si="220"/>
        <v/>
      </c>
      <c r="T344" s="678" t="str">
        <f t="shared" si="221"/>
        <v>Board-approved</v>
      </c>
      <c r="U344" s="710" t="str">
        <f t="shared" si="222"/>
        <v/>
      </c>
    </row>
    <row r="345" spans="3:21" x14ac:dyDescent="0.2">
      <c r="C345" s="610" t="s">
        <v>278</v>
      </c>
      <c r="D345" s="611">
        <f t="shared" si="213"/>
        <v>2014</v>
      </c>
      <c r="E345" s="710"/>
      <c r="F345" s="647" t="str">
        <f t="shared" si="214"/>
        <v>Actual</v>
      </c>
      <c r="G345" s="659"/>
      <c r="H345" s="679" t="str">
        <f t="shared" si="215"/>
        <v/>
      </c>
      <c r="I345" s="681"/>
      <c r="K345" s="645" t="str">
        <f t="shared" si="216"/>
        <v>Actual</v>
      </c>
      <c r="L345" s="615"/>
      <c r="M345" s="615"/>
      <c r="N345" s="646" t="str">
        <f t="shared" si="217"/>
        <v/>
      </c>
      <c r="O345" s="681"/>
      <c r="Q345" s="645" t="str">
        <f t="shared" si="218"/>
        <v>Actual</v>
      </c>
      <c r="R345" s="693" t="str">
        <f t="shared" si="219"/>
        <v/>
      </c>
      <c r="S345" s="678" t="str">
        <f t="shared" si="220"/>
        <v/>
      </c>
      <c r="T345" s="678" t="str">
        <f t="shared" si="221"/>
        <v/>
      </c>
      <c r="U345" s="710" t="str">
        <f t="shared" si="222"/>
        <v/>
      </c>
    </row>
    <row r="346" spans="3:21" x14ac:dyDescent="0.2">
      <c r="C346" s="610" t="s">
        <v>278</v>
      </c>
      <c r="D346" s="611">
        <f t="shared" si="213"/>
        <v>2015</v>
      </c>
      <c r="E346" s="710"/>
      <c r="F346" s="647" t="str">
        <f t="shared" si="214"/>
        <v>Actual</v>
      </c>
      <c r="G346" s="659"/>
      <c r="H346" s="679" t="str">
        <f t="shared" si="215"/>
        <v/>
      </c>
      <c r="I346" s="681"/>
      <c r="K346" s="645" t="str">
        <f t="shared" si="216"/>
        <v>Actual</v>
      </c>
      <c r="L346" s="615"/>
      <c r="M346" s="615"/>
      <c r="N346" s="646" t="str">
        <f t="shared" si="217"/>
        <v/>
      </c>
      <c r="O346" s="681"/>
      <c r="Q346" s="645" t="str">
        <f t="shared" si="218"/>
        <v>Actual</v>
      </c>
      <c r="R346" s="693" t="str">
        <f t="shared" si="219"/>
        <v/>
      </c>
      <c r="S346" s="678" t="str">
        <f t="shared" si="220"/>
        <v/>
      </c>
      <c r="T346" s="678" t="str">
        <f t="shared" si="221"/>
        <v/>
      </c>
      <c r="U346" s="710" t="str">
        <f t="shared" si="222"/>
        <v/>
      </c>
    </row>
    <row r="347" spans="3:21" x14ac:dyDescent="0.2">
      <c r="C347" s="610" t="s">
        <v>288</v>
      </c>
      <c r="D347" s="611">
        <f t="shared" si="213"/>
        <v>2016</v>
      </c>
      <c r="E347" s="710"/>
      <c r="F347" s="647" t="str">
        <f t="shared" si="214"/>
        <v>Forecast</v>
      </c>
      <c r="G347" s="659"/>
      <c r="H347" s="679" t="str">
        <f t="shared" si="215"/>
        <v/>
      </c>
      <c r="I347" s="681"/>
      <c r="K347" s="645" t="str">
        <f t="shared" si="216"/>
        <v>Forecast</v>
      </c>
      <c r="L347" s="682"/>
      <c r="M347" s="726"/>
      <c r="N347" s="646" t="str">
        <f t="shared" si="217"/>
        <v/>
      </c>
      <c r="O347" s="681"/>
      <c r="Q347" s="645" t="str">
        <f t="shared" si="218"/>
        <v>Forecast</v>
      </c>
      <c r="R347" s="693" t="str">
        <f t="shared" si="219"/>
        <v/>
      </c>
      <c r="S347" s="678" t="str">
        <f t="shared" si="220"/>
        <v/>
      </c>
      <c r="T347" s="678" t="str">
        <f t="shared" si="221"/>
        <v/>
      </c>
      <c r="U347" s="710" t="str">
        <f t="shared" si="222"/>
        <v/>
      </c>
    </row>
    <row r="348" spans="3:21" ht="13.5" thickBot="1" x14ac:dyDescent="0.25">
      <c r="C348" s="617" t="s">
        <v>289</v>
      </c>
      <c r="D348" s="618">
        <v>2017</v>
      </c>
      <c r="E348" s="677"/>
      <c r="F348" s="648" t="str">
        <f t="shared" si="214"/>
        <v>Forecast</v>
      </c>
      <c r="G348" s="661"/>
      <c r="H348" s="684" t="str">
        <f t="shared" si="215"/>
        <v/>
      </c>
      <c r="I348" s="687"/>
      <c r="K348" s="650" t="str">
        <f t="shared" si="216"/>
        <v>Forecast</v>
      </c>
      <c r="L348" s="686"/>
      <c r="M348" s="727"/>
      <c r="N348" s="651" t="str">
        <f t="shared" si="217"/>
        <v/>
      </c>
      <c r="O348" s="687"/>
      <c r="Q348" s="728" t="str">
        <f t="shared" si="218"/>
        <v>Forecast</v>
      </c>
      <c r="R348" s="683" t="str">
        <f t="shared" si="219"/>
        <v/>
      </c>
      <c r="S348" s="683" t="str">
        <f t="shared" si="220"/>
        <v/>
      </c>
      <c r="T348" s="683" t="str">
        <f t="shared" si="221"/>
        <v/>
      </c>
      <c r="U348" s="677" t="str">
        <f t="shared" si="222"/>
        <v/>
      </c>
    </row>
    <row r="349" spans="3:21" ht="13.5" thickBot="1" x14ac:dyDescent="0.25">
      <c r="C349" s="652"/>
      <c r="I349" s="623">
        <f>SUM(I342:I347)</f>
        <v>0</v>
      </c>
      <c r="J349" s="693"/>
      <c r="O349" s="623">
        <f>SUM(O342:O347)</f>
        <v>0</v>
      </c>
      <c r="U349" s="623">
        <f>SUM(U342:U347)</f>
        <v>0</v>
      </c>
    </row>
    <row r="350" spans="3:21" ht="39" thickBot="1" x14ac:dyDescent="0.25">
      <c r="C350" s="653" t="s">
        <v>279</v>
      </c>
      <c r="D350" s="654" t="s">
        <v>80</v>
      </c>
      <c r="E350" s="628"/>
      <c r="F350" s="628"/>
      <c r="G350" s="628" t="s">
        <v>280</v>
      </c>
      <c r="H350" s="628"/>
      <c r="I350" s="630" t="str">
        <f>I329</f>
        <v>Test Year Versus Board-approved</v>
      </c>
      <c r="J350" s="662"/>
      <c r="K350" s="627" t="s">
        <v>80</v>
      </c>
      <c r="L350" s="816" t="s">
        <v>280</v>
      </c>
      <c r="M350" s="816"/>
      <c r="N350" s="628"/>
      <c r="O350" s="630" t="str">
        <f>I350</f>
        <v>Test Year Versus Board-approved</v>
      </c>
      <c r="P350" s="663"/>
      <c r="Q350" s="627" t="s">
        <v>80</v>
      </c>
      <c r="R350" s="816" t="s">
        <v>280</v>
      </c>
      <c r="S350" s="816"/>
      <c r="T350" s="628"/>
      <c r="U350" s="630" t="str">
        <f>O350</f>
        <v>Test Year Versus Board-approved</v>
      </c>
    </row>
    <row r="351" spans="3:21" x14ac:dyDescent="0.2">
      <c r="C351" s="710"/>
      <c r="D351" s="664">
        <f t="shared" ref="D351:D357" si="223">D342</f>
        <v>2011</v>
      </c>
      <c r="E351" s="690"/>
      <c r="F351" s="693"/>
      <c r="G351" s="714"/>
      <c r="H351" s="693"/>
      <c r="I351" s="715"/>
      <c r="J351" s="710"/>
      <c r="K351" s="611">
        <f>D351</f>
        <v>2011</v>
      </c>
      <c r="L351" s="695"/>
      <c r="M351" s="695"/>
      <c r="N351" s="693"/>
      <c r="O351" s="616"/>
      <c r="P351" s="710"/>
      <c r="Q351" s="611">
        <f>K351</f>
        <v>2011</v>
      </c>
      <c r="R351" s="717"/>
      <c r="S351" s="717"/>
      <c r="T351" s="693"/>
      <c r="U351" s="681"/>
    </row>
    <row r="352" spans="3:21" x14ac:dyDescent="0.2">
      <c r="C352" s="710"/>
      <c r="D352" s="656">
        <f t="shared" si="223"/>
        <v>2012</v>
      </c>
      <c r="E352" s="693"/>
      <c r="F352" s="693"/>
      <c r="G352" s="718" t="str">
        <f t="shared" ref="G352:G357" si="224">IF(G342=0,"",G343/G342-1)</f>
        <v/>
      </c>
      <c r="H352" s="693"/>
      <c r="I352" s="715"/>
      <c r="J352" s="710"/>
      <c r="K352" s="611">
        <f t="shared" ref="K352:K358" si="225">D352</f>
        <v>2012</v>
      </c>
      <c r="L352" s="697" t="str">
        <f>IF(L342=0,"",L343/L342-1)</f>
        <v/>
      </c>
      <c r="M352" s="697" t="str">
        <f>IF(M342=0,"",M343/M342-1)</f>
        <v/>
      </c>
      <c r="N352" s="693"/>
      <c r="O352" s="616"/>
      <c r="P352" s="710"/>
      <c r="Q352" s="611">
        <f t="shared" ref="Q352:Q358" si="226">K352</f>
        <v>2012</v>
      </c>
      <c r="R352" s="719" t="str">
        <f>IF(R342="","",IF(R342=0,"",R343/R342-1))</f>
        <v/>
      </c>
      <c r="S352" s="719" t="str">
        <f>IF(S342="","",IF(S342=0,"",S343/S342-1))</f>
        <v/>
      </c>
      <c r="T352" s="693"/>
      <c r="U352" s="681"/>
    </row>
    <row r="353" spans="2:22" x14ac:dyDescent="0.2">
      <c r="C353" s="710"/>
      <c r="D353" s="665">
        <f t="shared" si="223"/>
        <v>2013</v>
      </c>
      <c r="E353" s="693"/>
      <c r="F353" s="693"/>
      <c r="G353" s="718" t="str">
        <f t="shared" si="224"/>
        <v/>
      </c>
      <c r="H353" s="693"/>
      <c r="I353" s="715"/>
      <c r="J353" s="710"/>
      <c r="K353" s="611">
        <f t="shared" si="225"/>
        <v>2013</v>
      </c>
      <c r="L353" s="697" t="str">
        <f t="shared" ref="L353:M357" si="227">IF(L343=0,"",L344/L343-1)</f>
        <v/>
      </c>
      <c r="M353" s="697" t="str">
        <f t="shared" si="227"/>
        <v/>
      </c>
      <c r="N353" s="693"/>
      <c r="O353" s="616"/>
      <c r="P353" s="710"/>
      <c r="Q353" s="611">
        <f t="shared" si="226"/>
        <v>2013</v>
      </c>
      <c r="R353" s="719" t="str">
        <f t="shared" ref="R353:S357" si="228">IF(R343="","",IF(R343=0,"",R344/R343-1))</f>
        <v/>
      </c>
      <c r="S353" s="719" t="str">
        <f t="shared" si="228"/>
        <v/>
      </c>
      <c r="T353" s="693"/>
      <c r="U353" s="681"/>
    </row>
    <row r="354" spans="2:22" x14ac:dyDescent="0.2">
      <c r="C354" s="710"/>
      <c r="D354" s="656">
        <f t="shared" si="223"/>
        <v>2014</v>
      </c>
      <c r="E354" s="693"/>
      <c r="F354" s="693"/>
      <c r="G354" s="718" t="str">
        <f t="shared" si="224"/>
        <v/>
      </c>
      <c r="H354" s="693"/>
      <c r="I354" s="715"/>
      <c r="J354" s="710"/>
      <c r="K354" s="611">
        <f t="shared" si="225"/>
        <v>2014</v>
      </c>
      <c r="L354" s="697" t="str">
        <f t="shared" si="227"/>
        <v/>
      </c>
      <c r="M354" s="697" t="str">
        <f t="shared" si="227"/>
        <v/>
      </c>
      <c r="N354" s="693"/>
      <c r="O354" s="616"/>
      <c r="P354" s="710"/>
      <c r="Q354" s="611">
        <f t="shared" si="226"/>
        <v>2014</v>
      </c>
      <c r="R354" s="719" t="str">
        <f t="shared" si="228"/>
        <v/>
      </c>
      <c r="S354" s="719" t="str">
        <f t="shared" si="228"/>
        <v/>
      </c>
      <c r="T354" s="693"/>
      <c r="U354" s="681"/>
    </row>
    <row r="355" spans="2:22" x14ac:dyDescent="0.2">
      <c r="C355" s="710"/>
      <c r="D355" s="656">
        <f t="shared" si="223"/>
        <v>2015</v>
      </c>
      <c r="E355" s="693"/>
      <c r="F355" s="693"/>
      <c r="G355" s="718" t="str">
        <f t="shared" si="224"/>
        <v/>
      </c>
      <c r="H355" s="693"/>
      <c r="I355" s="715"/>
      <c r="J355" s="710"/>
      <c r="K355" s="611">
        <f t="shared" si="225"/>
        <v>2015</v>
      </c>
      <c r="L355" s="697" t="str">
        <f t="shared" si="227"/>
        <v/>
      </c>
      <c r="M355" s="697" t="str">
        <f t="shared" si="227"/>
        <v/>
      </c>
      <c r="N355" s="693"/>
      <c r="O355" s="616"/>
      <c r="P355" s="710"/>
      <c r="Q355" s="611">
        <f t="shared" si="226"/>
        <v>2015</v>
      </c>
      <c r="R355" s="719" t="str">
        <f t="shared" si="228"/>
        <v/>
      </c>
      <c r="S355" s="719" t="str">
        <f t="shared" si="228"/>
        <v/>
      </c>
      <c r="T355" s="693"/>
      <c r="U355" s="681"/>
    </row>
    <row r="356" spans="2:22" x14ac:dyDescent="0.2">
      <c r="C356" s="710"/>
      <c r="D356" s="656">
        <f t="shared" si="223"/>
        <v>2016</v>
      </c>
      <c r="E356" s="693"/>
      <c r="F356" s="693"/>
      <c r="G356" s="718" t="str">
        <f t="shared" si="224"/>
        <v/>
      </c>
      <c r="H356" s="693"/>
      <c r="I356" s="715"/>
      <c r="J356" s="710"/>
      <c r="K356" s="611">
        <f t="shared" si="225"/>
        <v>2016</v>
      </c>
      <c r="L356" s="697" t="str">
        <f>IF(K347="Forecast","",IF(L346=0,"",L347/L346-1))</f>
        <v/>
      </c>
      <c r="M356" s="697" t="str">
        <f t="shared" si="227"/>
        <v/>
      </c>
      <c r="N356" s="693"/>
      <c r="O356" s="616"/>
      <c r="P356" s="710"/>
      <c r="Q356" s="611">
        <f t="shared" si="226"/>
        <v>2016</v>
      </c>
      <c r="R356" s="719" t="str">
        <f>IF(Q347="Forecast","",IF(R346=0,"",R347/R346-1))</f>
        <v/>
      </c>
      <c r="S356" s="719" t="str">
        <f t="shared" si="228"/>
        <v/>
      </c>
      <c r="T356" s="693"/>
      <c r="U356" s="681"/>
    </row>
    <row r="357" spans="2:22" x14ac:dyDescent="0.2">
      <c r="C357" s="710"/>
      <c r="D357" s="665">
        <f t="shared" si="223"/>
        <v>2017</v>
      </c>
      <c r="E357" s="693"/>
      <c r="F357" s="693"/>
      <c r="G357" s="718" t="str">
        <f t="shared" si="224"/>
        <v/>
      </c>
      <c r="H357" s="693"/>
      <c r="I357" s="720" t="str">
        <f>IF(I349=0,"",G348/I349-1)</f>
        <v/>
      </c>
      <c r="J357" s="710"/>
      <c r="K357" s="611">
        <f t="shared" si="225"/>
        <v>2017</v>
      </c>
      <c r="L357" s="697" t="str">
        <f>IF(K348="Forecast","",IF(L347=0,"",L348/L347-1))</f>
        <v/>
      </c>
      <c r="M357" s="697" t="str">
        <f t="shared" si="227"/>
        <v/>
      </c>
      <c r="N357" s="693"/>
      <c r="O357" s="729" t="str">
        <f>IF(O349=0,"",M348/O349-1)</f>
        <v/>
      </c>
      <c r="P357" s="710"/>
      <c r="Q357" s="611">
        <f t="shared" si="226"/>
        <v>2017</v>
      </c>
      <c r="R357" s="719" t="str">
        <f>IF(Q348="Forecast","",IF(R347=0,"",R348/R347-1))</f>
        <v/>
      </c>
      <c r="S357" s="719" t="str">
        <f t="shared" si="228"/>
        <v/>
      </c>
      <c r="T357" s="693"/>
      <c r="U357" s="698" t="str">
        <f>IF(U349=0,"",S348/U349-1)</f>
        <v/>
      </c>
    </row>
    <row r="358" spans="2:22" ht="26.25" thickBot="1" x14ac:dyDescent="0.25">
      <c r="C358" s="677"/>
      <c r="D358" s="721" t="s">
        <v>282</v>
      </c>
      <c r="E358" s="699"/>
      <c r="F358" s="699"/>
      <c r="G358" s="722" t="str">
        <f>IF(G342=0,"",GEOMEAN(G352:G357))</f>
        <v/>
      </c>
      <c r="H358" s="699"/>
      <c r="I358" s="705" t="s">
        <v>312</v>
      </c>
      <c r="J358" s="710"/>
      <c r="K358" s="703" t="str">
        <f t="shared" si="225"/>
        <v>Geometric Mean</v>
      </c>
      <c r="L358" s="704"/>
      <c r="M358" s="704" t="str">
        <f>IF(M342=0,"",GEOMEAN(M352:M357))</f>
        <v/>
      </c>
      <c r="N358" s="699"/>
      <c r="O358" s="705" t="s">
        <v>312</v>
      </c>
      <c r="P358" s="677"/>
      <c r="Q358" s="703" t="str">
        <f t="shared" si="226"/>
        <v>Geometric Mean</v>
      </c>
      <c r="R358" s="724"/>
      <c r="S358" s="704" t="str">
        <f>IF(S342="","",IF(S342=0,"",(S348/S342)^(1/(Q357-Q351-1)-1)))</f>
        <v/>
      </c>
      <c r="T358" s="699"/>
      <c r="U358" s="705" t="s">
        <v>312</v>
      </c>
    </row>
    <row r="359" spans="2:22" ht="13.5" thickBot="1" x14ac:dyDescent="0.25"/>
    <row r="360" spans="2:22" ht="13.5" thickBot="1" x14ac:dyDescent="0.25">
      <c r="B360" s="635">
        <f>B317+1</f>
        <v>8</v>
      </c>
      <c r="C360" s="636" t="s">
        <v>284</v>
      </c>
      <c r="D360" s="817"/>
      <c r="E360" s="818"/>
      <c r="F360" s="819"/>
      <c r="G360" s="707"/>
      <c r="H360" s="12" t="s">
        <v>285</v>
      </c>
      <c r="N360" s="708"/>
      <c r="O360" s="709"/>
      <c r="P360" s="709"/>
      <c r="Q360" s="709"/>
      <c r="R360" s="709"/>
      <c r="S360" s="709"/>
      <c r="T360" s="709"/>
      <c r="U360" s="709"/>
    </row>
    <row r="361" spans="2:22" ht="13.5" thickBot="1" x14ac:dyDescent="0.25">
      <c r="Q361" s="699"/>
      <c r="R361" s="699"/>
      <c r="S361" s="699"/>
      <c r="T361" s="699"/>
      <c r="U361" s="699"/>
    </row>
    <row r="362" spans="2:22" x14ac:dyDescent="0.2">
      <c r="C362" s="597"/>
      <c r="D362" s="598" t="s">
        <v>274</v>
      </c>
      <c r="E362" s="598"/>
      <c r="F362" s="820" t="s">
        <v>286</v>
      </c>
      <c r="G362" s="821"/>
      <c r="H362" s="821"/>
      <c r="I362" s="822"/>
      <c r="J362" s="598"/>
      <c r="K362" s="812" t="s">
        <v>275</v>
      </c>
      <c r="L362" s="813"/>
      <c r="M362" s="813"/>
      <c r="N362" s="813"/>
      <c r="O362" s="814"/>
      <c r="P362" s="599"/>
      <c r="Q362" s="823" t="str">
        <f>CONCATENATE("Consumption (kWh) per ",LEFT(F362,LEN(F362)-1))</f>
        <v>Consumption (kWh) per Customer</v>
      </c>
      <c r="R362" s="824"/>
      <c r="S362" s="824"/>
      <c r="T362" s="824"/>
      <c r="U362" s="825"/>
      <c r="V362" s="637"/>
    </row>
    <row r="363" spans="2:22" ht="39" thickBot="1" x14ac:dyDescent="0.25">
      <c r="C363" s="677"/>
      <c r="D363" s="602" t="s">
        <v>311</v>
      </c>
      <c r="E363" s="610"/>
      <c r="F363" s="826"/>
      <c r="G363" s="827"/>
      <c r="H363" s="828"/>
      <c r="I363" s="638"/>
      <c r="J363" s="610"/>
      <c r="K363" s="606"/>
      <c r="L363" s="607" t="s">
        <v>276</v>
      </c>
      <c r="M363" s="607" t="s">
        <v>277</v>
      </c>
      <c r="N363" s="608"/>
      <c r="O363" s="609" t="s">
        <v>277</v>
      </c>
      <c r="P363" s="610"/>
      <c r="Q363" s="639"/>
      <c r="R363" s="640" t="str">
        <f>L363</f>
        <v>Actual (Weather actual)</v>
      </c>
      <c r="S363" s="641" t="str">
        <f>M363</f>
        <v>Weather-normalized</v>
      </c>
      <c r="T363" s="641"/>
      <c r="U363" s="642" t="str">
        <f>O363</f>
        <v>Weather-normalized</v>
      </c>
      <c r="V363" s="637"/>
    </row>
    <row r="364" spans="2:22" x14ac:dyDescent="0.2">
      <c r="C364" s="610" t="s">
        <v>278</v>
      </c>
      <c r="D364" s="611">
        <f t="shared" ref="D364:D369" si="229">D365-1</f>
        <v>2011</v>
      </c>
      <c r="E364" s="710"/>
      <c r="F364" s="643" t="str">
        <f>F321</f>
        <v>Actual</v>
      </c>
      <c r="G364" s="644"/>
      <c r="H364" s="680" t="str">
        <f t="shared" ref="H364:H370" si="230">IF(D364=2013,"Board-approved","")</f>
        <v/>
      </c>
      <c r="I364" s="681"/>
      <c r="J364" s="710"/>
      <c r="K364" s="645" t="str">
        <f>F364</f>
        <v>Actual</v>
      </c>
      <c r="L364" s="615"/>
      <c r="M364" s="615"/>
      <c r="N364" s="646" t="str">
        <f>H364</f>
        <v/>
      </c>
      <c r="O364" s="681"/>
      <c r="P364" s="710"/>
      <c r="Q364" s="645" t="str">
        <f>K364</f>
        <v>Actual</v>
      </c>
      <c r="R364" s="711" t="str">
        <f>IF(G364=0,"",L364/G364)</f>
        <v/>
      </c>
      <c r="S364" s="693" t="str">
        <f>IF(G364=0,"",M364/G364)</f>
        <v/>
      </c>
      <c r="T364" s="693" t="str">
        <f>N364</f>
        <v/>
      </c>
      <c r="U364" s="693" t="str">
        <f>IF(T364="","",IF(I364=0,"",O364/I364))</f>
        <v/>
      </c>
      <c r="V364" s="678"/>
    </row>
    <row r="365" spans="2:22" x14ac:dyDescent="0.2">
      <c r="C365" s="610" t="s">
        <v>278</v>
      </c>
      <c r="D365" s="611">
        <f t="shared" si="229"/>
        <v>2012</v>
      </c>
      <c r="E365" s="710"/>
      <c r="F365" s="647" t="str">
        <f t="shared" ref="F365:F370" si="231">F322</f>
        <v>Actual</v>
      </c>
      <c r="G365" s="644"/>
      <c r="H365" s="680" t="str">
        <f t="shared" si="230"/>
        <v/>
      </c>
      <c r="I365" s="681"/>
      <c r="J365" s="710"/>
      <c r="K365" s="645" t="str">
        <f t="shared" ref="K365:K370" si="232">F365</f>
        <v>Actual</v>
      </c>
      <c r="L365" s="615"/>
      <c r="M365" s="615"/>
      <c r="N365" s="646" t="str">
        <f t="shared" ref="N365:N370" si="233">H365</f>
        <v/>
      </c>
      <c r="O365" s="681"/>
      <c r="P365" s="710"/>
      <c r="Q365" s="645" t="str">
        <f t="shared" ref="Q365:Q370" si="234">K365</f>
        <v>Actual</v>
      </c>
      <c r="R365" s="711" t="str">
        <f t="shared" ref="R365:R370" si="235">IF(G365=0,"",L365/G365)</f>
        <v/>
      </c>
      <c r="S365" s="693" t="str">
        <f t="shared" ref="S365:S370" si="236">IF(G365=0,"",M365/G365)</f>
        <v/>
      </c>
      <c r="T365" s="693" t="str">
        <f t="shared" ref="T365:T370" si="237">N365</f>
        <v/>
      </c>
      <c r="U365" s="693" t="str">
        <f t="shared" ref="U365:U370" si="238">IF(T365="","",IF(I365=0,"",O365/I365))</f>
        <v/>
      </c>
      <c r="V365" s="678"/>
    </row>
    <row r="366" spans="2:22" x14ac:dyDescent="0.2">
      <c r="C366" s="610" t="s">
        <v>278</v>
      </c>
      <c r="D366" s="611">
        <f t="shared" si="229"/>
        <v>2013</v>
      </c>
      <c r="E366" s="710"/>
      <c r="F366" s="647" t="str">
        <f t="shared" si="231"/>
        <v>Actual</v>
      </c>
      <c r="G366" s="644"/>
      <c r="H366" s="680" t="str">
        <f t="shared" si="230"/>
        <v>Board-approved</v>
      </c>
      <c r="I366" s="616"/>
      <c r="J366" s="710"/>
      <c r="K366" s="645" t="str">
        <f t="shared" si="232"/>
        <v>Actual</v>
      </c>
      <c r="L366" s="615"/>
      <c r="M366" s="615"/>
      <c r="N366" s="646" t="str">
        <f t="shared" si="233"/>
        <v>Board-approved</v>
      </c>
      <c r="O366" s="616"/>
      <c r="P366" s="710"/>
      <c r="Q366" s="645" t="str">
        <f t="shared" si="234"/>
        <v>Actual</v>
      </c>
      <c r="R366" s="711" t="str">
        <f t="shared" si="235"/>
        <v/>
      </c>
      <c r="S366" s="693" t="str">
        <f t="shared" si="236"/>
        <v/>
      </c>
      <c r="T366" s="693" t="str">
        <f t="shared" si="237"/>
        <v>Board-approved</v>
      </c>
      <c r="U366" s="693" t="str">
        <f t="shared" si="238"/>
        <v/>
      </c>
      <c r="V366" s="678"/>
    </row>
    <row r="367" spans="2:22" x14ac:dyDescent="0.2">
      <c r="C367" s="610" t="s">
        <v>278</v>
      </c>
      <c r="D367" s="611">
        <f t="shared" si="229"/>
        <v>2014</v>
      </c>
      <c r="E367" s="710"/>
      <c r="F367" s="647" t="str">
        <f t="shared" si="231"/>
        <v>Actual</v>
      </c>
      <c r="G367" s="644"/>
      <c r="H367" s="680" t="str">
        <f t="shared" si="230"/>
        <v/>
      </c>
      <c r="I367" s="681"/>
      <c r="J367" s="710"/>
      <c r="K367" s="645" t="str">
        <f t="shared" si="232"/>
        <v>Actual</v>
      </c>
      <c r="L367" s="615"/>
      <c r="M367" s="615"/>
      <c r="N367" s="646" t="str">
        <f t="shared" si="233"/>
        <v/>
      </c>
      <c r="O367" s="681"/>
      <c r="P367" s="710"/>
      <c r="Q367" s="645" t="str">
        <f t="shared" si="234"/>
        <v>Actual</v>
      </c>
      <c r="R367" s="711" t="str">
        <f t="shared" si="235"/>
        <v/>
      </c>
      <c r="S367" s="693" t="str">
        <f t="shared" si="236"/>
        <v/>
      </c>
      <c r="T367" s="693" t="str">
        <f t="shared" si="237"/>
        <v/>
      </c>
      <c r="U367" s="693" t="str">
        <f t="shared" si="238"/>
        <v/>
      </c>
      <c r="V367" s="678"/>
    </row>
    <row r="368" spans="2:22" x14ac:dyDescent="0.2">
      <c r="C368" s="610" t="s">
        <v>278</v>
      </c>
      <c r="D368" s="611">
        <f t="shared" si="229"/>
        <v>2015</v>
      </c>
      <c r="E368" s="710"/>
      <c r="F368" s="647" t="str">
        <f t="shared" si="231"/>
        <v>Actual</v>
      </c>
      <c r="G368" s="644"/>
      <c r="H368" s="680" t="str">
        <f t="shared" si="230"/>
        <v/>
      </c>
      <c r="I368" s="681"/>
      <c r="J368" s="710"/>
      <c r="K368" s="645" t="str">
        <f t="shared" si="232"/>
        <v>Actual</v>
      </c>
      <c r="L368" s="615"/>
      <c r="M368" s="615"/>
      <c r="N368" s="646" t="str">
        <f t="shared" si="233"/>
        <v/>
      </c>
      <c r="O368" s="681"/>
      <c r="P368" s="710"/>
      <c r="Q368" s="645" t="str">
        <f t="shared" si="234"/>
        <v>Actual</v>
      </c>
      <c r="R368" s="711" t="str">
        <f t="shared" si="235"/>
        <v/>
      </c>
      <c r="S368" s="693" t="str">
        <f t="shared" si="236"/>
        <v/>
      </c>
      <c r="T368" s="693" t="str">
        <f t="shared" si="237"/>
        <v/>
      </c>
      <c r="U368" s="693" t="str">
        <f t="shared" si="238"/>
        <v/>
      </c>
      <c r="V368" s="678"/>
    </row>
    <row r="369" spans="2:22" x14ac:dyDescent="0.2">
      <c r="C369" s="610" t="s">
        <v>54</v>
      </c>
      <c r="D369" s="611">
        <f t="shared" si="229"/>
        <v>2016</v>
      </c>
      <c r="E369" s="710"/>
      <c r="F369" s="647" t="str">
        <f t="shared" si="231"/>
        <v>Forecast</v>
      </c>
      <c r="G369" s="644"/>
      <c r="H369" s="680" t="str">
        <f t="shared" si="230"/>
        <v/>
      </c>
      <c r="I369" s="681"/>
      <c r="J369" s="710"/>
      <c r="K369" s="645" t="str">
        <f t="shared" si="232"/>
        <v>Forecast</v>
      </c>
      <c r="L369" s="682"/>
      <c r="M369" s="615"/>
      <c r="N369" s="646" t="str">
        <f t="shared" si="233"/>
        <v/>
      </c>
      <c r="O369" s="681"/>
      <c r="P369" s="710"/>
      <c r="Q369" s="645" t="str">
        <f t="shared" si="234"/>
        <v>Forecast</v>
      </c>
      <c r="R369" s="711" t="str">
        <f t="shared" si="235"/>
        <v/>
      </c>
      <c r="S369" s="693" t="str">
        <f t="shared" si="236"/>
        <v/>
      </c>
      <c r="T369" s="693" t="str">
        <f t="shared" si="237"/>
        <v/>
      </c>
      <c r="U369" s="693" t="str">
        <f t="shared" si="238"/>
        <v/>
      </c>
      <c r="V369" s="678"/>
    </row>
    <row r="370" spans="2:22" ht="13.5" thickBot="1" x14ac:dyDescent="0.25">
      <c r="C370" s="617" t="s">
        <v>53</v>
      </c>
      <c r="D370" s="618">
        <v>2017</v>
      </c>
      <c r="E370" s="677"/>
      <c r="F370" s="648" t="str">
        <f t="shared" si="231"/>
        <v>Forecast</v>
      </c>
      <c r="G370" s="649"/>
      <c r="H370" s="685" t="str">
        <f t="shared" si="230"/>
        <v/>
      </c>
      <c r="I370" s="687"/>
      <c r="J370" s="677"/>
      <c r="K370" s="650" t="str">
        <f t="shared" si="232"/>
        <v>Forecast</v>
      </c>
      <c r="L370" s="686"/>
      <c r="M370" s="730"/>
      <c r="N370" s="651" t="str">
        <f t="shared" si="233"/>
        <v/>
      </c>
      <c r="O370" s="687"/>
      <c r="P370" s="677"/>
      <c r="Q370" s="650" t="str">
        <f t="shared" si="234"/>
        <v>Forecast</v>
      </c>
      <c r="R370" s="712" t="str">
        <f t="shared" si="235"/>
        <v/>
      </c>
      <c r="S370" s="699" t="str">
        <f t="shared" si="236"/>
        <v/>
      </c>
      <c r="T370" s="699" t="str">
        <f t="shared" si="237"/>
        <v/>
      </c>
      <c r="U370" s="699" t="str">
        <f t="shared" si="238"/>
        <v/>
      </c>
      <c r="V370" s="678"/>
    </row>
    <row r="371" spans="2:22" ht="13.5" thickBot="1" x14ac:dyDescent="0.25">
      <c r="B371" s="693"/>
      <c r="C371" s="652"/>
      <c r="I371" s="623">
        <f>SUM(I364:I369)</f>
        <v>0</v>
      </c>
      <c r="O371" s="623">
        <f>SUM(O364:O369)</f>
        <v>0</v>
      </c>
      <c r="U371" s="623">
        <f>SUM(U364:U369)</f>
        <v>0</v>
      </c>
    </row>
    <row r="372" spans="2:22" ht="39" thickBot="1" x14ac:dyDescent="0.25">
      <c r="C372" s="653" t="s">
        <v>279</v>
      </c>
      <c r="D372" s="654" t="s">
        <v>80</v>
      </c>
      <c r="E372" s="688"/>
      <c r="F372" s="688"/>
      <c r="G372" s="628" t="s">
        <v>280</v>
      </c>
      <c r="H372" s="688"/>
      <c r="I372" s="630" t="s">
        <v>287</v>
      </c>
      <c r="J372" s="713"/>
      <c r="K372" s="627" t="s">
        <v>80</v>
      </c>
      <c r="L372" s="816" t="s">
        <v>280</v>
      </c>
      <c r="M372" s="816"/>
      <c r="N372" s="688"/>
      <c r="O372" s="630" t="str">
        <f>I372</f>
        <v>Test Year Versus Board-approved</v>
      </c>
      <c r="P372" s="597"/>
      <c r="Q372" s="627" t="s">
        <v>80</v>
      </c>
      <c r="R372" s="816" t="s">
        <v>280</v>
      </c>
      <c r="S372" s="816"/>
      <c r="T372" s="688"/>
      <c r="U372" s="630" t="str">
        <f>O372</f>
        <v>Test Year Versus Board-approved</v>
      </c>
    </row>
    <row r="373" spans="2:22" x14ac:dyDescent="0.2">
      <c r="C373" s="710"/>
      <c r="D373" s="655">
        <f t="shared" ref="D373:D379" si="239">D364</f>
        <v>2011</v>
      </c>
      <c r="E373" s="693"/>
      <c r="F373" s="693"/>
      <c r="G373" s="714"/>
      <c r="H373" s="693"/>
      <c r="I373" s="715"/>
      <c r="J373" s="716"/>
      <c r="K373" s="611">
        <f>D373</f>
        <v>2011</v>
      </c>
      <c r="L373" s="695"/>
      <c r="M373" s="695"/>
      <c r="N373" s="693"/>
      <c r="O373" s="681"/>
      <c r="P373" s="710"/>
      <c r="Q373" s="611">
        <f>K373</f>
        <v>2011</v>
      </c>
      <c r="R373" s="717"/>
      <c r="S373" s="717"/>
      <c r="T373" s="693"/>
      <c r="U373" s="681"/>
    </row>
    <row r="374" spans="2:22" x14ac:dyDescent="0.2">
      <c r="C374" s="710"/>
      <c r="D374" s="656">
        <f t="shared" si="239"/>
        <v>2012</v>
      </c>
      <c r="E374" s="693"/>
      <c r="F374" s="693"/>
      <c r="G374" s="718" t="str">
        <f t="shared" ref="G374:G379" si="240">IF(G364=0,"",G365/G364-1)</f>
        <v/>
      </c>
      <c r="H374" s="693"/>
      <c r="I374" s="715"/>
      <c r="J374" s="716"/>
      <c r="K374" s="611">
        <f t="shared" ref="K374:K380" si="241">D374</f>
        <v>2012</v>
      </c>
      <c r="L374" s="697" t="str">
        <f t="shared" ref="L374:M377" si="242">IF(L364=0,"",L365/L364-1)</f>
        <v/>
      </c>
      <c r="M374" s="697" t="str">
        <f t="shared" si="242"/>
        <v/>
      </c>
      <c r="N374" s="693"/>
      <c r="O374" s="681"/>
      <c r="P374" s="710"/>
      <c r="Q374" s="611">
        <f t="shared" ref="Q374:Q380" si="243">K374</f>
        <v>2012</v>
      </c>
      <c r="R374" s="719" t="str">
        <f>IF(R364="","",IF(R364=0,"",R365/R364-1))</f>
        <v/>
      </c>
      <c r="S374" s="719" t="str">
        <f>IF(S364="","",IF(S364=0,"",S365/S364-1))</f>
        <v/>
      </c>
      <c r="T374" s="693"/>
      <c r="U374" s="681"/>
    </row>
    <row r="375" spans="2:22" x14ac:dyDescent="0.2">
      <c r="C375" s="710"/>
      <c r="D375" s="656">
        <f t="shared" si="239"/>
        <v>2013</v>
      </c>
      <c r="E375" s="693"/>
      <c r="F375" s="693"/>
      <c r="G375" s="718" t="str">
        <f t="shared" si="240"/>
        <v/>
      </c>
      <c r="H375" s="693"/>
      <c r="I375" s="715"/>
      <c r="J375" s="716"/>
      <c r="K375" s="611">
        <f t="shared" si="241"/>
        <v>2013</v>
      </c>
      <c r="L375" s="697" t="str">
        <f t="shared" si="242"/>
        <v/>
      </c>
      <c r="M375" s="697" t="str">
        <f t="shared" si="242"/>
        <v/>
      </c>
      <c r="N375" s="693"/>
      <c r="O375" s="681"/>
      <c r="P375" s="710"/>
      <c r="Q375" s="611">
        <f t="shared" si="243"/>
        <v>2013</v>
      </c>
      <c r="R375" s="719" t="str">
        <f t="shared" ref="R375:S379" si="244">IF(R365="","",IF(R365=0,"",R366/R365-1))</f>
        <v/>
      </c>
      <c r="S375" s="719" t="str">
        <f t="shared" si="244"/>
        <v/>
      </c>
      <c r="T375" s="693"/>
      <c r="U375" s="681"/>
    </row>
    <row r="376" spans="2:22" x14ac:dyDescent="0.2">
      <c r="C376" s="710"/>
      <c r="D376" s="656">
        <f t="shared" si="239"/>
        <v>2014</v>
      </c>
      <c r="E376" s="693"/>
      <c r="F376" s="693"/>
      <c r="G376" s="718" t="str">
        <f t="shared" si="240"/>
        <v/>
      </c>
      <c r="H376" s="693"/>
      <c r="I376" s="715"/>
      <c r="J376" s="716"/>
      <c r="K376" s="611">
        <f t="shared" si="241"/>
        <v>2014</v>
      </c>
      <c r="L376" s="697" t="str">
        <f t="shared" si="242"/>
        <v/>
      </c>
      <c r="M376" s="697" t="str">
        <f t="shared" si="242"/>
        <v/>
      </c>
      <c r="N376" s="693"/>
      <c r="O376" s="681"/>
      <c r="P376" s="710"/>
      <c r="Q376" s="611">
        <f t="shared" si="243"/>
        <v>2014</v>
      </c>
      <c r="R376" s="719" t="str">
        <f t="shared" si="244"/>
        <v/>
      </c>
      <c r="S376" s="719" t="str">
        <f t="shared" si="244"/>
        <v/>
      </c>
      <c r="T376" s="693"/>
      <c r="U376" s="681"/>
    </row>
    <row r="377" spans="2:22" x14ac:dyDescent="0.2">
      <c r="C377" s="710"/>
      <c r="D377" s="656">
        <f t="shared" si="239"/>
        <v>2015</v>
      </c>
      <c r="E377" s="693"/>
      <c r="F377" s="693"/>
      <c r="G377" s="718" t="str">
        <f t="shared" si="240"/>
        <v/>
      </c>
      <c r="H377" s="693"/>
      <c r="I377" s="715"/>
      <c r="J377" s="716"/>
      <c r="K377" s="611">
        <f t="shared" si="241"/>
        <v>2015</v>
      </c>
      <c r="L377" s="697" t="str">
        <f t="shared" si="242"/>
        <v/>
      </c>
      <c r="M377" s="697" t="str">
        <f t="shared" si="242"/>
        <v/>
      </c>
      <c r="N377" s="693"/>
      <c r="O377" s="681"/>
      <c r="P377" s="710"/>
      <c r="Q377" s="611">
        <f t="shared" si="243"/>
        <v>2015</v>
      </c>
      <c r="R377" s="719" t="str">
        <f t="shared" si="244"/>
        <v/>
      </c>
      <c r="S377" s="719" t="str">
        <f t="shared" si="244"/>
        <v/>
      </c>
      <c r="T377" s="693"/>
      <c r="U377" s="681"/>
    </row>
    <row r="378" spans="2:22" x14ac:dyDescent="0.2">
      <c r="C378" s="710"/>
      <c r="D378" s="656">
        <f t="shared" si="239"/>
        <v>2016</v>
      </c>
      <c r="E378" s="693"/>
      <c r="F378" s="693"/>
      <c r="G378" s="718" t="str">
        <f t="shared" si="240"/>
        <v/>
      </c>
      <c r="H378" s="693"/>
      <c r="I378" s="715"/>
      <c r="J378" s="716"/>
      <c r="K378" s="611">
        <f t="shared" si="241"/>
        <v>2016</v>
      </c>
      <c r="L378" s="697" t="str">
        <f>IF(K369="Forecast","",IF(L368=0,"",L369/L368-1))</f>
        <v/>
      </c>
      <c r="M378" s="697" t="str">
        <f>IF(M368=0,"",M369/M368-1)</f>
        <v/>
      </c>
      <c r="N378" s="693"/>
      <c r="O378" s="681"/>
      <c r="P378" s="710"/>
      <c r="Q378" s="611">
        <f t="shared" si="243"/>
        <v>2016</v>
      </c>
      <c r="R378" s="719" t="str">
        <f>IF(Q369="Forecast","",IF(R368=0,"",R369/R368-1))</f>
        <v/>
      </c>
      <c r="S378" s="719" t="str">
        <f t="shared" si="244"/>
        <v/>
      </c>
      <c r="T378" s="693"/>
      <c r="U378" s="681"/>
    </row>
    <row r="379" spans="2:22" x14ac:dyDescent="0.2">
      <c r="C379" s="710"/>
      <c r="D379" s="656">
        <f t="shared" si="239"/>
        <v>2017</v>
      </c>
      <c r="E379" s="693"/>
      <c r="F379" s="693"/>
      <c r="G379" s="718" t="str">
        <f t="shared" si="240"/>
        <v/>
      </c>
      <c r="H379" s="693"/>
      <c r="I379" s="720" t="str">
        <f>IF(I371=0,"",G370/I371-1)</f>
        <v/>
      </c>
      <c r="J379" s="716"/>
      <c r="K379" s="611">
        <f t="shared" si="241"/>
        <v>2017</v>
      </c>
      <c r="L379" s="697" t="str">
        <f>IF(K370="Forecast","",IF(L369=0,"",L370/L369-1))</f>
        <v/>
      </c>
      <c r="M379" s="697" t="str">
        <f>IF(M369=0,"",M370/M369-1)</f>
        <v/>
      </c>
      <c r="N379" s="693"/>
      <c r="O379" s="698" t="str">
        <f>IF(O371=0,"",M370/O371-1)</f>
        <v/>
      </c>
      <c r="P379" s="710"/>
      <c r="Q379" s="611">
        <f t="shared" si="243"/>
        <v>2017</v>
      </c>
      <c r="R379" s="719" t="str">
        <f>IF(Q370="Forecast","",IF(R369=0,"",R370/R369-1))</f>
        <v/>
      </c>
      <c r="S379" s="719" t="str">
        <f t="shared" si="244"/>
        <v/>
      </c>
      <c r="T379" s="693"/>
      <c r="U379" s="698" t="str">
        <f>IF(U371=0,"",S370/U371-1)</f>
        <v/>
      </c>
    </row>
    <row r="380" spans="2:22" ht="26.25" thickBot="1" x14ac:dyDescent="0.25">
      <c r="C380" s="677"/>
      <c r="D380" s="721" t="s">
        <v>282</v>
      </c>
      <c r="E380" s="699"/>
      <c r="F380" s="699"/>
      <c r="G380" s="722" t="str">
        <f>IF(G364=0,"",GEOMEAN(G374:G379))</f>
        <v/>
      </c>
      <c r="H380" s="699"/>
      <c r="I380" s="723" t="s">
        <v>312</v>
      </c>
      <c r="J380" s="702"/>
      <c r="K380" s="703" t="str">
        <f t="shared" si="241"/>
        <v>Geometric Mean</v>
      </c>
      <c r="L380" s="704"/>
      <c r="M380" s="704" t="str">
        <f>IF(M364=0,"",(M370/M364)^(1/(K379-K373-1)-1))</f>
        <v/>
      </c>
      <c r="N380" s="699"/>
      <c r="O380" s="705" t="s">
        <v>312</v>
      </c>
      <c r="P380" s="677"/>
      <c r="Q380" s="703" t="str">
        <f t="shared" si="243"/>
        <v>Geometric Mean</v>
      </c>
      <c r="R380" s="724"/>
      <c r="S380" s="704" t="str">
        <f>IF(S364="","",IF(S364=0,"",(S370/S364)^(1/(Q379-Q373-1)-1)))</f>
        <v/>
      </c>
      <c r="T380" s="699"/>
      <c r="U380" s="705" t="s">
        <v>312</v>
      </c>
    </row>
    <row r="382" spans="2:22" ht="13.5" thickBot="1" x14ac:dyDescent="0.25">
      <c r="Q382" s="699"/>
      <c r="R382" s="699"/>
      <c r="S382" s="699"/>
      <c r="T382" s="699"/>
      <c r="U382" s="699"/>
    </row>
    <row r="383" spans="2:22" x14ac:dyDescent="0.2">
      <c r="C383" s="597"/>
      <c r="D383" s="598" t="s">
        <v>274</v>
      </c>
      <c r="E383" s="598"/>
      <c r="F383" s="829" t="s">
        <v>240</v>
      </c>
      <c r="G383" s="830"/>
      <c r="H383" s="830"/>
      <c r="I383" s="831"/>
      <c r="K383" s="812" t="str">
        <f>IF(ISBLANK(N360),"",CONCATENATE("Demand (",N360,")"))</f>
        <v/>
      </c>
      <c r="L383" s="813"/>
      <c r="M383" s="813"/>
      <c r="N383" s="813"/>
      <c r="O383" s="814"/>
      <c r="Q383" s="823" t="str">
        <f>CONCATENATE("Demand (",N360,") per ",LEFT(F362,LEN(F362)-1))</f>
        <v>Demand () per Customer</v>
      </c>
      <c r="R383" s="824"/>
      <c r="S383" s="824"/>
      <c r="T383" s="824"/>
      <c r="U383" s="825"/>
    </row>
    <row r="384" spans="2:22" ht="39" thickBot="1" x14ac:dyDescent="0.25">
      <c r="C384" s="677"/>
      <c r="D384" s="602" t="s">
        <v>311</v>
      </c>
      <c r="E384" s="610"/>
      <c r="F384" s="826"/>
      <c r="G384" s="827"/>
      <c r="H384" s="827"/>
      <c r="I384" s="638"/>
      <c r="K384" s="606"/>
      <c r="L384" s="607" t="s">
        <v>276</v>
      </c>
      <c r="M384" s="607" t="s">
        <v>277</v>
      </c>
      <c r="N384" s="608"/>
      <c r="O384" s="609" t="str">
        <f>M384</f>
        <v>Weather-normalized</v>
      </c>
      <c r="Q384" s="657"/>
      <c r="R384" s="607" t="str">
        <f>L384</f>
        <v>Actual (Weather actual)</v>
      </c>
      <c r="S384" s="607" t="str">
        <f>M384</f>
        <v>Weather-normalized</v>
      </c>
      <c r="T384" s="607"/>
      <c r="U384" s="658" t="str">
        <f>O384</f>
        <v>Weather-normalized</v>
      </c>
    </row>
    <row r="385" spans="3:21" x14ac:dyDescent="0.2">
      <c r="C385" s="610" t="s">
        <v>278</v>
      </c>
      <c r="D385" s="611">
        <f t="shared" ref="D385:D390" si="245">D386-1</f>
        <v>2011</v>
      </c>
      <c r="E385" s="710"/>
      <c r="F385" s="643" t="str">
        <f t="shared" ref="F385:F391" si="246">F364</f>
        <v>Actual</v>
      </c>
      <c r="G385" s="659"/>
      <c r="H385" s="679" t="str">
        <f t="shared" ref="H385:H391" si="247">IF(D385=2013,"Board-approved","")</f>
        <v/>
      </c>
      <c r="I385" s="725"/>
      <c r="K385" s="645" t="str">
        <f t="shared" ref="K385:K391" si="248">K364</f>
        <v>Actual</v>
      </c>
      <c r="L385" s="615"/>
      <c r="M385" s="615"/>
      <c r="N385" s="646" t="str">
        <f t="shared" ref="N385:N391" si="249">N364</f>
        <v/>
      </c>
      <c r="O385" s="681"/>
      <c r="Q385" s="645" t="str">
        <f>K385</f>
        <v>Actual</v>
      </c>
      <c r="R385" s="693" t="str">
        <f>IF(G385=0,"",L385/G385)</f>
        <v/>
      </c>
      <c r="S385" s="678" t="str">
        <f>IF(G385=0,"",M385/G385)</f>
        <v/>
      </c>
      <c r="T385" s="678" t="str">
        <f>N385</f>
        <v/>
      </c>
      <c r="U385" s="710" t="str">
        <f>IF(T385="","",IF(I385=0,"",O385/I385))</f>
        <v/>
      </c>
    </row>
    <row r="386" spans="3:21" x14ac:dyDescent="0.2">
      <c r="C386" s="610" t="s">
        <v>278</v>
      </c>
      <c r="D386" s="611">
        <f t="shared" si="245"/>
        <v>2012</v>
      </c>
      <c r="E386" s="710"/>
      <c r="F386" s="647" t="str">
        <f t="shared" si="246"/>
        <v>Actual</v>
      </c>
      <c r="G386" s="659"/>
      <c r="H386" s="679" t="str">
        <f t="shared" si="247"/>
        <v/>
      </c>
      <c r="I386" s="681"/>
      <c r="K386" s="645" t="str">
        <f t="shared" si="248"/>
        <v>Actual</v>
      </c>
      <c r="L386" s="615"/>
      <c r="M386" s="615"/>
      <c r="N386" s="646" t="str">
        <f t="shared" si="249"/>
        <v/>
      </c>
      <c r="O386" s="681"/>
      <c r="Q386" s="645" t="str">
        <f t="shared" ref="Q386:Q391" si="250">K386</f>
        <v>Actual</v>
      </c>
      <c r="R386" s="693" t="str">
        <f t="shared" ref="R386:R391" si="251">IF(G386=0,"",L386/G386)</f>
        <v/>
      </c>
      <c r="S386" s="678" t="str">
        <f t="shared" ref="S386:S391" si="252">IF(G386=0,"",M386/G386)</f>
        <v/>
      </c>
      <c r="T386" s="678" t="str">
        <f t="shared" ref="T386:T391" si="253">N386</f>
        <v/>
      </c>
      <c r="U386" s="710" t="str">
        <f t="shared" ref="U386:U391" si="254">IF(T386="","",IF(I386=0,"",O386/I386))</f>
        <v/>
      </c>
    </row>
    <row r="387" spans="3:21" x14ac:dyDescent="0.2">
      <c r="C387" s="610" t="s">
        <v>278</v>
      </c>
      <c r="D387" s="611">
        <f t="shared" si="245"/>
        <v>2013</v>
      </c>
      <c r="E387" s="710"/>
      <c r="F387" s="647" t="str">
        <f t="shared" si="246"/>
        <v>Actual</v>
      </c>
      <c r="G387" s="659"/>
      <c r="H387" s="679" t="str">
        <f t="shared" si="247"/>
        <v>Board-approved</v>
      </c>
      <c r="I387" s="660"/>
      <c r="K387" s="645" t="str">
        <f t="shared" si="248"/>
        <v>Actual</v>
      </c>
      <c r="L387" s="615"/>
      <c r="M387" s="615"/>
      <c r="N387" s="646" t="str">
        <f t="shared" si="249"/>
        <v>Board-approved</v>
      </c>
      <c r="O387" s="616"/>
      <c r="Q387" s="645" t="str">
        <f t="shared" si="250"/>
        <v>Actual</v>
      </c>
      <c r="R387" s="693" t="str">
        <f t="shared" si="251"/>
        <v/>
      </c>
      <c r="S387" s="678" t="str">
        <f t="shared" si="252"/>
        <v/>
      </c>
      <c r="T387" s="678" t="str">
        <f t="shared" si="253"/>
        <v>Board-approved</v>
      </c>
      <c r="U387" s="710" t="str">
        <f t="shared" si="254"/>
        <v/>
      </c>
    </row>
    <row r="388" spans="3:21" x14ac:dyDescent="0.2">
      <c r="C388" s="610" t="s">
        <v>278</v>
      </c>
      <c r="D388" s="611">
        <f t="shared" si="245"/>
        <v>2014</v>
      </c>
      <c r="E388" s="710"/>
      <c r="F388" s="647" t="str">
        <f t="shared" si="246"/>
        <v>Actual</v>
      </c>
      <c r="G388" s="659"/>
      <c r="H388" s="679" t="str">
        <f t="shared" si="247"/>
        <v/>
      </c>
      <c r="I388" s="681"/>
      <c r="K388" s="645" t="str">
        <f t="shared" si="248"/>
        <v>Actual</v>
      </c>
      <c r="L388" s="615"/>
      <c r="M388" s="615"/>
      <c r="N388" s="646" t="str">
        <f t="shared" si="249"/>
        <v/>
      </c>
      <c r="O388" s="681"/>
      <c r="Q388" s="645" t="str">
        <f t="shared" si="250"/>
        <v>Actual</v>
      </c>
      <c r="R388" s="693" t="str">
        <f t="shared" si="251"/>
        <v/>
      </c>
      <c r="S388" s="678" t="str">
        <f t="shared" si="252"/>
        <v/>
      </c>
      <c r="T388" s="678" t="str">
        <f t="shared" si="253"/>
        <v/>
      </c>
      <c r="U388" s="710" t="str">
        <f t="shared" si="254"/>
        <v/>
      </c>
    </row>
    <row r="389" spans="3:21" x14ac:dyDescent="0.2">
      <c r="C389" s="610" t="s">
        <v>278</v>
      </c>
      <c r="D389" s="611">
        <f t="shared" si="245"/>
        <v>2015</v>
      </c>
      <c r="E389" s="710"/>
      <c r="F389" s="647" t="str">
        <f t="shared" si="246"/>
        <v>Actual</v>
      </c>
      <c r="G389" s="659"/>
      <c r="H389" s="679" t="str">
        <f t="shared" si="247"/>
        <v/>
      </c>
      <c r="I389" s="681"/>
      <c r="K389" s="645" t="str">
        <f t="shared" si="248"/>
        <v>Actual</v>
      </c>
      <c r="L389" s="615"/>
      <c r="M389" s="615"/>
      <c r="N389" s="646" t="str">
        <f t="shared" si="249"/>
        <v/>
      </c>
      <c r="O389" s="681"/>
      <c r="Q389" s="645" t="str">
        <f t="shared" si="250"/>
        <v>Actual</v>
      </c>
      <c r="R389" s="693" t="str">
        <f t="shared" si="251"/>
        <v/>
      </c>
      <c r="S389" s="678" t="str">
        <f t="shared" si="252"/>
        <v/>
      </c>
      <c r="T389" s="678" t="str">
        <f t="shared" si="253"/>
        <v/>
      </c>
      <c r="U389" s="710" t="str">
        <f t="shared" si="254"/>
        <v/>
      </c>
    </row>
    <row r="390" spans="3:21" x14ac:dyDescent="0.2">
      <c r="C390" s="610" t="s">
        <v>288</v>
      </c>
      <c r="D390" s="611">
        <f t="shared" si="245"/>
        <v>2016</v>
      </c>
      <c r="E390" s="710"/>
      <c r="F390" s="647" t="str">
        <f t="shared" si="246"/>
        <v>Forecast</v>
      </c>
      <c r="G390" s="659"/>
      <c r="H390" s="679" t="str">
        <f t="shared" si="247"/>
        <v/>
      </c>
      <c r="I390" s="681"/>
      <c r="K390" s="645" t="str">
        <f t="shared" si="248"/>
        <v>Forecast</v>
      </c>
      <c r="L390" s="682"/>
      <c r="M390" s="726"/>
      <c r="N390" s="646" t="str">
        <f t="shared" si="249"/>
        <v/>
      </c>
      <c r="O390" s="681"/>
      <c r="Q390" s="645" t="str">
        <f t="shared" si="250"/>
        <v>Forecast</v>
      </c>
      <c r="R390" s="693" t="str">
        <f t="shared" si="251"/>
        <v/>
      </c>
      <c r="S390" s="678" t="str">
        <f t="shared" si="252"/>
        <v/>
      </c>
      <c r="T390" s="678" t="str">
        <f t="shared" si="253"/>
        <v/>
      </c>
      <c r="U390" s="710" t="str">
        <f t="shared" si="254"/>
        <v/>
      </c>
    </row>
    <row r="391" spans="3:21" ht="13.5" thickBot="1" x14ac:dyDescent="0.25">
      <c r="C391" s="617" t="s">
        <v>289</v>
      </c>
      <c r="D391" s="618">
        <v>2017</v>
      </c>
      <c r="E391" s="677"/>
      <c r="F391" s="648" t="str">
        <f t="shared" si="246"/>
        <v>Forecast</v>
      </c>
      <c r="G391" s="661"/>
      <c r="H391" s="684" t="str">
        <f t="shared" si="247"/>
        <v/>
      </c>
      <c r="I391" s="687"/>
      <c r="K391" s="650" t="str">
        <f t="shared" si="248"/>
        <v>Forecast</v>
      </c>
      <c r="L391" s="686"/>
      <c r="M391" s="727"/>
      <c r="N391" s="651" t="str">
        <f t="shared" si="249"/>
        <v/>
      </c>
      <c r="O391" s="687"/>
      <c r="Q391" s="728" t="str">
        <f t="shared" si="250"/>
        <v>Forecast</v>
      </c>
      <c r="R391" s="683" t="str">
        <f t="shared" si="251"/>
        <v/>
      </c>
      <c r="S391" s="683" t="str">
        <f t="shared" si="252"/>
        <v/>
      </c>
      <c r="T391" s="683" t="str">
        <f t="shared" si="253"/>
        <v/>
      </c>
      <c r="U391" s="677" t="str">
        <f t="shared" si="254"/>
        <v/>
      </c>
    </row>
    <row r="392" spans="3:21" ht="13.5" thickBot="1" x14ac:dyDescent="0.25">
      <c r="C392" s="652"/>
      <c r="I392" s="623">
        <f>SUM(I385:I390)</f>
        <v>0</v>
      </c>
      <c r="J392" s="693"/>
      <c r="O392" s="623">
        <f>SUM(O385:O390)</f>
        <v>0</v>
      </c>
      <c r="U392" s="623">
        <f>SUM(U385:U390)</f>
        <v>0</v>
      </c>
    </row>
    <row r="393" spans="3:21" ht="39" thickBot="1" x14ac:dyDescent="0.25">
      <c r="C393" s="653" t="s">
        <v>279</v>
      </c>
      <c r="D393" s="654" t="s">
        <v>80</v>
      </c>
      <c r="E393" s="628"/>
      <c r="F393" s="628"/>
      <c r="G393" s="628" t="s">
        <v>280</v>
      </c>
      <c r="H393" s="628"/>
      <c r="I393" s="630" t="str">
        <f>I372</f>
        <v>Test Year Versus Board-approved</v>
      </c>
      <c r="J393" s="662"/>
      <c r="K393" s="627" t="s">
        <v>80</v>
      </c>
      <c r="L393" s="816" t="s">
        <v>280</v>
      </c>
      <c r="M393" s="816"/>
      <c r="N393" s="628"/>
      <c r="O393" s="630" t="str">
        <f>I393</f>
        <v>Test Year Versus Board-approved</v>
      </c>
      <c r="P393" s="663"/>
      <c r="Q393" s="627" t="s">
        <v>80</v>
      </c>
      <c r="R393" s="816" t="s">
        <v>280</v>
      </c>
      <c r="S393" s="816"/>
      <c r="T393" s="628"/>
      <c r="U393" s="630" t="str">
        <f>O393</f>
        <v>Test Year Versus Board-approved</v>
      </c>
    </row>
    <row r="394" spans="3:21" x14ac:dyDescent="0.2">
      <c r="C394" s="710"/>
      <c r="D394" s="664">
        <f t="shared" ref="D394:D400" si="255">D385</f>
        <v>2011</v>
      </c>
      <c r="E394" s="690"/>
      <c r="F394" s="693"/>
      <c r="G394" s="714"/>
      <c r="H394" s="693"/>
      <c r="I394" s="715"/>
      <c r="J394" s="710"/>
      <c r="K394" s="611">
        <f>D394</f>
        <v>2011</v>
      </c>
      <c r="L394" s="695"/>
      <c r="M394" s="695"/>
      <c r="N394" s="693"/>
      <c r="O394" s="616"/>
      <c r="P394" s="710"/>
      <c r="Q394" s="611">
        <f>K394</f>
        <v>2011</v>
      </c>
      <c r="R394" s="717"/>
      <c r="S394" s="717"/>
      <c r="T394" s="693"/>
      <c r="U394" s="681"/>
    </row>
    <row r="395" spans="3:21" x14ac:dyDescent="0.2">
      <c r="C395" s="710"/>
      <c r="D395" s="656">
        <f t="shared" si="255"/>
        <v>2012</v>
      </c>
      <c r="E395" s="693"/>
      <c r="F395" s="693"/>
      <c r="G395" s="718" t="str">
        <f t="shared" ref="G395:G400" si="256">IF(G385=0,"",G386/G385-1)</f>
        <v/>
      </c>
      <c r="H395" s="693"/>
      <c r="I395" s="715"/>
      <c r="J395" s="710"/>
      <c r="K395" s="611">
        <f t="shared" ref="K395:K401" si="257">D395</f>
        <v>2012</v>
      </c>
      <c r="L395" s="697" t="str">
        <f>IF(L385=0,"",L386/L385-1)</f>
        <v/>
      </c>
      <c r="M395" s="697" t="str">
        <f>IF(M385=0,"",M386/M385-1)</f>
        <v/>
      </c>
      <c r="N395" s="693"/>
      <c r="O395" s="616"/>
      <c r="P395" s="710"/>
      <c r="Q395" s="611">
        <f t="shared" ref="Q395:Q401" si="258">K395</f>
        <v>2012</v>
      </c>
      <c r="R395" s="719" t="str">
        <f>IF(R385="","",IF(R385=0,"",R386/R385-1))</f>
        <v/>
      </c>
      <c r="S395" s="719" t="str">
        <f>IF(S385="","",IF(S385=0,"",S386/S385-1))</f>
        <v/>
      </c>
      <c r="T395" s="693"/>
      <c r="U395" s="681"/>
    </row>
    <row r="396" spans="3:21" x14ac:dyDescent="0.2">
      <c r="C396" s="710"/>
      <c r="D396" s="665">
        <f t="shared" si="255"/>
        <v>2013</v>
      </c>
      <c r="E396" s="693"/>
      <c r="F396" s="693"/>
      <c r="G396" s="718" t="str">
        <f t="shared" si="256"/>
        <v/>
      </c>
      <c r="H396" s="693"/>
      <c r="I396" s="715"/>
      <c r="J396" s="710"/>
      <c r="K396" s="611">
        <f t="shared" si="257"/>
        <v>2013</v>
      </c>
      <c r="L396" s="697" t="str">
        <f t="shared" ref="L396:M400" si="259">IF(L386=0,"",L387/L386-1)</f>
        <v/>
      </c>
      <c r="M396" s="697" t="str">
        <f t="shared" si="259"/>
        <v/>
      </c>
      <c r="N396" s="693"/>
      <c r="O396" s="616"/>
      <c r="P396" s="710"/>
      <c r="Q396" s="611">
        <f t="shared" si="258"/>
        <v>2013</v>
      </c>
      <c r="R396" s="719" t="str">
        <f t="shared" ref="R396:S400" si="260">IF(R386="","",IF(R386=0,"",R387/R386-1))</f>
        <v/>
      </c>
      <c r="S396" s="719" t="str">
        <f t="shared" si="260"/>
        <v/>
      </c>
      <c r="T396" s="693"/>
      <c r="U396" s="681"/>
    </row>
    <row r="397" spans="3:21" x14ac:dyDescent="0.2">
      <c r="C397" s="710"/>
      <c r="D397" s="656">
        <f t="shared" si="255"/>
        <v>2014</v>
      </c>
      <c r="E397" s="693"/>
      <c r="F397" s="693"/>
      <c r="G397" s="718" t="str">
        <f t="shared" si="256"/>
        <v/>
      </c>
      <c r="H397" s="693"/>
      <c r="I397" s="715"/>
      <c r="J397" s="710"/>
      <c r="K397" s="611">
        <f t="shared" si="257"/>
        <v>2014</v>
      </c>
      <c r="L397" s="697" t="str">
        <f t="shared" si="259"/>
        <v/>
      </c>
      <c r="M397" s="697" t="str">
        <f t="shared" si="259"/>
        <v/>
      </c>
      <c r="N397" s="693"/>
      <c r="O397" s="616"/>
      <c r="P397" s="710"/>
      <c r="Q397" s="611">
        <f t="shared" si="258"/>
        <v>2014</v>
      </c>
      <c r="R397" s="719" t="str">
        <f t="shared" si="260"/>
        <v/>
      </c>
      <c r="S397" s="719" t="str">
        <f t="shared" si="260"/>
        <v/>
      </c>
      <c r="T397" s="693"/>
      <c r="U397" s="681"/>
    </row>
    <row r="398" spans="3:21" x14ac:dyDescent="0.2">
      <c r="C398" s="710"/>
      <c r="D398" s="656">
        <f t="shared" si="255"/>
        <v>2015</v>
      </c>
      <c r="E398" s="693"/>
      <c r="F398" s="693"/>
      <c r="G398" s="718" t="str">
        <f t="shared" si="256"/>
        <v/>
      </c>
      <c r="H398" s="693"/>
      <c r="I398" s="715"/>
      <c r="J398" s="710"/>
      <c r="K398" s="611">
        <f t="shared" si="257"/>
        <v>2015</v>
      </c>
      <c r="L398" s="697" t="str">
        <f t="shared" si="259"/>
        <v/>
      </c>
      <c r="M398" s="697" t="str">
        <f t="shared" si="259"/>
        <v/>
      </c>
      <c r="N398" s="693"/>
      <c r="O398" s="616"/>
      <c r="P398" s="710"/>
      <c r="Q398" s="611">
        <f t="shared" si="258"/>
        <v>2015</v>
      </c>
      <c r="R398" s="719" t="str">
        <f t="shared" si="260"/>
        <v/>
      </c>
      <c r="S398" s="719" t="str">
        <f t="shared" si="260"/>
        <v/>
      </c>
      <c r="T398" s="693"/>
      <c r="U398" s="681"/>
    </row>
    <row r="399" spans="3:21" x14ac:dyDescent="0.2">
      <c r="C399" s="710"/>
      <c r="D399" s="656">
        <f t="shared" si="255"/>
        <v>2016</v>
      </c>
      <c r="E399" s="693"/>
      <c r="F399" s="693"/>
      <c r="G399" s="718" t="str">
        <f t="shared" si="256"/>
        <v/>
      </c>
      <c r="H399" s="693"/>
      <c r="I399" s="715"/>
      <c r="J399" s="710"/>
      <c r="K399" s="611">
        <f t="shared" si="257"/>
        <v>2016</v>
      </c>
      <c r="L399" s="697" t="str">
        <f>IF(K390="Forecast","",IF(L389=0,"",L390/L389-1))</f>
        <v/>
      </c>
      <c r="M399" s="697" t="str">
        <f t="shared" si="259"/>
        <v/>
      </c>
      <c r="N399" s="693"/>
      <c r="O399" s="616"/>
      <c r="P399" s="710"/>
      <c r="Q399" s="611">
        <f t="shared" si="258"/>
        <v>2016</v>
      </c>
      <c r="R399" s="719" t="str">
        <f>IF(Q390="Forecast","",IF(R389=0,"",R390/R389-1))</f>
        <v/>
      </c>
      <c r="S399" s="719" t="str">
        <f t="shared" si="260"/>
        <v/>
      </c>
      <c r="T399" s="693"/>
      <c r="U399" s="681"/>
    </row>
    <row r="400" spans="3:21" x14ac:dyDescent="0.2">
      <c r="C400" s="710"/>
      <c r="D400" s="665">
        <f t="shared" si="255"/>
        <v>2017</v>
      </c>
      <c r="E400" s="693"/>
      <c r="F400" s="693"/>
      <c r="G400" s="718" t="str">
        <f t="shared" si="256"/>
        <v/>
      </c>
      <c r="H400" s="693"/>
      <c r="I400" s="720" t="str">
        <f>IF(I392=0,"",G391/I392-1)</f>
        <v/>
      </c>
      <c r="J400" s="710"/>
      <c r="K400" s="611">
        <f t="shared" si="257"/>
        <v>2017</v>
      </c>
      <c r="L400" s="697" t="str">
        <f>IF(K391="Forecast","",IF(L390=0,"",L391/L390-1))</f>
        <v/>
      </c>
      <c r="M400" s="697" t="str">
        <f t="shared" si="259"/>
        <v/>
      </c>
      <c r="N400" s="693"/>
      <c r="O400" s="729" t="str">
        <f>IF(O392=0,"",M391/O392-1)</f>
        <v/>
      </c>
      <c r="P400" s="710"/>
      <c r="Q400" s="611">
        <f t="shared" si="258"/>
        <v>2017</v>
      </c>
      <c r="R400" s="719" t="str">
        <f>IF(Q391="Forecast","",IF(R390=0,"",R391/R390-1))</f>
        <v/>
      </c>
      <c r="S400" s="719" t="str">
        <f t="shared" si="260"/>
        <v/>
      </c>
      <c r="T400" s="693"/>
      <c r="U400" s="698" t="str">
        <f>IF(U392=0,"",S391/U392-1)</f>
        <v/>
      </c>
    </row>
    <row r="401" spans="2:22" ht="26.25" thickBot="1" x14ac:dyDescent="0.25">
      <c r="C401" s="677"/>
      <c r="D401" s="721" t="s">
        <v>282</v>
      </c>
      <c r="E401" s="699"/>
      <c r="F401" s="699"/>
      <c r="G401" s="722" t="str">
        <f>IF(G385=0,"",GEOMEAN(G395:G400))</f>
        <v/>
      </c>
      <c r="H401" s="699"/>
      <c r="I401" s="705" t="s">
        <v>312</v>
      </c>
      <c r="J401" s="710"/>
      <c r="K401" s="703" t="str">
        <f t="shared" si="257"/>
        <v>Geometric Mean</v>
      </c>
      <c r="L401" s="704"/>
      <c r="M401" s="704" t="str">
        <f>IF(M385=0,"",GEOMEAN(M395:M400))</f>
        <v/>
      </c>
      <c r="N401" s="699"/>
      <c r="O401" s="705" t="s">
        <v>312</v>
      </c>
      <c r="P401" s="677"/>
      <c r="Q401" s="703" t="str">
        <f t="shared" si="258"/>
        <v>Geometric Mean</v>
      </c>
      <c r="R401" s="724"/>
      <c r="S401" s="704" t="str">
        <f>IF(S385="","",IF(S385=0,"",(S391/S385)^(1/(Q400-Q394-1)-1)))</f>
        <v/>
      </c>
      <c r="T401" s="699"/>
      <c r="U401" s="705" t="s">
        <v>312</v>
      </c>
    </row>
    <row r="402" spans="2:22" ht="13.5" thickBot="1" x14ac:dyDescent="0.25"/>
    <row r="403" spans="2:22" ht="13.5" thickBot="1" x14ac:dyDescent="0.25">
      <c r="B403" s="635">
        <f>B360+1</f>
        <v>9</v>
      </c>
      <c r="C403" s="636" t="s">
        <v>284</v>
      </c>
      <c r="D403" s="817"/>
      <c r="E403" s="818"/>
      <c r="F403" s="819"/>
      <c r="G403" s="707"/>
      <c r="H403" s="12" t="s">
        <v>285</v>
      </c>
      <c r="N403" s="708"/>
      <c r="O403" s="709"/>
      <c r="P403" s="709"/>
      <c r="Q403" s="709"/>
      <c r="R403" s="709"/>
      <c r="S403" s="709"/>
      <c r="T403" s="709"/>
      <c r="U403" s="709"/>
    </row>
    <row r="404" spans="2:22" ht="13.5" thickBot="1" x14ac:dyDescent="0.25">
      <c r="Q404" s="699"/>
      <c r="R404" s="699"/>
      <c r="S404" s="699"/>
      <c r="T404" s="699"/>
      <c r="U404" s="699"/>
    </row>
    <row r="405" spans="2:22" x14ac:dyDescent="0.2">
      <c r="C405" s="597"/>
      <c r="D405" s="598" t="s">
        <v>274</v>
      </c>
      <c r="E405" s="598"/>
      <c r="F405" s="820" t="s">
        <v>286</v>
      </c>
      <c r="G405" s="821"/>
      <c r="H405" s="821"/>
      <c r="I405" s="822"/>
      <c r="J405" s="598"/>
      <c r="K405" s="812" t="s">
        <v>275</v>
      </c>
      <c r="L405" s="813"/>
      <c r="M405" s="813"/>
      <c r="N405" s="813"/>
      <c r="O405" s="814"/>
      <c r="P405" s="599"/>
      <c r="Q405" s="823" t="str">
        <f>CONCATENATE("Consumption (kWh) per ",LEFT(F405,LEN(F405)-1))</f>
        <v>Consumption (kWh) per Customer</v>
      </c>
      <c r="R405" s="824"/>
      <c r="S405" s="824"/>
      <c r="T405" s="824"/>
      <c r="U405" s="825"/>
      <c r="V405" s="637"/>
    </row>
    <row r="406" spans="2:22" ht="39" thickBot="1" x14ac:dyDescent="0.25">
      <c r="C406" s="677"/>
      <c r="D406" s="602" t="s">
        <v>311</v>
      </c>
      <c r="E406" s="610"/>
      <c r="F406" s="826"/>
      <c r="G406" s="827"/>
      <c r="H406" s="828"/>
      <c r="I406" s="638"/>
      <c r="J406" s="610"/>
      <c r="K406" s="606"/>
      <c r="L406" s="607" t="s">
        <v>276</v>
      </c>
      <c r="M406" s="607" t="s">
        <v>277</v>
      </c>
      <c r="N406" s="608"/>
      <c r="O406" s="609" t="s">
        <v>277</v>
      </c>
      <c r="P406" s="610"/>
      <c r="Q406" s="639"/>
      <c r="R406" s="640" t="str">
        <f>L406</f>
        <v>Actual (Weather actual)</v>
      </c>
      <c r="S406" s="641" t="str">
        <f>M406</f>
        <v>Weather-normalized</v>
      </c>
      <c r="T406" s="641"/>
      <c r="U406" s="642" t="str">
        <f>O406</f>
        <v>Weather-normalized</v>
      </c>
      <c r="V406" s="637"/>
    </row>
    <row r="407" spans="2:22" x14ac:dyDescent="0.2">
      <c r="C407" s="610" t="s">
        <v>278</v>
      </c>
      <c r="D407" s="611">
        <f t="shared" ref="D407:D412" si="261">D408-1</f>
        <v>2011</v>
      </c>
      <c r="E407" s="710"/>
      <c r="F407" s="643" t="str">
        <f>F364</f>
        <v>Actual</v>
      </c>
      <c r="G407" s="644"/>
      <c r="H407" s="680" t="str">
        <f t="shared" ref="H407:H413" si="262">IF(D407=2013,"Board-approved","")</f>
        <v/>
      </c>
      <c r="I407" s="681"/>
      <c r="J407" s="710"/>
      <c r="K407" s="645" t="str">
        <f>F407</f>
        <v>Actual</v>
      </c>
      <c r="L407" s="615"/>
      <c r="M407" s="615"/>
      <c r="N407" s="646" t="str">
        <f>H407</f>
        <v/>
      </c>
      <c r="O407" s="681"/>
      <c r="P407" s="710"/>
      <c r="Q407" s="645" t="str">
        <f>K407</f>
        <v>Actual</v>
      </c>
      <c r="R407" s="711" t="str">
        <f>IF(G407=0,"",L407/G407)</f>
        <v/>
      </c>
      <c r="S407" s="693" t="str">
        <f>IF(G407=0,"",M407/G407)</f>
        <v/>
      </c>
      <c r="T407" s="693" t="str">
        <f>N407</f>
        <v/>
      </c>
      <c r="U407" s="693" t="str">
        <f>IF(T407="","",IF(I407=0,"",O407/I407))</f>
        <v/>
      </c>
      <c r="V407" s="678"/>
    </row>
    <row r="408" spans="2:22" x14ac:dyDescent="0.2">
      <c r="C408" s="610" t="s">
        <v>278</v>
      </c>
      <c r="D408" s="611">
        <f t="shared" si="261"/>
        <v>2012</v>
      </c>
      <c r="E408" s="710"/>
      <c r="F408" s="647" t="str">
        <f t="shared" ref="F408:F413" si="263">F365</f>
        <v>Actual</v>
      </c>
      <c r="G408" s="644"/>
      <c r="H408" s="680" t="str">
        <f t="shared" si="262"/>
        <v/>
      </c>
      <c r="I408" s="681"/>
      <c r="J408" s="710"/>
      <c r="K408" s="645" t="str">
        <f t="shared" ref="K408:K413" si="264">F408</f>
        <v>Actual</v>
      </c>
      <c r="L408" s="615"/>
      <c r="M408" s="615"/>
      <c r="N408" s="646" t="str">
        <f t="shared" ref="N408:N413" si="265">H408</f>
        <v/>
      </c>
      <c r="O408" s="681"/>
      <c r="P408" s="710"/>
      <c r="Q408" s="645" t="str">
        <f t="shared" ref="Q408:Q413" si="266">K408</f>
        <v>Actual</v>
      </c>
      <c r="R408" s="711" t="str">
        <f t="shared" ref="R408:R413" si="267">IF(G408=0,"",L408/G408)</f>
        <v/>
      </c>
      <c r="S408" s="693" t="str">
        <f t="shared" ref="S408:S413" si="268">IF(G408=0,"",M408/G408)</f>
        <v/>
      </c>
      <c r="T408" s="693" t="str">
        <f t="shared" ref="T408:T413" si="269">N408</f>
        <v/>
      </c>
      <c r="U408" s="693" t="str">
        <f t="shared" ref="U408:U413" si="270">IF(T408="","",IF(I408=0,"",O408/I408))</f>
        <v/>
      </c>
      <c r="V408" s="678"/>
    </row>
    <row r="409" spans="2:22" x14ac:dyDescent="0.2">
      <c r="C409" s="610" t="s">
        <v>278</v>
      </c>
      <c r="D409" s="611">
        <f t="shared" si="261"/>
        <v>2013</v>
      </c>
      <c r="E409" s="710"/>
      <c r="F409" s="647" t="str">
        <f t="shared" si="263"/>
        <v>Actual</v>
      </c>
      <c r="G409" s="644"/>
      <c r="H409" s="680" t="str">
        <f t="shared" si="262"/>
        <v>Board-approved</v>
      </c>
      <c r="I409" s="616"/>
      <c r="J409" s="710"/>
      <c r="K409" s="645" t="str">
        <f t="shared" si="264"/>
        <v>Actual</v>
      </c>
      <c r="L409" s="615"/>
      <c r="M409" s="615"/>
      <c r="N409" s="646" t="str">
        <f t="shared" si="265"/>
        <v>Board-approved</v>
      </c>
      <c r="O409" s="616"/>
      <c r="P409" s="710"/>
      <c r="Q409" s="645" t="str">
        <f t="shared" si="266"/>
        <v>Actual</v>
      </c>
      <c r="R409" s="711" t="str">
        <f t="shared" si="267"/>
        <v/>
      </c>
      <c r="S409" s="693" t="str">
        <f t="shared" si="268"/>
        <v/>
      </c>
      <c r="T409" s="693" t="str">
        <f t="shared" si="269"/>
        <v>Board-approved</v>
      </c>
      <c r="U409" s="693" t="str">
        <f t="shared" si="270"/>
        <v/>
      </c>
      <c r="V409" s="678"/>
    </row>
    <row r="410" spans="2:22" x14ac:dyDescent="0.2">
      <c r="C410" s="610" t="s">
        <v>278</v>
      </c>
      <c r="D410" s="611">
        <f t="shared" si="261"/>
        <v>2014</v>
      </c>
      <c r="E410" s="710"/>
      <c r="F410" s="647" t="str">
        <f t="shared" si="263"/>
        <v>Actual</v>
      </c>
      <c r="G410" s="644"/>
      <c r="H410" s="680" t="str">
        <f t="shared" si="262"/>
        <v/>
      </c>
      <c r="I410" s="681"/>
      <c r="J410" s="710"/>
      <c r="K410" s="645" t="str">
        <f t="shared" si="264"/>
        <v>Actual</v>
      </c>
      <c r="L410" s="615"/>
      <c r="M410" s="615"/>
      <c r="N410" s="646" t="str">
        <f t="shared" si="265"/>
        <v/>
      </c>
      <c r="O410" s="681"/>
      <c r="P410" s="710"/>
      <c r="Q410" s="645" t="str">
        <f t="shared" si="266"/>
        <v>Actual</v>
      </c>
      <c r="R410" s="711" t="str">
        <f t="shared" si="267"/>
        <v/>
      </c>
      <c r="S410" s="693" t="str">
        <f t="shared" si="268"/>
        <v/>
      </c>
      <c r="T410" s="693" t="str">
        <f t="shared" si="269"/>
        <v/>
      </c>
      <c r="U410" s="693" t="str">
        <f t="shared" si="270"/>
        <v/>
      </c>
      <c r="V410" s="678"/>
    </row>
    <row r="411" spans="2:22" x14ac:dyDescent="0.2">
      <c r="C411" s="610" t="s">
        <v>278</v>
      </c>
      <c r="D411" s="611">
        <f t="shared" si="261"/>
        <v>2015</v>
      </c>
      <c r="E411" s="710"/>
      <c r="F411" s="647" t="str">
        <f t="shared" si="263"/>
        <v>Actual</v>
      </c>
      <c r="G411" s="644"/>
      <c r="H411" s="680" t="str">
        <f t="shared" si="262"/>
        <v/>
      </c>
      <c r="I411" s="681"/>
      <c r="J411" s="710"/>
      <c r="K411" s="645" t="str">
        <f t="shared" si="264"/>
        <v>Actual</v>
      </c>
      <c r="L411" s="615"/>
      <c r="M411" s="615"/>
      <c r="N411" s="646" t="str">
        <f t="shared" si="265"/>
        <v/>
      </c>
      <c r="O411" s="681"/>
      <c r="P411" s="710"/>
      <c r="Q411" s="645" t="str">
        <f t="shared" si="266"/>
        <v>Actual</v>
      </c>
      <c r="R411" s="711" t="str">
        <f t="shared" si="267"/>
        <v/>
      </c>
      <c r="S411" s="693" t="str">
        <f t="shared" si="268"/>
        <v/>
      </c>
      <c r="T411" s="693" t="str">
        <f t="shared" si="269"/>
        <v/>
      </c>
      <c r="U411" s="693" t="str">
        <f t="shared" si="270"/>
        <v/>
      </c>
      <c r="V411" s="678"/>
    </row>
    <row r="412" spans="2:22" x14ac:dyDescent="0.2">
      <c r="C412" s="610" t="s">
        <v>54</v>
      </c>
      <c r="D412" s="611">
        <f t="shared" si="261"/>
        <v>2016</v>
      </c>
      <c r="E412" s="710"/>
      <c r="F412" s="647" t="str">
        <f t="shared" si="263"/>
        <v>Forecast</v>
      </c>
      <c r="G412" s="644"/>
      <c r="H412" s="680" t="str">
        <f t="shared" si="262"/>
        <v/>
      </c>
      <c r="I412" s="681"/>
      <c r="J412" s="710"/>
      <c r="K412" s="645" t="str">
        <f t="shared" si="264"/>
        <v>Forecast</v>
      </c>
      <c r="L412" s="682"/>
      <c r="M412" s="615"/>
      <c r="N412" s="646" t="str">
        <f t="shared" si="265"/>
        <v/>
      </c>
      <c r="O412" s="681"/>
      <c r="P412" s="710"/>
      <c r="Q412" s="645" t="str">
        <f t="shared" si="266"/>
        <v>Forecast</v>
      </c>
      <c r="R412" s="711" t="str">
        <f t="shared" si="267"/>
        <v/>
      </c>
      <c r="S412" s="693" t="str">
        <f t="shared" si="268"/>
        <v/>
      </c>
      <c r="T412" s="693" t="str">
        <f t="shared" si="269"/>
        <v/>
      </c>
      <c r="U412" s="693" t="str">
        <f t="shared" si="270"/>
        <v/>
      </c>
      <c r="V412" s="678"/>
    </row>
    <row r="413" spans="2:22" ht="13.5" thickBot="1" x14ac:dyDescent="0.25">
      <c r="C413" s="617" t="s">
        <v>53</v>
      </c>
      <c r="D413" s="618">
        <v>2017</v>
      </c>
      <c r="E413" s="677"/>
      <c r="F413" s="648" t="str">
        <f t="shared" si="263"/>
        <v>Forecast</v>
      </c>
      <c r="G413" s="649"/>
      <c r="H413" s="685" t="str">
        <f t="shared" si="262"/>
        <v/>
      </c>
      <c r="I413" s="687"/>
      <c r="J413" s="677"/>
      <c r="K413" s="650" t="str">
        <f t="shared" si="264"/>
        <v>Forecast</v>
      </c>
      <c r="L413" s="686"/>
      <c r="M413" s="730"/>
      <c r="N413" s="651" t="str">
        <f t="shared" si="265"/>
        <v/>
      </c>
      <c r="O413" s="687"/>
      <c r="P413" s="677"/>
      <c r="Q413" s="650" t="str">
        <f t="shared" si="266"/>
        <v>Forecast</v>
      </c>
      <c r="R413" s="712" t="str">
        <f t="shared" si="267"/>
        <v/>
      </c>
      <c r="S413" s="699" t="str">
        <f t="shared" si="268"/>
        <v/>
      </c>
      <c r="T413" s="699" t="str">
        <f t="shared" si="269"/>
        <v/>
      </c>
      <c r="U413" s="699" t="str">
        <f t="shared" si="270"/>
        <v/>
      </c>
      <c r="V413" s="678"/>
    </row>
    <row r="414" spans="2:22" ht="13.5" thickBot="1" x14ac:dyDescent="0.25">
      <c r="B414" s="693"/>
      <c r="C414" s="652"/>
      <c r="I414" s="623">
        <f>SUM(I407:I412)</f>
        <v>0</v>
      </c>
      <c r="O414" s="623">
        <f>SUM(O407:O412)</f>
        <v>0</v>
      </c>
      <c r="U414" s="623">
        <f>SUM(U407:U412)</f>
        <v>0</v>
      </c>
    </row>
    <row r="415" spans="2:22" ht="39" thickBot="1" x14ac:dyDescent="0.25">
      <c r="C415" s="653" t="s">
        <v>279</v>
      </c>
      <c r="D415" s="654" t="s">
        <v>80</v>
      </c>
      <c r="E415" s="688"/>
      <c r="F415" s="688"/>
      <c r="G415" s="628" t="s">
        <v>280</v>
      </c>
      <c r="H415" s="688"/>
      <c r="I415" s="630" t="s">
        <v>287</v>
      </c>
      <c r="J415" s="713"/>
      <c r="K415" s="627" t="s">
        <v>80</v>
      </c>
      <c r="L415" s="816" t="s">
        <v>280</v>
      </c>
      <c r="M415" s="816"/>
      <c r="N415" s="688"/>
      <c r="O415" s="630" t="str">
        <f>I415</f>
        <v>Test Year Versus Board-approved</v>
      </c>
      <c r="P415" s="597"/>
      <c r="Q415" s="627" t="s">
        <v>80</v>
      </c>
      <c r="R415" s="816" t="s">
        <v>280</v>
      </c>
      <c r="S415" s="816"/>
      <c r="T415" s="688"/>
      <c r="U415" s="630" t="str">
        <f>O415</f>
        <v>Test Year Versus Board-approved</v>
      </c>
    </row>
    <row r="416" spans="2:22" x14ac:dyDescent="0.2">
      <c r="C416" s="710"/>
      <c r="D416" s="655">
        <f t="shared" ref="D416:D422" si="271">D407</f>
        <v>2011</v>
      </c>
      <c r="E416" s="693"/>
      <c r="F416" s="693"/>
      <c r="G416" s="714"/>
      <c r="H416" s="693"/>
      <c r="I416" s="715"/>
      <c r="J416" s="716"/>
      <c r="K416" s="611">
        <f>D416</f>
        <v>2011</v>
      </c>
      <c r="L416" s="695"/>
      <c r="M416" s="695"/>
      <c r="N416" s="693"/>
      <c r="O416" s="681"/>
      <c r="P416" s="710"/>
      <c r="Q416" s="611">
        <f>K416</f>
        <v>2011</v>
      </c>
      <c r="R416" s="717"/>
      <c r="S416" s="717"/>
      <c r="T416" s="693"/>
      <c r="U416" s="681"/>
    </row>
    <row r="417" spans="3:21" x14ac:dyDescent="0.2">
      <c r="C417" s="710"/>
      <c r="D417" s="656">
        <f t="shared" si="271"/>
        <v>2012</v>
      </c>
      <c r="E417" s="693"/>
      <c r="F417" s="693"/>
      <c r="G417" s="718" t="str">
        <f t="shared" ref="G417:G422" si="272">IF(G407=0,"",G408/G407-1)</f>
        <v/>
      </c>
      <c r="H417" s="693"/>
      <c r="I417" s="715"/>
      <c r="J417" s="716"/>
      <c r="K417" s="611">
        <f t="shared" ref="K417:K423" si="273">D417</f>
        <v>2012</v>
      </c>
      <c r="L417" s="697" t="str">
        <f t="shared" ref="L417:M420" si="274">IF(L407=0,"",L408/L407-1)</f>
        <v/>
      </c>
      <c r="M417" s="697" t="str">
        <f t="shared" si="274"/>
        <v/>
      </c>
      <c r="N417" s="693"/>
      <c r="O417" s="681"/>
      <c r="P417" s="710"/>
      <c r="Q417" s="611">
        <f t="shared" ref="Q417:Q423" si="275">K417</f>
        <v>2012</v>
      </c>
      <c r="R417" s="719" t="str">
        <f>IF(R407="","",IF(R407=0,"",R408/R407-1))</f>
        <v/>
      </c>
      <c r="S417" s="719" t="str">
        <f>IF(S407="","",IF(S407=0,"",S408/S407-1))</f>
        <v/>
      </c>
      <c r="T417" s="693"/>
      <c r="U417" s="681"/>
    </row>
    <row r="418" spans="3:21" x14ac:dyDescent="0.2">
      <c r="C418" s="710"/>
      <c r="D418" s="656">
        <f t="shared" si="271"/>
        <v>2013</v>
      </c>
      <c r="E418" s="693"/>
      <c r="F418" s="693"/>
      <c r="G418" s="718" t="str">
        <f t="shared" si="272"/>
        <v/>
      </c>
      <c r="H418" s="693"/>
      <c r="I418" s="715"/>
      <c r="J418" s="716"/>
      <c r="K418" s="611">
        <f t="shared" si="273"/>
        <v>2013</v>
      </c>
      <c r="L418" s="697" t="str">
        <f t="shared" si="274"/>
        <v/>
      </c>
      <c r="M418" s="697" t="str">
        <f t="shared" si="274"/>
        <v/>
      </c>
      <c r="N418" s="693"/>
      <c r="O418" s="681"/>
      <c r="P418" s="710"/>
      <c r="Q418" s="611">
        <f t="shared" si="275"/>
        <v>2013</v>
      </c>
      <c r="R418" s="719" t="str">
        <f t="shared" ref="R418:S422" si="276">IF(R408="","",IF(R408=0,"",R409/R408-1))</f>
        <v/>
      </c>
      <c r="S418" s="719" t="str">
        <f t="shared" si="276"/>
        <v/>
      </c>
      <c r="T418" s="693"/>
      <c r="U418" s="681"/>
    </row>
    <row r="419" spans="3:21" x14ac:dyDescent="0.2">
      <c r="C419" s="710"/>
      <c r="D419" s="656">
        <f t="shared" si="271"/>
        <v>2014</v>
      </c>
      <c r="E419" s="693"/>
      <c r="F419" s="693"/>
      <c r="G419" s="718" t="str">
        <f t="shared" si="272"/>
        <v/>
      </c>
      <c r="H419" s="693"/>
      <c r="I419" s="715"/>
      <c r="J419" s="716"/>
      <c r="K419" s="611">
        <f t="shared" si="273"/>
        <v>2014</v>
      </c>
      <c r="L419" s="697" t="str">
        <f t="shared" si="274"/>
        <v/>
      </c>
      <c r="M419" s="697" t="str">
        <f t="shared" si="274"/>
        <v/>
      </c>
      <c r="N419" s="693"/>
      <c r="O419" s="681"/>
      <c r="P419" s="710"/>
      <c r="Q419" s="611">
        <f t="shared" si="275"/>
        <v>2014</v>
      </c>
      <c r="R419" s="719" t="str">
        <f t="shared" si="276"/>
        <v/>
      </c>
      <c r="S419" s="719" t="str">
        <f t="shared" si="276"/>
        <v/>
      </c>
      <c r="T419" s="693"/>
      <c r="U419" s="681"/>
    </row>
    <row r="420" spans="3:21" x14ac:dyDescent="0.2">
      <c r="C420" s="710"/>
      <c r="D420" s="656">
        <f t="shared" si="271"/>
        <v>2015</v>
      </c>
      <c r="E420" s="693"/>
      <c r="F420" s="693"/>
      <c r="G420" s="718" t="str">
        <f t="shared" si="272"/>
        <v/>
      </c>
      <c r="H420" s="693"/>
      <c r="I420" s="715"/>
      <c r="J420" s="716"/>
      <c r="K420" s="611">
        <f t="shared" si="273"/>
        <v>2015</v>
      </c>
      <c r="L420" s="697" t="str">
        <f t="shared" si="274"/>
        <v/>
      </c>
      <c r="M420" s="697" t="str">
        <f t="shared" si="274"/>
        <v/>
      </c>
      <c r="N420" s="693"/>
      <c r="O420" s="681"/>
      <c r="P420" s="710"/>
      <c r="Q420" s="611">
        <f t="shared" si="275"/>
        <v>2015</v>
      </c>
      <c r="R420" s="719" t="str">
        <f t="shared" si="276"/>
        <v/>
      </c>
      <c r="S420" s="719" t="str">
        <f t="shared" si="276"/>
        <v/>
      </c>
      <c r="T420" s="693"/>
      <c r="U420" s="681"/>
    </row>
    <row r="421" spans="3:21" x14ac:dyDescent="0.2">
      <c r="C421" s="710"/>
      <c r="D421" s="656">
        <f t="shared" si="271"/>
        <v>2016</v>
      </c>
      <c r="E421" s="693"/>
      <c r="F421" s="693"/>
      <c r="G421" s="718" t="str">
        <f t="shared" si="272"/>
        <v/>
      </c>
      <c r="H421" s="693"/>
      <c r="I421" s="715"/>
      <c r="J421" s="716"/>
      <c r="K421" s="611">
        <f t="shared" si="273"/>
        <v>2016</v>
      </c>
      <c r="L421" s="697" t="str">
        <f>IF(K412="Forecast","",IF(L411=0,"",L412/L411-1))</f>
        <v/>
      </c>
      <c r="M421" s="697" t="str">
        <f>IF(M411=0,"",M412/M411-1)</f>
        <v/>
      </c>
      <c r="N421" s="693"/>
      <c r="O421" s="681"/>
      <c r="P421" s="710"/>
      <c r="Q421" s="611">
        <f t="shared" si="275"/>
        <v>2016</v>
      </c>
      <c r="R421" s="719" t="str">
        <f>IF(Q412="Forecast","",IF(R411=0,"",R412/R411-1))</f>
        <v/>
      </c>
      <c r="S421" s="719" t="str">
        <f t="shared" si="276"/>
        <v/>
      </c>
      <c r="T421" s="693"/>
      <c r="U421" s="681"/>
    </row>
    <row r="422" spans="3:21" x14ac:dyDescent="0.2">
      <c r="C422" s="710"/>
      <c r="D422" s="656">
        <f t="shared" si="271"/>
        <v>2017</v>
      </c>
      <c r="E422" s="693"/>
      <c r="F422" s="693"/>
      <c r="G422" s="718" t="str">
        <f t="shared" si="272"/>
        <v/>
      </c>
      <c r="H422" s="693"/>
      <c r="I422" s="720" t="str">
        <f>IF(I414=0,"",G413/I414-1)</f>
        <v/>
      </c>
      <c r="J422" s="716"/>
      <c r="K422" s="611">
        <f t="shared" si="273"/>
        <v>2017</v>
      </c>
      <c r="L422" s="697" t="str">
        <f>IF(K413="Forecast","",IF(L412=0,"",L413/L412-1))</f>
        <v/>
      </c>
      <c r="M422" s="697" t="str">
        <f>IF(M412=0,"",M413/M412-1)</f>
        <v/>
      </c>
      <c r="N422" s="693"/>
      <c r="O422" s="698" t="str">
        <f>IF(O414=0,"",M413/O414-1)</f>
        <v/>
      </c>
      <c r="P422" s="710"/>
      <c r="Q422" s="611">
        <f t="shared" si="275"/>
        <v>2017</v>
      </c>
      <c r="R422" s="719" t="str">
        <f>IF(Q413="Forecast","",IF(R412=0,"",R413/R412-1))</f>
        <v/>
      </c>
      <c r="S422" s="719" t="str">
        <f t="shared" si="276"/>
        <v/>
      </c>
      <c r="T422" s="693"/>
      <c r="U422" s="698" t="str">
        <f>IF(U414=0,"",S413/U414-1)</f>
        <v/>
      </c>
    </row>
    <row r="423" spans="3:21" ht="26.25" thickBot="1" x14ac:dyDescent="0.25">
      <c r="C423" s="677"/>
      <c r="D423" s="721" t="s">
        <v>282</v>
      </c>
      <c r="E423" s="699"/>
      <c r="F423" s="699"/>
      <c r="G423" s="722" t="str">
        <f>IF(G407=0,"",GEOMEAN(G417:G422))</f>
        <v/>
      </c>
      <c r="H423" s="699"/>
      <c r="I423" s="723" t="s">
        <v>312</v>
      </c>
      <c r="J423" s="702"/>
      <c r="K423" s="703" t="str">
        <f t="shared" si="273"/>
        <v>Geometric Mean</v>
      </c>
      <c r="L423" s="704"/>
      <c r="M423" s="704" t="str">
        <f>IF(M407=0,"",(M413/M407)^(1/(K422-K416-1)-1))</f>
        <v/>
      </c>
      <c r="N423" s="699"/>
      <c r="O423" s="705" t="s">
        <v>312</v>
      </c>
      <c r="P423" s="677"/>
      <c r="Q423" s="703" t="str">
        <f t="shared" si="275"/>
        <v>Geometric Mean</v>
      </c>
      <c r="R423" s="724"/>
      <c r="S423" s="704" t="str">
        <f>IF(S407="","",IF(S407=0,"",(S413/S407)^(1/(Q422-Q416-1)-1)))</f>
        <v/>
      </c>
      <c r="T423" s="699"/>
      <c r="U423" s="705" t="s">
        <v>312</v>
      </c>
    </row>
    <row r="425" spans="3:21" ht="13.5" thickBot="1" x14ac:dyDescent="0.25">
      <c r="Q425" s="699"/>
      <c r="R425" s="699"/>
      <c r="S425" s="699"/>
      <c r="T425" s="699"/>
      <c r="U425" s="699"/>
    </row>
    <row r="426" spans="3:21" x14ac:dyDescent="0.2">
      <c r="C426" s="597"/>
      <c r="D426" s="598" t="s">
        <v>274</v>
      </c>
      <c r="E426" s="598"/>
      <c r="F426" s="829" t="s">
        <v>240</v>
      </c>
      <c r="G426" s="830"/>
      <c r="H426" s="830"/>
      <c r="I426" s="831"/>
      <c r="K426" s="812" t="str">
        <f>IF(ISBLANK(N403),"",CONCATENATE("Demand (",N403,")"))</f>
        <v/>
      </c>
      <c r="L426" s="813"/>
      <c r="M426" s="813"/>
      <c r="N426" s="813"/>
      <c r="O426" s="814"/>
      <c r="Q426" s="823" t="str">
        <f>CONCATENATE("Demand (",N403,") per ",LEFT(F405,LEN(F405)-1))</f>
        <v>Demand () per Customer</v>
      </c>
      <c r="R426" s="824"/>
      <c r="S426" s="824"/>
      <c r="T426" s="824"/>
      <c r="U426" s="825"/>
    </row>
    <row r="427" spans="3:21" ht="39" thickBot="1" x14ac:dyDescent="0.25">
      <c r="C427" s="677"/>
      <c r="D427" s="602" t="s">
        <v>311</v>
      </c>
      <c r="E427" s="610"/>
      <c r="F427" s="826"/>
      <c r="G427" s="827"/>
      <c r="H427" s="827"/>
      <c r="I427" s="638"/>
      <c r="K427" s="606"/>
      <c r="L427" s="607" t="s">
        <v>276</v>
      </c>
      <c r="M427" s="607" t="s">
        <v>277</v>
      </c>
      <c r="N427" s="608"/>
      <c r="O427" s="609" t="str">
        <f>M427</f>
        <v>Weather-normalized</v>
      </c>
      <c r="Q427" s="657"/>
      <c r="R427" s="607" t="str">
        <f>L427</f>
        <v>Actual (Weather actual)</v>
      </c>
      <c r="S427" s="607" t="str">
        <f>M427</f>
        <v>Weather-normalized</v>
      </c>
      <c r="T427" s="607"/>
      <c r="U427" s="658" t="str">
        <f>O427</f>
        <v>Weather-normalized</v>
      </c>
    </row>
    <row r="428" spans="3:21" x14ac:dyDescent="0.2">
      <c r="C428" s="610" t="s">
        <v>278</v>
      </c>
      <c r="D428" s="611">
        <f t="shared" ref="D428:D433" si="277">D429-1</f>
        <v>2011</v>
      </c>
      <c r="E428" s="710"/>
      <c r="F428" s="643" t="str">
        <f t="shared" ref="F428:F434" si="278">F407</f>
        <v>Actual</v>
      </c>
      <c r="G428" s="659"/>
      <c r="H428" s="679" t="str">
        <f t="shared" ref="H428:H434" si="279">IF(D428=2013,"Board-approved","")</f>
        <v/>
      </c>
      <c r="I428" s="725"/>
      <c r="K428" s="645" t="str">
        <f t="shared" ref="K428:K434" si="280">K407</f>
        <v>Actual</v>
      </c>
      <c r="L428" s="615"/>
      <c r="M428" s="615"/>
      <c r="N428" s="646" t="str">
        <f t="shared" ref="N428:N434" si="281">N407</f>
        <v/>
      </c>
      <c r="O428" s="681"/>
      <c r="Q428" s="645" t="str">
        <f>K428</f>
        <v>Actual</v>
      </c>
      <c r="R428" s="693" t="str">
        <f>IF(G428=0,"",L428/G428)</f>
        <v/>
      </c>
      <c r="S428" s="678" t="str">
        <f>IF(G428=0,"",M428/G428)</f>
        <v/>
      </c>
      <c r="T428" s="678" t="str">
        <f>N428</f>
        <v/>
      </c>
      <c r="U428" s="710" t="str">
        <f>IF(T428="","",IF(I428=0,"",O428/I428))</f>
        <v/>
      </c>
    </row>
    <row r="429" spans="3:21" x14ac:dyDescent="0.2">
      <c r="C429" s="610" t="s">
        <v>278</v>
      </c>
      <c r="D429" s="611">
        <f t="shared" si="277"/>
        <v>2012</v>
      </c>
      <c r="E429" s="710"/>
      <c r="F429" s="647" t="str">
        <f t="shared" si="278"/>
        <v>Actual</v>
      </c>
      <c r="G429" s="659"/>
      <c r="H429" s="679" t="str">
        <f t="shared" si="279"/>
        <v/>
      </c>
      <c r="I429" s="681"/>
      <c r="K429" s="645" t="str">
        <f t="shared" si="280"/>
        <v>Actual</v>
      </c>
      <c r="L429" s="615"/>
      <c r="M429" s="615"/>
      <c r="N429" s="646" t="str">
        <f t="shared" si="281"/>
        <v/>
      </c>
      <c r="O429" s="681"/>
      <c r="Q429" s="645" t="str">
        <f t="shared" ref="Q429:Q434" si="282">K429</f>
        <v>Actual</v>
      </c>
      <c r="R429" s="693" t="str">
        <f t="shared" ref="R429:R434" si="283">IF(G429=0,"",L429/G429)</f>
        <v/>
      </c>
      <c r="S429" s="678" t="str">
        <f t="shared" ref="S429:S434" si="284">IF(G429=0,"",M429/G429)</f>
        <v/>
      </c>
      <c r="T429" s="678" t="str">
        <f t="shared" ref="T429:T434" si="285">N429</f>
        <v/>
      </c>
      <c r="U429" s="710" t="str">
        <f t="shared" ref="U429:U434" si="286">IF(T429="","",IF(I429=0,"",O429/I429))</f>
        <v/>
      </c>
    </row>
    <row r="430" spans="3:21" x14ac:dyDescent="0.2">
      <c r="C430" s="610" t="s">
        <v>278</v>
      </c>
      <c r="D430" s="611">
        <f t="shared" si="277"/>
        <v>2013</v>
      </c>
      <c r="E430" s="710"/>
      <c r="F430" s="647" t="str">
        <f t="shared" si="278"/>
        <v>Actual</v>
      </c>
      <c r="G430" s="659"/>
      <c r="H430" s="679" t="str">
        <f t="shared" si="279"/>
        <v>Board-approved</v>
      </c>
      <c r="I430" s="660"/>
      <c r="K430" s="645" t="str">
        <f t="shared" si="280"/>
        <v>Actual</v>
      </c>
      <c r="L430" s="615"/>
      <c r="M430" s="615"/>
      <c r="N430" s="646" t="str">
        <f t="shared" si="281"/>
        <v>Board-approved</v>
      </c>
      <c r="O430" s="616"/>
      <c r="Q430" s="645" t="str">
        <f t="shared" si="282"/>
        <v>Actual</v>
      </c>
      <c r="R430" s="693" t="str">
        <f t="shared" si="283"/>
        <v/>
      </c>
      <c r="S430" s="678" t="str">
        <f t="shared" si="284"/>
        <v/>
      </c>
      <c r="T430" s="678" t="str">
        <f t="shared" si="285"/>
        <v>Board-approved</v>
      </c>
      <c r="U430" s="710" t="str">
        <f t="shared" si="286"/>
        <v/>
      </c>
    </row>
    <row r="431" spans="3:21" x14ac:dyDescent="0.2">
      <c r="C431" s="610" t="s">
        <v>278</v>
      </c>
      <c r="D431" s="611">
        <f t="shared" si="277"/>
        <v>2014</v>
      </c>
      <c r="E431" s="710"/>
      <c r="F431" s="647" t="str">
        <f t="shared" si="278"/>
        <v>Actual</v>
      </c>
      <c r="G431" s="659"/>
      <c r="H431" s="679" t="str">
        <f t="shared" si="279"/>
        <v/>
      </c>
      <c r="I431" s="681"/>
      <c r="K431" s="645" t="str">
        <f t="shared" si="280"/>
        <v>Actual</v>
      </c>
      <c r="L431" s="615"/>
      <c r="M431" s="615"/>
      <c r="N431" s="646" t="str">
        <f t="shared" si="281"/>
        <v/>
      </c>
      <c r="O431" s="681"/>
      <c r="Q431" s="645" t="str">
        <f t="shared" si="282"/>
        <v>Actual</v>
      </c>
      <c r="R431" s="693" t="str">
        <f t="shared" si="283"/>
        <v/>
      </c>
      <c r="S431" s="678" t="str">
        <f t="shared" si="284"/>
        <v/>
      </c>
      <c r="T431" s="678" t="str">
        <f t="shared" si="285"/>
        <v/>
      </c>
      <c r="U431" s="710" t="str">
        <f t="shared" si="286"/>
        <v/>
      </c>
    </row>
    <row r="432" spans="3:21" x14ac:dyDescent="0.2">
      <c r="C432" s="610" t="s">
        <v>278</v>
      </c>
      <c r="D432" s="611">
        <f t="shared" si="277"/>
        <v>2015</v>
      </c>
      <c r="E432" s="710"/>
      <c r="F432" s="647" t="str">
        <f t="shared" si="278"/>
        <v>Actual</v>
      </c>
      <c r="G432" s="659"/>
      <c r="H432" s="679" t="str">
        <f t="shared" si="279"/>
        <v/>
      </c>
      <c r="I432" s="681"/>
      <c r="K432" s="645" t="str">
        <f t="shared" si="280"/>
        <v>Actual</v>
      </c>
      <c r="L432" s="615"/>
      <c r="M432" s="615"/>
      <c r="N432" s="646" t="str">
        <f t="shared" si="281"/>
        <v/>
      </c>
      <c r="O432" s="681"/>
      <c r="Q432" s="645" t="str">
        <f t="shared" si="282"/>
        <v>Actual</v>
      </c>
      <c r="R432" s="693" t="str">
        <f t="shared" si="283"/>
        <v/>
      </c>
      <c r="S432" s="678" t="str">
        <f t="shared" si="284"/>
        <v/>
      </c>
      <c r="T432" s="678" t="str">
        <f t="shared" si="285"/>
        <v/>
      </c>
      <c r="U432" s="710" t="str">
        <f t="shared" si="286"/>
        <v/>
      </c>
    </row>
    <row r="433" spans="2:22" x14ac:dyDescent="0.2">
      <c r="C433" s="610" t="s">
        <v>288</v>
      </c>
      <c r="D433" s="611">
        <f t="shared" si="277"/>
        <v>2016</v>
      </c>
      <c r="E433" s="710"/>
      <c r="F433" s="647" t="str">
        <f t="shared" si="278"/>
        <v>Forecast</v>
      </c>
      <c r="G433" s="659"/>
      <c r="H433" s="679" t="str">
        <f t="shared" si="279"/>
        <v/>
      </c>
      <c r="I433" s="681"/>
      <c r="K433" s="645" t="str">
        <f t="shared" si="280"/>
        <v>Forecast</v>
      </c>
      <c r="L433" s="682"/>
      <c r="M433" s="726"/>
      <c r="N433" s="646" t="str">
        <f t="shared" si="281"/>
        <v/>
      </c>
      <c r="O433" s="681"/>
      <c r="Q433" s="645" t="str">
        <f t="shared" si="282"/>
        <v>Forecast</v>
      </c>
      <c r="R433" s="693" t="str">
        <f t="shared" si="283"/>
        <v/>
      </c>
      <c r="S433" s="678" t="str">
        <f t="shared" si="284"/>
        <v/>
      </c>
      <c r="T433" s="678" t="str">
        <f t="shared" si="285"/>
        <v/>
      </c>
      <c r="U433" s="710" t="str">
        <f t="shared" si="286"/>
        <v/>
      </c>
    </row>
    <row r="434" spans="2:22" ht="13.5" thickBot="1" x14ac:dyDescent="0.25">
      <c r="C434" s="617" t="s">
        <v>289</v>
      </c>
      <c r="D434" s="618">
        <v>2017</v>
      </c>
      <c r="E434" s="677"/>
      <c r="F434" s="648" t="str">
        <f t="shared" si="278"/>
        <v>Forecast</v>
      </c>
      <c r="G434" s="661"/>
      <c r="H434" s="684" t="str">
        <f t="shared" si="279"/>
        <v/>
      </c>
      <c r="I434" s="687"/>
      <c r="K434" s="650" t="str">
        <f t="shared" si="280"/>
        <v>Forecast</v>
      </c>
      <c r="L434" s="686"/>
      <c r="M434" s="727"/>
      <c r="N434" s="651" t="str">
        <f t="shared" si="281"/>
        <v/>
      </c>
      <c r="O434" s="687"/>
      <c r="Q434" s="728" t="str">
        <f t="shared" si="282"/>
        <v>Forecast</v>
      </c>
      <c r="R434" s="683" t="str">
        <f t="shared" si="283"/>
        <v/>
      </c>
      <c r="S434" s="683" t="str">
        <f t="shared" si="284"/>
        <v/>
      </c>
      <c r="T434" s="683" t="str">
        <f t="shared" si="285"/>
        <v/>
      </c>
      <c r="U434" s="677" t="str">
        <f t="shared" si="286"/>
        <v/>
      </c>
    </row>
    <row r="435" spans="2:22" ht="13.5" thickBot="1" x14ac:dyDescent="0.25">
      <c r="C435" s="652"/>
      <c r="I435" s="623">
        <f>SUM(I428:I433)</f>
        <v>0</v>
      </c>
      <c r="J435" s="693"/>
      <c r="O435" s="623">
        <f>SUM(O428:O433)</f>
        <v>0</v>
      </c>
      <c r="U435" s="623">
        <f>SUM(U428:U433)</f>
        <v>0</v>
      </c>
    </row>
    <row r="436" spans="2:22" ht="39" thickBot="1" x14ac:dyDescent="0.25">
      <c r="C436" s="653" t="s">
        <v>279</v>
      </c>
      <c r="D436" s="654" t="s">
        <v>80</v>
      </c>
      <c r="E436" s="628"/>
      <c r="F436" s="628"/>
      <c r="G436" s="628" t="s">
        <v>280</v>
      </c>
      <c r="H436" s="628"/>
      <c r="I436" s="630" t="str">
        <f>I415</f>
        <v>Test Year Versus Board-approved</v>
      </c>
      <c r="J436" s="662"/>
      <c r="K436" s="627" t="s">
        <v>80</v>
      </c>
      <c r="L436" s="816" t="s">
        <v>280</v>
      </c>
      <c r="M436" s="816"/>
      <c r="N436" s="628"/>
      <c r="O436" s="630" t="str">
        <f>I436</f>
        <v>Test Year Versus Board-approved</v>
      </c>
      <c r="P436" s="663"/>
      <c r="Q436" s="627" t="s">
        <v>80</v>
      </c>
      <c r="R436" s="816" t="s">
        <v>280</v>
      </c>
      <c r="S436" s="816"/>
      <c r="T436" s="628"/>
      <c r="U436" s="630" t="str">
        <f>O436</f>
        <v>Test Year Versus Board-approved</v>
      </c>
    </row>
    <row r="437" spans="2:22" x14ac:dyDescent="0.2">
      <c r="C437" s="710"/>
      <c r="D437" s="664">
        <f t="shared" ref="D437:D443" si="287">D428</f>
        <v>2011</v>
      </c>
      <c r="E437" s="690"/>
      <c r="F437" s="693"/>
      <c r="G437" s="714"/>
      <c r="H437" s="693"/>
      <c r="I437" s="715"/>
      <c r="J437" s="710"/>
      <c r="K437" s="611">
        <f>D437</f>
        <v>2011</v>
      </c>
      <c r="L437" s="695"/>
      <c r="M437" s="695"/>
      <c r="N437" s="693"/>
      <c r="O437" s="616"/>
      <c r="P437" s="710"/>
      <c r="Q437" s="611">
        <f>K437</f>
        <v>2011</v>
      </c>
      <c r="R437" s="717"/>
      <c r="S437" s="717"/>
      <c r="T437" s="693"/>
      <c r="U437" s="681"/>
    </row>
    <row r="438" spans="2:22" x14ac:dyDescent="0.2">
      <c r="C438" s="710"/>
      <c r="D438" s="656">
        <f t="shared" si="287"/>
        <v>2012</v>
      </c>
      <c r="E438" s="693"/>
      <c r="F438" s="693"/>
      <c r="G438" s="718" t="str">
        <f t="shared" ref="G438:G443" si="288">IF(G428=0,"",G429/G428-1)</f>
        <v/>
      </c>
      <c r="H438" s="693"/>
      <c r="I438" s="715"/>
      <c r="J438" s="710"/>
      <c r="K438" s="611">
        <f t="shared" ref="K438:K444" si="289">D438</f>
        <v>2012</v>
      </c>
      <c r="L438" s="697" t="str">
        <f>IF(L428=0,"",L429/L428-1)</f>
        <v/>
      </c>
      <c r="M438" s="697" t="str">
        <f>IF(M428=0,"",M429/M428-1)</f>
        <v/>
      </c>
      <c r="N438" s="693"/>
      <c r="O438" s="616"/>
      <c r="P438" s="710"/>
      <c r="Q438" s="611">
        <f t="shared" ref="Q438:Q444" si="290">K438</f>
        <v>2012</v>
      </c>
      <c r="R438" s="719" t="str">
        <f>IF(R428="","",IF(R428=0,"",R429/R428-1))</f>
        <v/>
      </c>
      <c r="S438" s="719" t="str">
        <f>IF(S428="","",IF(S428=0,"",S429/S428-1))</f>
        <v/>
      </c>
      <c r="T438" s="693"/>
      <c r="U438" s="681"/>
    </row>
    <row r="439" spans="2:22" x14ac:dyDescent="0.2">
      <c r="C439" s="710"/>
      <c r="D439" s="665">
        <f t="shared" si="287"/>
        <v>2013</v>
      </c>
      <c r="E439" s="693"/>
      <c r="F439" s="693"/>
      <c r="G439" s="718" t="str">
        <f t="shared" si="288"/>
        <v/>
      </c>
      <c r="H439" s="693"/>
      <c r="I439" s="715"/>
      <c r="J439" s="710"/>
      <c r="K439" s="611">
        <f t="shared" si="289"/>
        <v>2013</v>
      </c>
      <c r="L439" s="697" t="str">
        <f t="shared" ref="L439:M443" si="291">IF(L429=0,"",L430/L429-1)</f>
        <v/>
      </c>
      <c r="M439" s="697" t="str">
        <f t="shared" si="291"/>
        <v/>
      </c>
      <c r="N439" s="693"/>
      <c r="O439" s="616"/>
      <c r="P439" s="710"/>
      <c r="Q439" s="611">
        <f t="shared" si="290"/>
        <v>2013</v>
      </c>
      <c r="R439" s="719" t="str">
        <f t="shared" ref="R439:S443" si="292">IF(R429="","",IF(R429=0,"",R430/R429-1))</f>
        <v/>
      </c>
      <c r="S439" s="719" t="str">
        <f t="shared" si="292"/>
        <v/>
      </c>
      <c r="T439" s="693"/>
      <c r="U439" s="681"/>
    </row>
    <row r="440" spans="2:22" x14ac:dyDescent="0.2">
      <c r="C440" s="710"/>
      <c r="D440" s="656">
        <f t="shared" si="287"/>
        <v>2014</v>
      </c>
      <c r="E440" s="693"/>
      <c r="F440" s="693"/>
      <c r="G440" s="718" t="str">
        <f t="shared" si="288"/>
        <v/>
      </c>
      <c r="H440" s="693"/>
      <c r="I440" s="715"/>
      <c r="J440" s="710"/>
      <c r="K440" s="611">
        <f t="shared" si="289"/>
        <v>2014</v>
      </c>
      <c r="L440" s="697" t="str">
        <f t="shared" si="291"/>
        <v/>
      </c>
      <c r="M440" s="697" t="str">
        <f t="shared" si="291"/>
        <v/>
      </c>
      <c r="N440" s="693"/>
      <c r="O440" s="616"/>
      <c r="P440" s="710"/>
      <c r="Q440" s="611">
        <f t="shared" si="290"/>
        <v>2014</v>
      </c>
      <c r="R440" s="719" t="str">
        <f t="shared" si="292"/>
        <v/>
      </c>
      <c r="S440" s="719" t="str">
        <f t="shared" si="292"/>
        <v/>
      </c>
      <c r="T440" s="693"/>
      <c r="U440" s="681"/>
    </row>
    <row r="441" spans="2:22" x14ac:dyDescent="0.2">
      <c r="C441" s="710"/>
      <c r="D441" s="656">
        <f t="shared" si="287"/>
        <v>2015</v>
      </c>
      <c r="E441" s="693"/>
      <c r="F441" s="693"/>
      <c r="G441" s="718" t="str">
        <f t="shared" si="288"/>
        <v/>
      </c>
      <c r="H441" s="693"/>
      <c r="I441" s="715"/>
      <c r="J441" s="710"/>
      <c r="K441" s="611">
        <f t="shared" si="289"/>
        <v>2015</v>
      </c>
      <c r="L441" s="697" t="str">
        <f t="shared" si="291"/>
        <v/>
      </c>
      <c r="M441" s="697" t="str">
        <f t="shared" si="291"/>
        <v/>
      </c>
      <c r="N441" s="693"/>
      <c r="O441" s="616"/>
      <c r="P441" s="710"/>
      <c r="Q441" s="611">
        <f t="shared" si="290"/>
        <v>2015</v>
      </c>
      <c r="R441" s="719" t="str">
        <f t="shared" si="292"/>
        <v/>
      </c>
      <c r="S441" s="719" t="str">
        <f t="shared" si="292"/>
        <v/>
      </c>
      <c r="T441" s="693"/>
      <c r="U441" s="681"/>
    </row>
    <row r="442" spans="2:22" x14ac:dyDescent="0.2">
      <c r="C442" s="710"/>
      <c r="D442" s="656">
        <f t="shared" si="287"/>
        <v>2016</v>
      </c>
      <c r="E442" s="693"/>
      <c r="F442" s="693"/>
      <c r="G442" s="718" t="str">
        <f t="shared" si="288"/>
        <v/>
      </c>
      <c r="H442" s="693"/>
      <c r="I442" s="715"/>
      <c r="J442" s="710"/>
      <c r="K442" s="611">
        <f t="shared" si="289"/>
        <v>2016</v>
      </c>
      <c r="L442" s="697" t="str">
        <f>IF(K433="Forecast","",IF(L432=0,"",L433/L432-1))</f>
        <v/>
      </c>
      <c r="M442" s="697" t="str">
        <f t="shared" si="291"/>
        <v/>
      </c>
      <c r="N442" s="693"/>
      <c r="O442" s="616"/>
      <c r="P442" s="710"/>
      <c r="Q442" s="611">
        <f t="shared" si="290"/>
        <v>2016</v>
      </c>
      <c r="R442" s="719" t="str">
        <f>IF(Q433="Forecast","",IF(R432=0,"",R433/R432-1))</f>
        <v/>
      </c>
      <c r="S442" s="719" t="str">
        <f t="shared" si="292"/>
        <v/>
      </c>
      <c r="T442" s="693"/>
      <c r="U442" s="681"/>
    </row>
    <row r="443" spans="2:22" x14ac:dyDescent="0.2">
      <c r="C443" s="710"/>
      <c r="D443" s="665">
        <f t="shared" si="287"/>
        <v>2017</v>
      </c>
      <c r="E443" s="693"/>
      <c r="F443" s="693"/>
      <c r="G443" s="718" t="str">
        <f t="shared" si="288"/>
        <v/>
      </c>
      <c r="H443" s="693"/>
      <c r="I443" s="720" t="str">
        <f>IF(I435=0,"",G434/I435-1)</f>
        <v/>
      </c>
      <c r="J443" s="710"/>
      <c r="K443" s="611">
        <f t="shared" si="289"/>
        <v>2017</v>
      </c>
      <c r="L443" s="697" t="str">
        <f>IF(K434="Forecast","",IF(L433=0,"",L434/L433-1))</f>
        <v/>
      </c>
      <c r="M443" s="697" t="str">
        <f t="shared" si="291"/>
        <v/>
      </c>
      <c r="N443" s="693"/>
      <c r="O443" s="729" t="str">
        <f>IF(O435=0,"",M434/O435-1)</f>
        <v/>
      </c>
      <c r="P443" s="710"/>
      <c r="Q443" s="611">
        <f t="shared" si="290"/>
        <v>2017</v>
      </c>
      <c r="R443" s="719" t="str">
        <f>IF(Q434="Forecast","",IF(R433=0,"",R434/R433-1))</f>
        <v/>
      </c>
      <c r="S443" s="719" t="str">
        <f t="shared" si="292"/>
        <v/>
      </c>
      <c r="T443" s="693"/>
      <c r="U443" s="698" t="str">
        <f>IF(U435=0,"",S434/U435-1)</f>
        <v/>
      </c>
    </row>
    <row r="444" spans="2:22" ht="26.25" thickBot="1" x14ac:dyDescent="0.25">
      <c r="C444" s="677"/>
      <c r="D444" s="721" t="s">
        <v>282</v>
      </c>
      <c r="E444" s="699"/>
      <c r="F444" s="699"/>
      <c r="G444" s="722" t="str">
        <f>IF(G428=0,"",GEOMEAN(G438:G443))</f>
        <v/>
      </c>
      <c r="H444" s="699"/>
      <c r="I444" s="705" t="s">
        <v>312</v>
      </c>
      <c r="J444" s="710"/>
      <c r="K444" s="703" t="str">
        <f t="shared" si="289"/>
        <v>Geometric Mean</v>
      </c>
      <c r="L444" s="704"/>
      <c r="M444" s="704" t="str">
        <f>IF(M428=0,"",GEOMEAN(M438:M443))</f>
        <v/>
      </c>
      <c r="N444" s="699"/>
      <c r="O444" s="705" t="s">
        <v>312</v>
      </c>
      <c r="P444" s="677"/>
      <c r="Q444" s="703" t="str">
        <f t="shared" si="290"/>
        <v>Geometric Mean</v>
      </c>
      <c r="R444" s="724"/>
      <c r="S444" s="704" t="str">
        <f>IF(S428="","",IF(S428=0,"",(S434/S428)^(1/(Q443-Q437-1)-1)))</f>
        <v/>
      </c>
      <c r="T444" s="699"/>
      <c r="U444" s="705" t="s">
        <v>312</v>
      </c>
    </row>
    <row r="445" spans="2:22" ht="13.5" thickBot="1" x14ac:dyDescent="0.25"/>
    <row r="446" spans="2:22" ht="13.5" thickBot="1" x14ac:dyDescent="0.25">
      <c r="B446" s="635">
        <f>B403+1</f>
        <v>10</v>
      </c>
      <c r="C446" s="636" t="s">
        <v>284</v>
      </c>
      <c r="D446" s="817"/>
      <c r="E446" s="818"/>
      <c r="F446" s="819"/>
      <c r="G446" s="707"/>
      <c r="H446" s="12" t="s">
        <v>285</v>
      </c>
      <c r="N446" s="708"/>
      <c r="O446" s="709"/>
      <c r="P446" s="709"/>
      <c r="Q446" s="709"/>
      <c r="R446" s="709"/>
      <c r="S446" s="709"/>
      <c r="T446" s="709"/>
      <c r="U446" s="709"/>
    </row>
    <row r="447" spans="2:22" ht="13.5" thickBot="1" x14ac:dyDescent="0.25">
      <c r="Q447" s="699"/>
      <c r="R447" s="699"/>
      <c r="S447" s="699"/>
      <c r="T447" s="699"/>
      <c r="U447" s="699"/>
    </row>
    <row r="448" spans="2:22" x14ac:dyDescent="0.2">
      <c r="C448" s="597"/>
      <c r="D448" s="598" t="s">
        <v>274</v>
      </c>
      <c r="E448" s="598"/>
      <c r="F448" s="820" t="s">
        <v>286</v>
      </c>
      <c r="G448" s="821"/>
      <c r="H448" s="821"/>
      <c r="I448" s="822"/>
      <c r="J448" s="598"/>
      <c r="K448" s="812" t="s">
        <v>275</v>
      </c>
      <c r="L448" s="813"/>
      <c r="M448" s="813"/>
      <c r="N448" s="813"/>
      <c r="O448" s="814"/>
      <c r="P448" s="599"/>
      <c r="Q448" s="823" t="str">
        <f>CONCATENATE("Consumption (kWh) per ",LEFT(F448,LEN(F448)-1))</f>
        <v>Consumption (kWh) per Customer</v>
      </c>
      <c r="R448" s="824"/>
      <c r="S448" s="824"/>
      <c r="T448" s="824"/>
      <c r="U448" s="825"/>
      <c r="V448" s="637"/>
    </row>
    <row r="449" spans="2:22" ht="39" thickBot="1" x14ac:dyDescent="0.25">
      <c r="C449" s="677"/>
      <c r="D449" s="602" t="s">
        <v>311</v>
      </c>
      <c r="E449" s="610"/>
      <c r="F449" s="826"/>
      <c r="G449" s="827"/>
      <c r="H449" s="828"/>
      <c r="I449" s="638"/>
      <c r="J449" s="610"/>
      <c r="K449" s="606"/>
      <c r="L449" s="607" t="s">
        <v>276</v>
      </c>
      <c r="M449" s="607" t="s">
        <v>277</v>
      </c>
      <c r="N449" s="608"/>
      <c r="O449" s="609" t="s">
        <v>277</v>
      </c>
      <c r="P449" s="610"/>
      <c r="Q449" s="639"/>
      <c r="R449" s="640" t="str">
        <f>L449</f>
        <v>Actual (Weather actual)</v>
      </c>
      <c r="S449" s="641" t="str">
        <f>M449</f>
        <v>Weather-normalized</v>
      </c>
      <c r="T449" s="641"/>
      <c r="U449" s="642" t="str">
        <f>O449</f>
        <v>Weather-normalized</v>
      </c>
      <c r="V449" s="637"/>
    </row>
    <row r="450" spans="2:22" x14ac:dyDescent="0.2">
      <c r="C450" s="610" t="s">
        <v>278</v>
      </c>
      <c r="D450" s="611">
        <f t="shared" ref="D450:D455" si="293">D451-1</f>
        <v>2011</v>
      </c>
      <c r="E450" s="710"/>
      <c r="F450" s="643" t="str">
        <f>F407</f>
        <v>Actual</v>
      </c>
      <c r="G450" s="644"/>
      <c r="H450" s="680" t="str">
        <f t="shared" ref="H450:H456" si="294">IF(D450=2013,"Board-approved","")</f>
        <v/>
      </c>
      <c r="I450" s="681"/>
      <c r="J450" s="710"/>
      <c r="K450" s="645" t="str">
        <f>F450</f>
        <v>Actual</v>
      </c>
      <c r="L450" s="615"/>
      <c r="M450" s="615"/>
      <c r="N450" s="646" t="str">
        <f>H450</f>
        <v/>
      </c>
      <c r="O450" s="681"/>
      <c r="P450" s="710"/>
      <c r="Q450" s="645" t="str">
        <f>K450</f>
        <v>Actual</v>
      </c>
      <c r="R450" s="711" t="str">
        <f>IF(G450=0,"",L450/G450)</f>
        <v/>
      </c>
      <c r="S450" s="693" t="str">
        <f>IF(G450=0,"",M450/G450)</f>
        <v/>
      </c>
      <c r="T450" s="693" t="str">
        <f>N450</f>
        <v/>
      </c>
      <c r="U450" s="693" t="str">
        <f>IF(T450="","",IF(I450=0,"",O450/I450))</f>
        <v/>
      </c>
      <c r="V450" s="678"/>
    </row>
    <row r="451" spans="2:22" x14ac:dyDescent="0.2">
      <c r="C451" s="610" t="s">
        <v>278</v>
      </c>
      <c r="D451" s="611">
        <f t="shared" si="293"/>
        <v>2012</v>
      </c>
      <c r="E451" s="710"/>
      <c r="F451" s="647" t="str">
        <f t="shared" ref="F451:F456" si="295">F408</f>
        <v>Actual</v>
      </c>
      <c r="G451" s="644"/>
      <c r="H451" s="680" t="str">
        <f t="shared" si="294"/>
        <v/>
      </c>
      <c r="I451" s="681"/>
      <c r="J451" s="710"/>
      <c r="K451" s="645" t="str">
        <f t="shared" ref="K451:K456" si="296">F451</f>
        <v>Actual</v>
      </c>
      <c r="L451" s="615"/>
      <c r="M451" s="615"/>
      <c r="N451" s="646" t="str">
        <f t="shared" ref="N451:N456" si="297">H451</f>
        <v/>
      </c>
      <c r="O451" s="681"/>
      <c r="P451" s="710"/>
      <c r="Q451" s="645" t="str">
        <f t="shared" ref="Q451:Q456" si="298">K451</f>
        <v>Actual</v>
      </c>
      <c r="R451" s="711" t="str">
        <f t="shared" ref="R451:R456" si="299">IF(G451=0,"",L451/G451)</f>
        <v/>
      </c>
      <c r="S451" s="693" t="str">
        <f t="shared" ref="S451:S456" si="300">IF(G451=0,"",M451/G451)</f>
        <v/>
      </c>
      <c r="T451" s="693" t="str">
        <f t="shared" ref="T451:T456" si="301">N451</f>
        <v/>
      </c>
      <c r="U451" s="693" t="str">
        <f t="shared" ref="U451:U456" si="302">IF(T451="","",IF(I451=0,"",O451/I451))</f>
        <v/>
      </c>
      <c r="V451" s="678"/>
    </row>
    <row r="452" spans="2:22" x14ac:dyDescent="0.2">
      <c r="C452" s="610" t="s">
        <v>278</v>
      </c>
      <c r="D452" s="611">
        <f t="shared" si="293"/>
        <v>2013</v>
      </c>
      <c r="E452" s="710"/>
      <c r="F452" s="647" t="str">
        <f t="shared" si="295"/>
        <v>Actual</v>
      </c>
      <c r="G452" s="644"/>
      <c r="H452" s="680" t="str">
        <f t="shared" si="294"/>
        <v>Board-approved</v>
      </c>
      <c r="I452" s="616"/>
      <c r="J452" s="710"/>
      <c r="K452" s="645" t="str">
        <f t="shared" si="296"/>
        <v>Actual</v>
      </c>
      <c r="L452" s="615"/>
      <c r="M452" s="615"/>
      <c r="N452" s="646" t="str">
        <f t="shared" si="297"/>
        <v>Board-approved</v>
      </c>
      <c r="O452" s="616"/>
      <c r="P452" s="710"/>
      <c r="Q452" s="645" t="str">
        <f t="shared" si="298"/>
        <v>Actual</v>
      </c>
      <c r="R452" s="711" t="str">
        <f t="shared" si="299"/>
        <v/>
      </c>
      <c r="S452" s="693" t="str">
        <f t="shared" si="300"/>
        <v/>
      </c>
      <c r="T452" s="693" t="str">
        <f t="shared" si="301"/>
        <v>Board-approved</v>
      </c>
      <c r="U452" s="693" t="str">
        <f t="shared" si="302"/>
        <v/>
      </c>
      <c r="V452" s="678"/>
    </row>
    <row r="453" spans="2:22" x14ac:dyDescent="0.2">
      <c r="C453" s="610" t="s">
        <v>278</v>
      </c>
      <c r="D453" s="611">
        <f t="shared" si="293"/>
        <v>2014</v>
      </c>
      <c r="E453" s="710"/>
      <c r="F453" s="647" t="str">
        <f t="shared" si="295"/>
        <v>Actual</v>
      </c>
      <c r="G453" s="644"/>
      <c r="H453" s="680" t="str">
        <f t="shared" si="294"/>
        <v/>
      </c>
      <c r="I453" s="681"/>
      <c r="J453" s="710"/>
      <c r="K453" s="645" t="str">
        <f t="shared" si="296"/>
        <v>Actual</v>
      </c>
      <c r="L453" s="615"/>
      <c r="M453" s="615"/>
      <c r="N453" s="646" t="str">
        <f t="shared" si="297"/>
        <v/>
      </c>
      <c r="O453" s="681"/>
      <c r="P453" s="710"/>
      <c r="Q453" s="645" t="str">
        <f t="shared" si="298"/>
        <v>Actual</v>
      </c>
      <c r="R453" s="711" t="str">
        <f t="shared" si="299"/>
        <v/>
      </c>
      <c r="S453" s="693" t="str">
        <f t="shared" si="300"/>
        <v/>
      </c>
      <c r="T453" s="693" t="str">
        <f t="shared" si="301"/>
        <v/>
      </c>
      <c r="U453" s="693" t="str">
        <f t="shared" si="302"/>
        <v/>
      </c>
      <c r="V453" s="678"/>
    </row>
    <row r="454" spans="2:22" x14ac:dyDescent="0.2">
      <c r="C454" s="610" t="s">
        <v>278</v>
      </c>
      <c r="D454" s="611">
        <f t="shared" si="293"/>
        <v>2015</v>
      </c>
      <c r="E454" s="710"/>
      <c r="F454" s="647" t="str">
        <f t="shared" si="295"/>
        <v>Actual</v>
      </c>
      <c r="G454" s="644"/>
      <c r="H454" s="680" t="str">
        <f t="shared" si="294"/>
        <v/>
      </c>
      <c r="I454" s="681"/>
      <c r="J454" s="710"/>
      <c r="K454" s="645" t="str">
        <f t="shared" si="296"/>
        <v>Actual</v>
      </c>
      <c r="L454" s="615"/>
      <c r="M454" s="615"/>
      <c r="N454" s="646" t="str">
        <f t="shared" si="297"/>
        <v/>
      </c>
      <c r="O454" s="681"/>
      <c r="P454" s="710"/>
      <c r="Q454" s="645" t="str">
        <f t="shared" si="298"/>
        <v>Actual</v>
      </c>
      <c r="R454" s="711" t="str">
        <f t="shared" si="299"/>
        <v/>
      </c>
      <c r="S454" s="693" t="str">
        <f t="shared" si="300"/>
        <v/>
      </c>
      <c r="T454" s="693" t="str">
        <f t="shared" si="301"/>
        <v/>
      </c>
      <c r="U454" s="693" t="str">
        <f t="shared" si="302"/>
        <v/>
      </c>
      <c r="V454" s="678"/>
    </row>
    <row r="455" spans="2:22" x14ac:dyDescent="0.2">
      <c r="C455" s="610" t="s">
        <v>54</v>
      </c>
      <c r="D455" s="611">
        <f t="shared" si="293"/>
        <v>2016</v>
      </c>
      <c r="E455" s="710"/>
      <c r="F455" s="647" t="str">
        <f t="shared" si="295"/>
        <v>Forecast</v>
      </c>
      <c r="G455" s="644"/>
      <c r="H455" s="680" t="str">
        <f t="shared" si="294"/>
        <v/>
      </c>
      <c r="I455" s="681"/>
      <c r="J455" s="710"/>
      <c r="K455" s="645" t="str">
        <f t="shared" si="296"/>
        <v>Forecast</v>
      </c>
      <c r="L455" s="682"/>
      <c r="M455" s="615"/>
      <c r="N455" s="646" t="str">
        <f t="shared" si="297"/>
        <v/>
      </c>
      <c r="O455" s="681"/>
      <c r="P455" s="710"/>
      <c r="Q455" s="645" t="str">
        <f t="shared" si="298"/>
        <v>Forecast</v>
      </c>
      <c r="R455" s="711" t="str">
        <f t="shared" si="299"/>
        <v/>
      </c>
      <c r="S455" s="693" t="str">
        <f t="shared" si="300"/>
        <v/>
      </c>
      <c r="T455" s="693" t="str">
        <f t="shared" si="301"/>
        <v/>
      </c>
      <c r="U455" s="693" t="str">
        <f t="shared" si="302"/>
        <v/>
      </c>
      <c r="V455" s="678"/>
    </row>
    <row r="456" spans="2:22" ht="13.5" thickBot="1" x14ac:dyDescent="0.25">
      <c r="C456" s="617" t="s">
        <v>53</v>
      </c>
      <c r="D456" s="618">
        <v>2017</v>
      </c>
      <c r="E456" s="677"/>
      <c r="F456" s="648" t="str">
        <f t="shared" si="295"/>
        <v>Forecast</v>
      </c>
      <c r="G456" s="649"/>
      <c r="H456" s="685" t="str">
        <f t="shared" si="294"/>
        <v/>
      </c>
      <c r="I456" s="687"/>
      <c r="J456" s="677"/>
      <c r="K456" s="650" t="str">
        <f t="shared" si="296"/>
        <v>Forecast</v>
      </c>
      <c r="L456" s="686"/>
      <c r="M456" s="730"/>
      <c r="N456" s="651" t="str">
        <f t="shared" si="297"/>
        <v/>
      </c>
      <c r="O456" s="687"/>
      <c r="P456" s="677"/>
      <c r="Q456" s="650" t="str">
        <f t="shared" si="298"/>
        <v>Forecast</v>
      </c>
      <c r="R456" s="712" t="str">
        <f t="shared" si="299"/>
        <v/>
      </c>
      <c r="S456" s="699" t="str">
        <f t="shared" si="300"/>
        <v/>
      </c>
      <c r="T456" s="699" t="str">
        <f t="shared" si="301"/>
        <v/>
      </c>
      <c r="U456" s="699" t="str">
        <f t="shared" si="302"/>
        <v/>
      </c>
      <c r="V456" s="678"/>
    </row>
    <row r="457" spans="2:22" ht="13.5" thickBot="1" x14ac:dyDescent="0.25">
      <c r="B457" s="693"/>
      <c r="C457" s="652"/>
      <c r="I457" s="623">
        <f>SUM(I450:I455)</f>
        <v>0</v>
      </c>
      <c r="O457" s="623">
        <f>SUM(O450:O455)</f>
        <v>0</v>
      </c>
      <c r="U457" s="623">
        <f>SUM(U450:U455)</f>
        <v>0</v>
      </c>
    </row>
    <row r="458" spans="2:22" ht="39" thickBot="1" x14ac:dyDescent="0.25">
      <c r="C458" s="653" t="s">
        <v>279</v>
      </c>
      <c r="D458" s="654" t="s">
        <v>80</v>
      </c>
      <c r="E458" s="688"/>
      <c r="F458" s="688"/>
      <c r="G458" s="628" t="s">
        <v>280</v>
      </c>
      <c r="H458" s="688"/>
      <c r="I458" s="630" t="s">
        <v>287</v>
      </c>
      <c r="J458" s="713"/>
      <c r="K458" s="627" t="s">
        <v>80</v>
      </c>
      <c r="L458" s="816" t="s">
        <v>280</v>
      </c>
      <c r="M458" s="816"/>
      <c r="N458" s="688"/>
      <c r="O458" s="630" t="str">
        <f>I458</f>
        <v>Test Year Versus Board-approved</v>
      </c>
      <c r="P458" s="597"/>
      <c r="Q458" s="627" t="s">
        <v>80</v>
      </c>
      <c r="R458" s="816" t="s">
        <v>280</v>
      </c>
      <c r="S458" s="816"/>
      <c r="T458" s="688"/>
      <c r="U458" s="630" t="str">
        <f>O458</f>
        <v>Test Year Versus Board-approved</v>
      </c>
    </row>
    <row r="459" spans="2:22" x14ac:dyDescent="0.2">
      <c r="C459" s="710"/>
      <c r="D459" s="655">
        <f t="shared" ref="D459:D465" si="303">D450</f>
        <v>2011</v>
      </c>
      <c r="E459" s="693"/>
      <c r="F459" s="693"/>
      <c r="G459" s="714"/>
      <c r="H459" s="693"/>
      <c r="I459" s="715"/>
      <c r="J459" s="716"/>
      <c r="K459" s="611">
        <f>D459</f>
        <v>2011</v>
      </c>
      <c r="L459" s="695"/>
      <c r="M459" s="695"/>
      <c r="N459" s="693"/>
      <c r="O459" s="681"/>
      <c r="P459" s="710"/>
      <c r="Q459" s="611">
        <f>K459</f>
        <v>2011</v>
      </c>
      <c r="R459" s="717"/>
      <c r="S459" s="717"/>
      <c r="T459" s="693"/>
      <c r="U459" s="681"/>
    </row>
    <row r="460" spans="2:22" x14ac:dyDescent="0.2">
      <c r="C460" s="710"/>
      <c r="D460" s="656">
        <f t="shared" si="303"/>
        <v>2012</v>
      </c>
      <c r="E460" s="693"/>
      <c r="F460" s="693"/>
      <c r="G460" s="718" t="str">
        <f t="shared" ref="G460:G465" si="304">IF(G450=0,"",G451/G450-1)</f>
        <v/>
      </c>
      <c r="H460" s="693"/>
      <c r="I460" s="715"/>
      <c r="J460" s="716"/>
      <c r="K460" s="611">
        <f t="shared" ref="K460:K466" si="305">D460</f>
        <v>2012</v>
      </c>
      <c r="L460" s="697" t="str">
        <f t="shared" ref="L460:M463" si="306">IF(L450=0,"",L451/L450-1)</f>
        <v/>
      </c>
      <c r="M460" s="697" t="str">
        <f t="shared" si="306"/>
        <v/>
      </c>
      <c r="N460" s="693"/>
      <c r="O460" s="681"/>
      <c r="P460" s="710"/>
      <c r="Q460" s="611">
        <f t="shared" ref="Q460:Q466" si="307">K460</f>
        <v>2012</v>
      </c>
      <c r="R460" s="719" t="str">
        <f>IF(R450="","",IF(R450=0,"",R451/R450-1))</f>
        <v/>
      </c>
      <c r="S460" s="719" t="str">
        <f>IF(S450="","",IF(S450=0,"",S451/S450-1))</f>
        <v/>
      </c>
      <c r="T460" s="693"/>
      <c r="U460" s="681"/>
    </row>
    <row r="461" spans="2:22" x14ac:dyDescent="0.2">
      <c r="C461" s="710"/>
      <c r="D461" s="656">
        <f t="shared" si="303"/>
        <v>2013</v>
      </c>
      <c r="E461" s="693"/>
      <c r="F461" s="693"/>
      <c r="G461" s="718" t="str">
        <f t="shared" si="304"/>
        <v/>
      </c>
      <c r="H461" s="693"/>
      <c r="I461" s="715"/>
      <c r="J461" s="716"/>
      <c r="K461" s="611">
        <f t="shared" si="305"/>
        <v>2013</v>
      </c>
      <c r="L461" s="697" t="str">
        <f t="shared" si="306"/>
        <v/>
      </c>
      <c r="M461" s="697" t="str">
        <f t="shared" si="306"/>
        <v/>
      </c>
      <c r="N461" s="693"/>
      <c r="O461" s="681"/>
      <c r="P461" s="710"/>
      <c r="Q461" s="611">
        <f t="shared" si="307"/>
        <v>2013</v>
      </c>
      <c r="R461" s="719" t="str">
        <f t="shared" ref="R461:S465" si="308">IF(R451="","",IF(R451=0,"",R452/R451-1))</f>
        <v/>
      </c>
      <c r="S461" s="719" t="str">
        <f t="shared" si="308"/>
        <v/>
      </c>
      <c r="T461" s="693"/>
      <c r="U461" s="681"/>
    </row>
    <row r="462" spans="2:22" x14ac:dyDescent="0.2">
      <c r="C462" s="710"/>
      <c r="D462" s="656">
        <f t="shared" si="303"/>
        <v>2014</v>
      </c>
      <c r="E462" s="693"/>
      <c r="F462" s="693"/>
      <c r="G462" s="718" t="str">
        <f t="shared" si="304"/>
        <v/>
      </c>
      <c r="H462" s="693"/>
      <c r="I462" s="715"/>
      <c r="J462" s="716"/>
      <c r="K462" s="611">
        <f t="shared" si="305"/>
        <v>2014</v>
      </c>
      <c r="L462" s="697" t="str">
        <f t="shared" si="306"/>
        <v/>
      </c>
      <c r="M462" s="697" t="str">
        <f t="shared" si="306"/>
        <v/>
      </c>
      <c r="N462" s="693"/>
      <c r="O462" s="681"/>
      <c r="P462" s="710"/>
      <c r="Q462" s="611">
        <f t="shared" si="307"/>
        <v>2014</v>
      </c>
      <c r="R462" s="719" t="str">
        <f t="shared" si="308"/>
        <v/>
      </c>
      <c r="S462" s="719" t="str">
        <f t="shared" si="308"/>
        <v/>
      </c>
      <c r="T462" s="693"/>
      <c r="U462" s="681"/>
    </row>
    <row r="463" spans="2:22" x14ac:dyDescent="0.2">
      <c r="C463" s="710"/>
      <c r="D463" s="656">
        <f t="shared" si="303"/>
        <v>2015</v>
      </c>
      <c r="E463" s="693"/>
      <c r="F463" s="693"/>
      <c r="G463" s="718" t="str">
        <f t="shared" si="304"/>
        <v/>
      </c>
      <c r="H463" s="693"/>
      <c r="I463" s="715"/>
      <c r="J463" s="716"/>
      <c r="K463" s="611">
        <f t="shared" si="305"/>
        <v>2015</v>
      </c>
      <c r="L463" s="697" t="str">
        <f t="shared" si="306"/>
        <v/>
      </c>
      <c r="M463" s="697" t="str">
        <f t="shared" si="306"/>
        <v/>
      </c>
      <c r="N463" s="693"/>
      <c r="O463" s="681"/>
      <c r="P463" s="710"/>
      <c r="Q463" s="611">
        <f t="shared" si="307"/>
        <v>2015</v>
      </c>
      <c r="R463" s="719" t="str">
        <f t="shared" si="308"/>
        <v/>
      </c>
      <c r="S463" s="719" t="str">
        <f t="shared" si="308"/>
        <v/>
      </c>
      <c r="T463" s="693"/>
      <c r="U463" s="681"/>
    </row>
    <row r="464" spans="2:22" x14ac:dyDescent="0.2">
      <c r="C464" s="710"/>
      <c r="D464" s="656">
        <f t="shared" si="303"/>
        <v>2016</v>
      </c>
      <c r="E464" s="693"/>
      <c r="F464" s="693"/>
      <c r="G464" s="718" t="str">
        <f t="shared" si="304"/>
        <v/>
      </c>
      <c r="H464" s="693"/>
      <c r="I464" s="715"/>
      <c r="J464" s="716"/>
      <c r="K464" s="611">
        <f t="shared" si="305"/>
        <v>2016</v>
      </c>
      <c r="L464" s="697" t="str">
        <f>IF(K455="Forecast","",IF(L454=0,"",L455/L454-1))</f>
        <v/>
      </c>
      <c r="M464" s="697" t="str">
        <f>IF(M454=0,"",M455/M454-1)</f>
        <v/>
      </c>
      <c r="N464" s="693"/>
      <c r="O464" s="681"/>
      <c r="P464" s="710"/>
      <c r="Q464" s="611">
        <f t="shared" si="307"/>
        <v>2016</v>
      </c>
      <c r="R464" s="719" t="str">
        <f>IF(Q455="Forecast","",IF(R454=0,"",R455/R454-1))</f>
        <v/>
      </c>
      <c r="S464" s="719" t="str">
        <f t="shared" si="308"/>
        <v/>
      </c>
      <c r="T464" s="693"/>
      <c r="U464" s="681"/>
    </row>
    <row r="465" spans="3:21" x14ac:dyDescent="0.2">
      <c r="C465" s="710"/>
      <c r="D465" s="656">
        <f t="shared" si="303"/>
        <v>2017</v>
      </c>
      <c r="E465" s="693"/>
      <c r="F465" s="693"/>
      <c r="G465" s="718" t="str">
        <f t="shared" si="304"/>
        <v/>
      </c>
      <c r="H465" s="693"/>
      <c r="I465" s="720" t="str">
        <f>IF(I457=0,"",G456/I457-1)</f>
        <v/>
      </c>
      <c r="J465" s="716"/>
      <c r="K465" s="611">
        <f t="shared" si="305"/>
        <v>2017</v>
      </c>
      <c r="L465" s="697" t="str">
        <f>IF(K456="Forecast","",IF(L455=0,"",L456/L455-1))</f>
        <v/>
      </c>
      <c r="M465" s="697" t="str">
        <f>IF(M455=0,"",M456/M455-1)</f>
        <v/>
      </c>
      <c r="N465" s="693"/>
      <c r="O465" s="698" t="str">
        <f>IF(O457=0,"",M456/O457-1)</f>
        <v/>
      </c>
      <c r="P465" s="710"/>
      <c r="Q465" s="611">
        <f t="shared" si="307"/>
        <v>2017</v>
      </c>
      <c r="R465" s="719" t="str">
        <f>IF(Q456="Forecast","",IF(R455=0,"",R456/R455-1))</f>
        <v/>
      </c>
      <c r="S465" s="719" t="str">
        <f t="shared" si="308"/>
        <v/>
      </c>
      <c r="T465" s="693"/>
      <c r="U465" s="698" t="str">
        <f>IF(U457=0,"",S456/U457-1)</f>
        <v/>
      </c>
    </row>
    <row r="466" spans="3:21" ht="26.25" thickBot="1" x14ac:dyDescent="0.25">
      <c r="C466" s="677"/>
      <c r="D466" s="721" t="s">
        <v>282</v>
      </c>
      <c r="E466" s="699"/>
      <c r="F466" s="699"/>
      <c r="G466" s="722" t="str">
        <f>IF(G450=0,"",GEOMEAN(G460:G465))</f>
        <v/>
      </c>
      <c r="H466" s="699"/>
      <c r="I466" s="723" t="s">
        <v>312</v>
      </c>
      <c r="J466" s="702"/>
      <c r="K466" s="703" t="str">
        <f t="shared" si="305"/>
        <v>Geometric Mean</v>
      </c>
      <c r="L466" s="704"/>
      <c r="M466" s="704" t="str">
        <f>IF(M450=0,"",(M456/M450)^(1/(K465-K459-1)-1))</f>
        <v/>
      </c>
      <c r="N466" s="699"/>
      <c r="O466" s="705" t="s">
        <v>312</v>
      </c>
      <c r="P466" s="677"/>
      <c r="Q466" s="703" t="str">
        <f t="shared" si="307"/>
        <v>Geometric Mean</v>
      </c>
      <c r="R466" s="724"/>
      <c r="S466" s="704" t="str">
        <f>IF(S450="","",IF(S450=0,"",(S456/S450)^(1/(Q465-Q459-1)-1)))</f>
        <v/>
      </c>
      <c r="T466" s="699"/>
      <c r="U466" s="705" t="s">
        <v>312</v>
      </c>
    </row>
    <row r="468" spans="3:21" ht="13.5" thickBot="1" x14ac:dyDescent="0.25">
      <c r="Q468" s="699"/>
      <c r="R468" s="699"/>
      <c r="S468" s="699"/>
      <c r="T468" s="699"/>
      <c r="U468" s="699"/>
    </row>
    <row r="469" spans="3:21" x14ac:dyDescent="0.2">
      <c r="C469" s="597"/>
      <c r="D469" s="598" t="s">
        <v>274</v>
      </c>
      <c r="E469" s="598"/>
      <c r="F469" s="829" t="s">
        <v>240</v>
      </c>
      <c r="G469" s="830"/>
      <c r="H469" s="830"/>
      <c r="I469" s="831"/>
      <c r="K469" s="812" t="str">
        <f>IF(ISBLANK(N446),"",CONCATENATE("Demand (",N446,")"))</f>
        <v/>
      </c>
      <c r="L469" s="813"/>
      <c r="M469" s="813"/>
      <c r="N469" s="813"/>
      <c r="O469" s="814"/>
      <c r="Q469" s="823" t="str">
        <f>CONCATENATE("Demand (",N446,") per ",LEFT(F448,LEN(F448)-1))</f>
        <v>Demand () per Customer</v>
      </c>
      <c r="R469" s="824"/>
      <c r="S469" s="824"/>
      <c r="T469" s="824"/>
      <c r="U469" s="825"/>
    </row>
    <row r="470" spans="3:21" ht="39" thickBot="1" x14ac:dyDescent="0.25">
      <c r="C470" s="677"/>
      <c r="D470" s="602" t="s">
        <v>311</v>
      </c>
      <c r="E470" s="610"/>
      <c r="F470" s="826"/>
      <c r="G470" s="827"/>
      <c r="H470" s="827"/>
      <c r="I470" s="638"/>
      <c r="K470" s="606"/>
      <c r="L470" s="607" t="s">
        <v>276</v>
      </c>
      <c r="M470" s="607" t="s">
        <v>277</v>
      </c>
      <c r="N470" s="608"/>
      <c r="O470" s="609" t="str">
        <f>M470</f>
        <v>Weather-normalized</v>
      </c>
      <c r="Q470" s="657"/>
      <c r="R470" s="607" t="str">
        <f>L470</f>
        <v>Actual (Weather actual)</v>
      </c>
      <c r="S470" s="607" t="str">
        <f>M470</f>
        <v>Weather-normalized</v>
      </c>
      <c r="T470" s="607"/>
      <c r="U470" s="658" t="str">
        <f>O470</f>
        <v>Weather-normalized</v>
      </c>
    </row>
    <row r="471" spans="3:21" x14ac:dyDescent="0.2">
      <c r="C471" s="610" t="s">
        <v>278</v>
      </c>
      <c r="D471" s="611">
        <f t="shared" ref="D471:D476" si="309">D472-1</f>
        <v>2011</v>
      </c>
      <c r="E471" s="710"/>
      <c r="F471" s="643" t="str">
        <f t="shared" ref="F471:F477" si="310">F450</f>
        <v>Actual</v>
      </c>
      <c r="G471" s="659"/>
      <c r="H471" s="679" t="str">
        <f t="shared" ref="H471:H477" si="311">IF(D471=2013,"Board-approved","")</f>
        <v/>
      </c>
      <c r="I471" s="725"/>
      <c r="K471" s="645" t="str">
        <f t="shared" ref="K471:K477" si="312">K450</f>
        <v>Actual</v>
      </c>
      <c r="L471" s="615"/>
      <c r="M471" s="615"/>
      <c r="N471" s="646" t="str">
        <f t="shared" ref="N471:N477" si="313">N450</f>
        <v/>
      </c>
      <c r="O471" s="681"/>
      <c r="Q471" s="645" t="str">
        <f>K471</f>
        <v>Actual</v>
      </c>
      <c r="R471" s="693" t="str">
        <f>IF(G471=0,"",L471/G471)</f>
        <v/>
      </c>
      <c r="S471" s="678" t="str">
        <f>IF(G471=0,"",M471/G471)</f>
        <v/>
      </c>
      <c r="T471" s="678" t="str">
        <f>N471</f>
        <v/>
      </c>
      <c r="U471" s="710" t="str">
        <f>IF(T471="","",IF(I471=0,"",O471/I471))</f>
        <v/>
      </c>
    </row>
    <row r="472" spans="3:21" x14ac:dyDescent="0.2">
      <c r="C472" s="610" t="s">
        <v>278</v>
      </c>
      <c r="D472" s="611">
        <f t="shared" si="309"/>
        <v>2012</v>
      </c>
      <c r="E472" s="710"/>
      <c r="F472" s="647" t="str">
        <f t="shared" si="310"/>
        <v>Actual</v>
      </c>
      <c r="G472" s="659"/>
      <c r="H472" s="679" t="str">
        <f t="shared" si="311"/>
        <v/>
      </c>
      <c r="I472" s="681"/>
      <c r="K472" s="645" t="str">
        <f t="shared" si="312"/>
        <v>Actual</v>
      </c>
      <c r="L472" s="615"/>
      <c r="M472" s="615"/>
      <c r="N472" s="646" t="str">
        <f t="shared" si="313"/>
        <v/>
      </c>
      <c r="O472" s="681"/>
      <c r="Q472" s="645" t="str">
        <f t="shared" ref="Q472:Q477" si="314">K472</f>
        <v>Actual</v>
      </c>
      <c r="R472" s="693" t="str">
        <f t="shared" ref="R472:R477" si="315">IF(G472=0,"",L472/G472)</f>
        <v/>
      </c>
      <c r="S472" s="678" t="str">
        <f t="shared" ref="S472:S477" si="316">IF(G472=0,"",M472/G472)</f>
        <v/>
      </c>
      <c r="T472" s="678" t="str">
        <f t="shared" ref="T472:T477" si="317">N472</f>
        <v/>
      </c>
      <c r="U472" s="710" t="str">
        <f t="shared" ref="U472:U477" si="318">IF(T472="","",IF(I472=0,"",O472/I472))</f>
        <v/>
      </c>
    </row>
    <row r="473" spans="3:21" x14ac:dyDescent="0.2">
      <c r="C473" s="610" t="s">
        <v>278</v>
      </c>
      <c r="D473" s="611">
        <f t="shared" si="309"/>
        <v>2013</v>
      </c>
      <c r="E473" s="710"/>
      <c r="F473" s="647" t="str">
        <f t="shared" si="310"/>
        <v>Actual</v>
      </c>
      <c r="G473" s="659"/>
      <c r="H473" s="679" t="str">
        <f t="shared" si="311"/>
        <v>Board-approved</v>
      </c>
      <c r="I473" s="660"/>
      <c r="K473" s="645" t="str">
        <f t="shared" si="312"/>
        <v>Actual</v>
      </c>
      <c r="L473" s="615"/>
      <c r="M473" s="615"/>
      <c r="N473" s="646" t="str">
        <f t="shared" si="313"/>
        <v>Board-approved</v>
      </c>
      <c r="O473" s="616"/>
      <c r="Q473" s="645" t="str">
        <f t="shared" si="314"/>
        <v>Actual</v>
      </c>
      <c r="R473" s="693" t="str">
        <f t="shared" si="315"/>
        <v/>
      </c>
      <c r="S473" s="678" t="str">
        <f t="shared" si="316"/>
        <v/>
      </c>
      <c r="T473" s="678" t="str">
        <f t="shared" si="317"/>
        <v>Board-approved</v>
      </c>
      <c r="U473" s="710" t="str">
        <f t="shared" si="318"/>
        <v/>
      </c>
    </row>
    <row r="474" spans="3:21" x14ac:dyDescent="0.2">
      <c r="C474" s="610" t="s">
        <v>278</v>
      </c>
      <c r="D474" s="611">
        <f t="shared" si="309"/>
        <v>2014</v>
      </c>
      <c r="E474" s="710"/>
      <c r="F474" s="647" t="str">
        <f t="shared" si="310"/>
        <v>Actual</v>
      </c>
      <c r="G474" s="659"/>
      <c r="H474" s="679" t="str">
        <f t="shared" si="311"/>
        <v/>
      </c>
      <c r="I474" s="681"/>
      <c r="K474" s="645" t="str">
        <f t="shared" si="312"/>
        <v>Actual</v>
      </c>
      <c r="L474" s="615"/>
      <c r="M474" s="615"/>
      <c r="N474" s="646" t="str">
        <f t="shared" si="313"/>
        <v/>
      </c>
      <c r="O474" s="681"/>
      <c r="Q474" s="645" t="str">
        <f t="shared" si="314"/>
        <v>Actual</v>
      </c>
      <c r="R474" s="693" t="str">
        <f t="shared" si="315"/>
        <v/>
      </c>
      <c r="S474" s="678" t="str">
        <f t="shared" si="316"/>
        <v/>
      </c>
      <c r="T474" s="678" t="str">
        <f t="shared" si="317"/>
        <v/>
      </c>
      <c r="U474" s="710" t="str">
        <f t="shared" si="318"/>
        <v/>
      </c>
    </row>
    <row r="475" spans="3:21" x14ac:dyDescent="0.2">
      <c r="C475" s="610" t="s">
        <v>278</v>
      </c>
      <c r="D475" s="611">
        <f t="shared" si="309"/>
        <v>2015</v>
      </c>
      <c r="E475" s="710"/>
      <c r="F475" s="647" t="str">
        <f t="shared" si="310"/>
        <v>Actual</v>
      </c>
      <c r="G475" s="659"/>
      <c r="H475" s="679" t="str">
        <f t="shared" si="311"/>
        <v/>
      </c>
      <c r="I475" s="681"/>
      <c r="K475" s="645" t="str">
        <f t="shared" si="312"/>
        <v>Actual</v>
      </c>
      <c r="L475" s="615"/>
      <c r="M475" s="615"/>
      <c r="N475" s="646" t="str">
        <f t="shared" si="313"/>
        <v/>
      </c>
      <c r="O475" s="681"/>
      <c r="Q475" s="645" t="str">
        <f t="shared" si="314"/>
        <v>Actual</v>
      </c>
      <c r="R475" s="693" t="str">
        <f t="shared" si="315"/>
        <v/>
      </c>
      <c r="S475" s="678" t="str">
        <f t="shared" si="316"/>
        <v/>
      </c>
      <c r="T475" s="678" t="str">
        <f t="shared" si="317"/>
        <v/>
      </c>
      <c r="U475" s="710" t="str">
        <f t="shared" si="318"/>
        <v/>
      </c>
    </row>
    <row r="476" spans="3:21" x14ac:dyDescent="0.2">
      <c r="C476" s="610" t="s">
        <v>288</v>
      </c>
      <c r="D476" s="611">
        <f t="shared" si="309"/>
        <v>2016</v>
      </c>
      <c r="E476" s="710"/>
      <c r="F476" s="647" t="str">
        <f t="shared" si="310"/>
        <v>Forecast</v>
      </c>
      <c r="G476" s="659"/>
      <c r="H476" s="679" t="str">
        <f t="shared" si="311"/>
        <v/>
      </c>
      <c r="I476" s="681"/>
      <c r="K476" s="645" t="str">
        <f t="shared" si="312"/>
        <v>Forecast</v>
      </c>
      <c r="L476" s="682"/>
      <c r="M476" s="726"/>
      <c r="N476" s="646" t="str">
        <f t="shared" si="313"/>
        <v/>
      </c>
      <c r="O476" s="681"/>
      <c r="Q476" s="645" t="str">
        <f t="shared" si="314"/>
        <v>Forecast</v>
      </c>
      <c r="R476" s="693" t="str">
        <f t="shared" si="315"/>
        <v/>
      </c>
      <c r="S476" s="678" t="str">
        <f t="shared" si="316"/>
        <v/>
      </c>
      <c r="T476" s="678" t="str">
        <f t="shared" si="317"/>
        <v/>
      </c>
      <c r="U476" s="710" t="str">
        <f t="shared" si="318"/>
        <v/>
      </c>
    </row>
    <row r="477" spans="3:21" ht="13.5" thickBot="1" x14ac:dyDescent="0.25">
      <c r="C477" s="617" t="s">
        <v>289</v>
      </c>
      <c r="D477" s="618">
        <v>2017</v>
      </c>
      <c r="E477" s="677"/>
      <c r="F477" s="648" t="str">
        <f t="shared" si="310"/>
        <v>Forecast</v>
      </c>
      <c r="G477" s="661"/>
      <c r="H477" s="684" t="str">
        <f t="shared" si="311"/>
        <v/>
      </c>
      <c r="I477" s="687"/>
      <c r="K477" s="650" t="str">
        <f t="shared" si="312"/>
        <v>Forecast</v>
      </c>
      <c r="L477" s="686"/>
      <c r="M477" s="727"/>
      <c r="N477" s="651" t="str">
        <f t="shared" si="313"/>
        <v/>
      </c>
      <c r="O477" s="687"/>
      <c r="Q477" s="728" t="str">
        <f t="shared" si="314"/>
        <v>Forecast</v>
      </c>
      <c r="R477" s="683" t="str">
        <f t="shared" si="315"/>
        <v/>
      </c>
      <c r="S477" s="683" t="str">
        <f t="shared" si="316"/>
        <v/>
      </c>
      <c r="T477" s="683" t="str">
        <f t="shared" si="317"/>
        <v/>
      </c>
      <c r="U477" s="677" t="str">
        <f t="shared" si="318"/>
        <v/>
      </c>
    </row>
    <row r="478" spans="3:21" ht="13.5" thickBot="1" x14ac:dyDescent="0.25">
      <c r="C478" s="652"/>
      <c r="I478" s="623">
        <f>SUM(I471:I476)</f>
        <v>0</v>
      </c>
      <c r="J478" s="693"/>
      <c r="O478" s="623">
        <f>SUM(O471:O476)</f>
        <v>0</v>
      </c>
      <c r="U478" s="623">
        <f>SUM(U471:U476)</f>
        <v>0</v>
      </c>
    </row>
    <row r="479" spans="3:21" ht="39" thickBot="1" x14ac:dyDescent="0.25">
      <c r="C479" s="653" t="s">
        <v>279</v>
      </c>
      <c r="D479" s="654" t="s">
        <v>80</v>
      </c>
      <c r="E479" s="628"/>
      <c r="F479" s="628"/>
      <c r="G479" s="628" t="s">
        <v>280</v>
      </c>
      <c r="H479" s="628"/>
      <c r="I479" s="630" t="str">
        <f>I458</f>
        <v>Test Year Versus Board-approved</v>
      </c>
      <c r="J479" s="662"/>
      <c r="K479" s="627" t="s">
        <v>80</v>
      </c>
      <c r="L479" s="816" t="s">
        <v>280</v>
      </c>
      <c r="M479" s="816"/>
      <c r="N479" s="628"/>
      <c r="O479" s="630" t="str">
        <f>I479</f>
        <v>Test Year Versus Board-approved</v>
      </c>
      <c r="P479" s="663"/>
      <c r="Q479" s="627" t="s">
        <v>80</v>
      </c>
      <c r="R479" s="816" t="s">
        <v>280</v>
      </c>
      <c r="S479" s="816"/>
      <c r="T479" s="628"/>
      <c r="U479" s="630" t="str">
        <f>O479</f>
        <v>Test Year Versus Board-approved</v>
      </c>
    </row>
    <row r="480" spans="3:21" x14ac:dyDescent="0.2">
      <c r="C480" s="710"/>
      <c r="D480" s="664">
        <f t="shared" ref="D480:D486" si="319">D471</f>
        <v>2011</v>
      </c>
      <c r="E480" s="690"/>
      <c r="F480" s="693"/>
      <c r="G480" s="714"/>
      <c r="H480" s="693"/>
      <c r="I480" s="715"/>
      <c r="J480" s="710"/>
      <c r="K480" s="611">
        <f>D480</f>
        <v>2011</v>
      </c>
      <c r="L480" s="695"/>
      <c r="M480" s="695"/>
      <c r="N480" s="693"/>
      <c r="O480" s="616"/>
      <c r="P480" s="710"/>
      <c r="Q480" s="611">
        <f>K480</f>
        <v>2011</v>
      </c>
      <c r="R480" s="717"/>
      <c r="S480" s="717"/>
      <c r="T480" s="693"/>
      <c r="U480" s="681"/>
    </row>
    <row r="481" spans="2:21" x14ac:dyDescent="0.2">
      <c r="C481" s="710"/>
      <c r="D481" s="656">
        <f t="shared" si="319"/>
        <v>2012</v>
      </c>
      <c r="E481" s="693"/>
      <c r="F481" s="693"/>
      <c r="G481" s="718" t="str">
        <f t="shared" ref="G481:G486" si="320">IF(G471=0,"",G472/G471-1)</f>
        <v/>
      </c>
      <c r="H481" s="693"/>
      <c r="I481" s="715"/>
      <c r="J481" s="710"/>
      <c r="K481" s="611">
        <f t="shared" ref="K481:K487" si="321">D481</f>
        <v>2012</v>
      </c>
      <c r="L481" s="697" t="str">
        <f>IF(L471=0,"",L472/L471-1)</f>
        <v/>
      </c>
      <c r="M481" s="697" t="str">
        <f>IF(M471=0,"",M472/M471-1)</f>
        <v/>
      </c>
      <c r="N481" s="693"/>
      <c r="O481" s="616"/>
      <c r="P481" s="710"/>
      <c r="Q481" s="611">
        <f t="shared" ref="Q481:Q487" si="322">K481</f>
        <v>2012</v>
      </c>
      <c r="R481" s="719" t="str">
        <f>IF(R471="","",IF(R471=0,"",R472/R471-1))</f>
        <v/>
      </c>
      <c r="S481" s="719" t="str">
        <f>IF(S471="","",IF(S471=0,"",S472/S471-1))</f>
        <v/>
      </c>
      <c r="T481" s="693"/>
      <c r="U481" s="681"/>
    </row>
    <row r="482" spans="2:21" x14ac:dyDescent="0.2">
      <c r="C482" s="710"/>
      <c r="D482" s="665">
        <f t="shared" si="319"/>
        <v>2013</v>
      </c>
      <c r="E482" s="693"/>
      <c r="F482" s="693"/>
      <c r="G482" s="718" t="str">
        <f t="shared" si="320"/>
        <v/>
      </c>
      <c r="H482" s="693"/>
      <c r="I482" s="715"/>
      <c r="J482" s="710"/>
      <c r="K482" s="611">
        <f t="shared" si="321"/>
        <v>2013</v>
      </c>
      <c r="L482" s="697" t="str">
        <f t="shared" ref="L482:M486" si="323">IF(L472=0,"",L473/L472-1)</f>
        <v/>
      </c>
      <c r="M482" s="697" t="str">
        <f t="shared" si="323"/>
        <v/>
      </c>
      <c r="N482" s="693"/>
      <c r="O482" s="616"/>
      <c r="P482" s="710"/>
      <c r="Q482" s="611">
        <f t="shared" si="322"/>
        <v>2013</v>
      </c>
      <c r="R482" s="719" t="str">
        <f t="shared" ref="R482:S486" si="324">IF(R472="","",IF(R472=0,"",R473/R472-1))</f>
        <v/>
      </c>
      <c r="S482" s="719" t="str">
        <f t="shared" si="324"/>
        <v/>
      </c>
      <c r="T482" s="693"/>
      <c r="U482" s="681"/>
    </row>
    <row r="483" spans="2:21" x14ac:dyDescent="0.2">
      <c r="C483" s="710"/>
      <c r="D483" s="656">
        <f t="shared" si="319"/>
        <v>2014</v>
      </c>
      <c r="E483" s="693"/>
      <c r="F483" s="693"/>
      <c r="G483" s="718" t="str">
        <f t="shared" si="320"/>
        <v/>
      </c>
      <c r="H483" s="693"/>
      <c r="I483" s="715"/>
      <c r="J483" s="710"/>
      <c r="K483" s="611">
        <f t="shared" si="321"/>
        <v>2014</v>
      </c>
      <c r="L483" s="697" t="str">
        <f t="shared" si="323"/>
        <v/>
      </c>
      <c r="M483" s="697" t="str">
        <f t="shared" si="323"/>
        <v/>
      </c>
      <c r="N483" s="693"/>
      <c r="O483" s="616"/>
      <c r="P483" s="710"/>
      <c r="Q483" s="611">
        <f t="shared" si="322"/>
        <v>2014</v>
      </c>
      <c r="R483" s="719" t="str">
        <f t="shared" si="324"/>
        <v/>
      </c>
      <c r="S483" s="719" t="str">
        <f t="shared" si="324"/>
        <v/>
      </c>
      <c r="T483" s="693"/>
      <c r="U483" s="681"/>
    </row>
    <row r="484" spans="2:21" x14ac:dyDescent="0.2">
      <c r="C484" s="710"/>
      <c r="D484" s="656">
        <f t="shared" si="319"/>
        <v>2015</v>
      </c>
      <c r="E484" s="693"/>
      <c r="F484" s="693"/>
      <c r="G484" s="718" t="str">
        <f t="shared" si="320"/>
        <v/>
      </c>
      <c r="H484" s="693"/>
      <c r="I484" s="715"/>
      <c r="J484" s="710"/>
      <c r="K484" s="611">
        <f t="shared" si="321"/>
        <v>2015</v>
      </c>
      <c r="L484" s="697" t="str">
        <f t="shared" si="323"/>
        <v/>
      </c>
      <c r="M484" s="697" t="str">
        <f t="shared" si="323"/>
        <v/>
      </c>
      <c r="N484" s="693"/>
      <c r="O484" s="616"/>
      <c r="P484" s="710"/>
      <c r="Q484" s="611">
        <f t="shared" si="322"/>
        <v>2015</v>
      </c>
      <c r="R484" s="719" t="str">
        <f t="shared" si="324"/>
        <v/>
      </c>
      <c r="S484" s="719" t="str">
        <f t="shared" si="324"/>
        <v/>
      </c>
      <c r="T484" s="693"/>
      <c r="U484" s="681"/>
    </row>
    <row r="485" spans="2:21" x14ac:dyDescent="0.2">
      <c r="C485" s="710"/>
      <c r="D485" s="656">
        <f t="shared" si="319"/>
        <v>2016</v>
      </c>
      <c r="E485" s="693"/>
      <c r="F485" s="693"/>
      <c r="G485" s="718" t="str">
        <f t="shared" si="320"/>
        <v/>
      </c>
      <c r="H485" s="693"/>
      <c r="I485" s="715"/>
      <c r="J485" s="710"/>
      <c r="K485" s="611">
        <f t="shared" si="321"/>
        <v>2016</v>
      </c>
      <c r="L485" s="697" t="str">
        <f>IF(K476="Forecast","",IF(L475=0,"",L476/L475-1))</f>
        <v/>
      </c>
      <c r="M485" s="697" t="str">
        <f t="shared" si="323"/>
        <v/>
      </c>
      <c r="N485" s="693"/>
      <c r="O485" s="616"/>
      <c r="P485" s="710"/>
      <c r="Q485" s="611">
        <f t="shared" si="322"/>
        <v>2016</v>
      </c>
      <c r="R485" s="719" t="str">
        <f>IF(Q476="Forecast","",IF(R475=0,"",R476/R475-1))</f>
        <v/>
      </c>
      <c r="S485" s="719" t="str">
        <f t="shared" si="324"/>
        <v/>
      </c>
      <c r="T485" s="693"/>
      <c r="U485" s="681"/>
    </row>
    <row r="486" spans="2:21" x14ac:dyDescent="0.2">
      <c r="C486" s="710"/>
      <c r="D486" s="665">
        <f t="shared" si="319"/>
        <v>2017</v>
      </c>
      <c r="E486" s="693"/>
      <c r="F486" s="693"/>
      <c r="G486" s="718" t="str">
        <f t="shared" si="320"/>
        <v/>
      </c>
      <c r="H486" s="693"/>
      <c r="I486" s="720" t="str">
        <f>IF(I478=0,"",G477/I478-1)</f>
        <v/>
      </c>
      <c r="J486" s="710"/>
      <c r="K486" s="611">
        <f t="shared" si="321"/>
        <v>2017</v>
      </c>
      <c r="L486" s="697" t="str">
        <f>IF(K477="Forecast","",IF(L476=0,"",L477/L476-1))</f>
        <v/>
      </c>
      <c r="M486" s="697" t="str">
        <f t="shared" si="323"/>
        <v/>
      </c>
      <c r="N486" s="693"/>
      <c r="O486" s="729" t="str">
        <f>IF(O478=0,"",M477/O478-1)</f>
        <v/>
      </c>
      <c r="P486" s="710"/>
      <c r="Q486" s="611">
        <f t="shared" si="322"/>
        <v>2017</v>
      </c>
      <c r="R486" s="719" t="str">
        <f>IF(Q477="Forecast","",IF(R476=0,"",R477/R476-1))</f>
        <v/>
      </c>
      <c r="S486" s="719" t="str">
        <f t="shared" si="324"/>
        <v/>
      </c>
      <c r="T486" s="693"/>
      <c r="U486" s="698" t="str">
        <f>IF(U478=0,"",S477/U478-1)</f>
        <v/>
      </c>
    </row>
    <row r="487" spans="2:21" ht="26.25" thickBot="1" x14ac:dyDescent="0.25">
      <c r="C487" s="677"/>
      <c r="D487" s="721" t="s">
        <v>282</v>
      </c>
      <c r="E487" s="699"/>
      <c r="F487" s="699"/>
      <c r="G487" s="722" t="str">
        <f>IF(G471=0,"",GEOMEAN(G481:G486))</f>
        <v/>
      </c>
      <c r="H487" s="699"/>
      <c r="I487" s="705" t="s">
        <v>312</v>
      </c>
      <c r="J487" s="710"/>
      <c r="K487" s="703" t="str">
        <f t="shared" si="321"/>
        <v>Geometric Mean</v>
      </c>
      <c r="L487" s="704"/>
      <c r="M487" s="704" t="str">
        <f>IF(M471=0,"",GEOMEAN(M481:M486))</f>
        <v/>
      </c>
      <c r="N487" s="699"/>
      <c r="O487" s="705" t="s">
        <v>312</v>
      </c>
      <c r="P487" s="677"/>
      <c r="Q487" s="703" t="str">
        <f t="shared" si="322"/>
        <v>Geometric Mean</v>
      </c>
      <c r="R487" s="724"/>
      <c r="S487" s="704" t="str">
        <f>IF(S471="","",IF(S471=0,"",(S477/S471)^(1/(Q486-Q480-1)-1)))</f>
        <v/>
      </c>
      <c r="T487" s="699"/>
      <c r="U487" s="705" t="s">
        <v>312</v>
      </c>
    </row>
    <row r="489" spans="2:21" x14ac:dyDescent="0.2">
      <c r="B489" s="12" t="s">
        <v>291</v>
      </c>
    </row>
  </sheetData>
  <sheetProtection selectLockedCells="1" selectUnlockedCells="1"/>
  <mergeCells count="141">
    <mergeCell ref="F469:I469"/>
    <mergeCell ref="K469:O469"/>
    <mergeCell ref="Q469:U469"/>
    <mergeCell ref="F470:H470"/>
    <mergeCell ref="L479:M479"/>
    <mergeCell ref="R479:S479"/>
    <mergeCell ref="F427:H427"/>
    <mergeCell ref="L436:M436"/>
    <mergeCell ref="R436:S436"/>
    <mergeCell ref="D446:F446"/>
    <mergeCell ref="F448:I448"/>
    <mergeCell ref="K448:O448"/>
    <mergeCell ref="Q448:U448"/>
    <mergeCell ref="F449:H449"/>
    <mergeCell ref="L458:M458"/>
    <mergeCell ref="R458:S458"/>
    <mergeCell ref="D403:F403"/>
    <mergeCell ref="F405:I405"/>
    <mergeCell ref="K405:O405"/>
    <mergeCell ref="Q405:U405"/>
    <mergeCell ref="F406:H406"/>
    <mergeCell ref="L415:M415"/>
    <mergeCell ref="R415:S415"/>
    <mergeCell ref="F426:I426"/>
    <mergeCell ref="K426:O426"/>
    <mergeCell ref="Q426:U426"/>
    <mergeCell ref="F363:H363"/>
    <mergeCell ref="L372:M372"/>
    <mergeCell ref="R372:S372"/>
    <mergeCell ref="F383:I383"/>
    <mergeCell ref="K383:O383"/>
    <mergeCell ref="Q383:U383"/>
    <mergeCell ref="F384:H384"/>
    <mergeCell ref="L393:M393"/>
    <mergeCell ref="R393:S393"/>
    <mergeCell ref="F340:I340"/>
    <mergeCell ref="K340:O340"/>
    <mergeCell ref="Q340:U340"/>
    <mergeCell ref="F341:H341"/>
    <mergeCell ref="L350:M350"/>
    <mergeCell ref="R350:S350"/>
    <mergeCell ref="D360:F360"/>
    <mergeCell ref="F362:I362"/>
    <mergeCell ref="K362:O362"/>
    <mergeCell ref="Q362:U362"/>
    <mergeCell ref="F298:H298"/>
    <mergeCell ref="L307:M307"/>
    <mergeCell ref="R307:S307"/>
    <mergeCell ref="D317:F317"/>
    <mergeCell ref="F319:I319"/>
    <mergeCell ref="K319:O319"/>
    <mergeCell ref="Q319:U319"/>
    <mergeCell ref="F320:H320"/>
    <mergeCell ref="L329:M329"/>
    <mergeCell ref="R329:S329"/>
    <mergeCell ref="D274:F274"/>
    <mergeCell ref="F276:I276"/>
    <mergeCell ref="K276:O276"/>
    <mergeCell ref="Q276:U276"/>
    <mergeCell ref="F277:H277"/>
    <mergeCell ref="L286:M286"/>
    <mergeCell ref="R286:S286"/>
    <mergeCell ref="F297:I297"/>
    <mergeCell ref="K297:O297"/>
    <mergeCell ref="Q297:U297"/>
    <mergeCell ref="F234:H234"/>
    <mergeCell ref="L243:M243"/>
    <mergeCell ref="R243:S243"/>
    <mergeCell ref="F254:I254"/>
    <mergeCell ref="K254:O254"/>
    <mergeCell ref="Q254:U254"/>
    <mergeCell ref="F255:H255"/>
    <mergeCell ref="L264:M264"/>
    <mergeCell ref="R264:S264"/>
    <mergeCell ref="F211:I211"/>
    <mergeCell ref="K211:O211"/>
    <mergeCell ref="Q211:U211"/>
    <mergeCell ref="F212:H212"/>
    <mergeCell ref="L221:M221"/>
    <mergeCell ref="R221:S221"/>
    <mergeCell ref="D231:F231"/>
    <mergeCell ref="F233:I233"/>
    <mergeCell ref="K233:O233"/>
    <mergeCell ref="Q233:U233"/>
    <mergeCell ref="F169:H169"/>
    <mergeCell ref="L178:M178"/>
    <mergeCell ref="R178:S178"/>
    <mergeCell ref="D188:F188"/>
    <mergeCell ref="F190:I190"/>
    <mergeCell ref="K190:O190"/>
    <mergeCell ref="Q190:U190"/>
    <mergeCell ref="F191:H191"/>
    <mergeCell ref="L200:M200"/>
    <mergeCell ref="R200:S200"/>
    <mergeCell ref="D145:F145"/>
    <mergeCell ref="F147:I147"/>
    <mergeCell ref="K147:O147"/>
    <mergeCell ref="Q147:U147"/>
    <mergeCell ref="F148:H148"/>
    <mergeCell ref="L157:M157"/>
    <mergeCell ref="R157:S157"/>
    <mergeCell ref="F168:I168"/>
    <mergeCell ref="K168:O168"/>
    <mergeCell ref="Q168:U168"/>
    <mergeCell ref="F105:H105"/>
    <mergeCell ref="L114:M114"/>
    <mergeCell ref="R114:S114"/>
    <mergeCell ref="F125:I125"/>
    <mergeCell ref="K125:O125"/>
    <mergeCell ref="Q125:U125"/>
    <mergeCell ref="F126:H126"/>
    <mergeCell ref="L135:M135"/>
    <mergeCell ref="R135:S135"/>
    <mergeCell ref="F82:I82"/>
    <mergeCell ref="K82:O82"/>
    <mergeCell ref="Q82:U82"/>
    <mergeCell ref="F83:H83"/>
    <mergeCell ref="L92:M92"/>
    <mergeCell ref="R92:S92"/>
    <mergeCell ref="D102:F102"/>
    <mergeCell ref="F104:I104"/>
    <mergeCell ref="K104:O104"/>
    <mergeCell ref="Q104:U104"/>
    <mergeCell ref="F38:H38"/>
    <mergeCell ref="L47:M47"/>
    <mergeCell ref="D59:F59"/>
    <mergeCell ref="F61:I61"/>
    <mergeCell ref="K61:O61"/>
    <mergeCell ref="Q61:U61"/>
    <mergeCell ref="F62:H62"/>
    <mergeCell ref="L71:M71"/>
    <mergeCell ref="R71:S71"/>
    <mergeCell ref="B9:V9"/>
    <mergeCell ref="B10:V10"/>
    <mergeCell ref="B19:V19"/>
    <mergeCell ref="B21:V21"/>
    <mergeCell ref="B23:V23"/>
    <mergeCell ref="B25:V25"/>
    <mergeCell ref="B27:V27"/>
    <mergeCell ref="B29:V29"/>
    <mergeCell ref="K37:O37"/>
  </mergeCells>
  <conditionalFormatting sqref="I63">
    <cfRule type="expression" dxfId="341" priority="362">
      <formula>$H$63="Board-approved"</formula>
    </cfRule>
  </conditionalFormatting>
  <conditionalFormatting sqref="I64">
    <cfRule type="expression" dxfId="340" priority="361">
      <formula>$H$64="Board-approved"</formula>
    </cfRule>
  </conditionalFormatting>
  <conditionalFormatting sqref="I65">
    <cfRule type="expression" dxfId="339" priority="360">
      <formula>$H$65="Board-approved"</formula>
    </cfRule>
  </conditionalFormatting>
  <conditionalFormatting sqref="I66">
    <cfRule type="expression" dxfId="338" priority="359">
      <formula>$H$66="Board-approved"</formula>
    </cfRule>
  </conditionalFormatting>
  <conditionalFormatting sqref="I67">
    <cfRule type="expression" dxfId="337" priority="358">
      <formula>$H$67="Board-approved"</formula>
    </cfRule>
  </conditionalFormatting>
  <conditionalFormatting sqref="L63:L67">
    <cfRule type="expression" dxfId="336" priority="357">
      <formula>$K$63="Forecastl"</formula>
    </cfRule>
  </conditionalFormatting>
  <conditionalFormatting sqref="L68">
    <cfRule type="expression" dxfId="335" priority="352">
      <formula>$K$68="Forecast"</formula>
    </cfRule>
  </conditionalFormatting>
  <conditionalFormatting sqref="L69">
    <cfRule type="expression" dxfId="334" priority="351">
      <formula>$K$69="Forecast"</formula>
    </cfRule>
  </conditionalFormatting>
  <conditionalFormatting sqref="O63">
    <cfRule type="expression" dxfId="333" priority="350">
      <formula>$H$63="Board-approved"</formula>
    </cfRule>
  </conditionalFormatting>
  <conditionalFormatting sqref="O64">
    <cfRule type="expression" dxfId="332" priority="349">
      <formula>$H$64="Board-approved"</formula>
    </cfRule>
  </conditionalFormatting>
  <conditionalFormatting sqref="O65">
    <cfRule type="expression" dxfId="331" priority="348">
      <formula>$H$65="Board-approved"</formula>
    </cfRule>
  </conditionalFormatting>
  <conditionalFormatting sqref="O66">
    <cfRule type="expression" dxfId="330" priority="347">
      <formula>$H$66="Board-approved"</formula>
    </cfRule>
  </conditionalFormatting>
  <conditionalFormatting sqref="O67">
    <cfRule type="expression" dxfId="329" priority="346">
      <formula>$H$67="Board-approved"</formula>
    </cfRule>
  </conditionalFormatting>
  <conditionalFormatting sqref="L84">
    <cfRule type="expression" dxfId="328" priority="345">
      <formula>$K$63="Forecastl"</formula>
    </cfRule>
  </conditionalFormatting>
  <conditionalFormatting sqref="L85">
    <cfRule type="expression" dxfId="327" priority="344">
      <formula>$K$64="Forecast"</formula>
    </cfRule>
  </conditionalFormatting>
  <conditionalFormatting sqref="L86">
    <cfRule type="expression" dxfId="326" priority="343">
      <formula>$K$65="Forecast"</formula>
    </cfRule>
  </conditionalFormatting>
  <conditionalFormatting sqref="L87">
    <cfRule type="expression" dxfId="325" priority="342">
      <formula>$K$66="Forecast"</formula>
    </cfRule>
  </conditionalFormatting>
  <conditionalFormatting sqref="L88">
    <cfRule type="expression" dxfId="324" priority="341">
      <formula>$K$67="Forecast"</formula>
    </cfRule>
  </conditionalFormatting>
  <conditionalFormatting sqref="L89">
    <cfRule type="expression" dxfId="323" priority="340">
      <formula>$K$68="Forecast"</formula>
    </cfRule>
  </conditionalFormatting>
  <conditionalFormatting sqref="L90">
    <cfRule type="expression" dxfId="322" priority="339">
      <formula>$K$69="Forecast"</formula>
    </cfRule>
  </conditionalFormatting>
  <conditionalFormatting sqref="O84">
    <cfRule type="expression" dxfId="321" priority="338">
      <formula>$H$63="Board-approved"</formula>
    </cfRule>
  </conditionalFormatting>
  <conditionalFormatting sqref="O85">
    <cfRule type="expression" dxfId="320" priority="337">
      <formula>$H$64="Board-approved"</formula>
    </cfRule>
  </conditionalFormatting>
  <conditionalFormatting sqref="O86">
    <cfRule type="expression" dxfId="319" priority="336">
      <formula>$H$65="Board-approved"</formula>
    </cfRule>
  </conditionalFormatting>
  <conditionalFormatting sqref="O87">
    <cfRule type="expression" dxfId="318" priority="335">
      <formula>$H$66="Board-approved"</formula>
    </cfRule>
  </conditionalFormatting>
  <conditionalFormatting sqref="O88">
    <cfRule type="expression" dxfId="317" priority="334">
      <formula>$H$67="Board-approved"</formula>
    </cfRule>
  </conditionalFormatting>
  <conditionalFormatting sqref="I84">
    <cfRule type="expression" dxfId="316" priority="333">
      <formula>$H$63="Board-approved"</formula>
    </cfRule>
  </conditionalFormatting>
  <conditionalFormatting sqref="I85">
    <cfRule type="expression" dxfId="315" priority="332">
      <formula>$H$64="Board-approved"</formula>
    </cfRule>
  </conditionalFormatting>
  <conditionalFormatting sqref="I86">
    <cfRule type="expression" dxfId="314" priority="331">
      <formula>$H$65="Board-approved"</formula>
    </cfRule>
  </conditionalFormatting>
  <conditionalFormatting sqref="I87">
    <cfRule type="expression" dxfId="313" priority="330">
      <formula>$H$66="Board-approved"</formula>
    </cfRule>
  </conditionalFormatting>
  <conditionalFormatting sqref="I88">
    <cfRule type="expression" dxfId="312" priority="329">
      <formula>$H$67="Board-approved"</formula>
    </cfRule>
  </conditionalFormatting>
  <conditionalFormatting sqref="K82:U100">
    <cfRule type="expression" dxfId="311" priority="328">
      <formula>$N$59="kWh"</formula>
    </cfRule>
  </conditionalFormatting>
  <conditionalFormatting sqref="L39:L43">
    <cfRule type="expression" dxfId="310" priority="327">
      <formula>$K$63="Forecastl"</formula>
    </cfRule>
  </conditionalFormatting>
  <conditionalFormatting sqref="L44">
    <cfRule type="expression" dxfId="309" priority="322">
      <formula>$K$68="Forecast"</formula>
    </cfRule>
  </conditionalFormatting>
  <conditionalFormatting sqref="L45">
    <cfRule type="expression" dxfId="308" priority="321">
      <formula>$K$69="Forecast"</formula>
    </cfRule>
  </conditionalFormatting>
  <conditionalFormatting sqref="O39">
    <cfRule type="expression" dxfId="307" priority="320">
      <formula>$H$63="Board-approved"</formula>
    </cfRule>
  </conditionalFormatting>
  <conditionalFormatting sqref="O40">
    <cfRule type="expression" dxfId="306" priority="319">
      <formula>$H$64="Board-approved"</formula>
    </cfRule>
  </conditionalFormatting>
  <conditionalFormatting sqref="O41">
    <cfRule type="expression" dxfId="305" priority="318">
      <formula>$H$65="Board-approved"</formula>
    </cfRule>
  </conditionalFormatting>
  <conditionalFormatting sqref="O42">
    <cfRule type="expression" dxfId="304" priority="317">
      <formula>$H$66="Board-approved"</formula>
    </cfRule>
  </conditionalFormatting>
  <conditionalFormatting sqref="O43">
    <cfRule type="expression" dxfId="303" priority="316">
      <formula>$H$67="Board-approved"</formula>
    </cfRule>
  </conditionalFormatting>
  <conditionalFormatting sqref="I106">
    <cfRule type="expression" dxfId="302" priority="315">
      <formula>$H$63="Board-approved"</formula>
    </cfRule>
  </conditionalFormatting>
  <conditionalFormatting sqref="I107">
    <cfRule type="expression" dxfId="301" priority="314">
      <formula>$H$64="Board-approved"</formula>
    </cfRule>
  </conditionalFormatting>
  <conditionalFormatting sqref="I108">
    <cfRule type="expression" dxfId="300" priority="313">
      <formula>$H$65="Board-approved"</formula>
    </cfRule>
  </conditionalFormatting>
  <conditionalFormatting sqref="I109">
    <cfRule type="expression" dxfId="299" priority="312">
      <formula>$H$66="Board-approved"</formula>
    </cfRule>
  </conditionalFormatting>
  <conditionalFormatting sqref="I110">
    <cfRule type="expression" dxfId="298" priority="311">
      <formula>$H$67="Board-approved"</formula>
    </cfRule>
  </conditionalFormatting>
  <conditionalFormatting sqref="L106:L110">
    <cfRule type="expression" dxfId="297" priority="310">
      <formula>$K$63="Forecastl"</formula>
    </cfRule>
  </conditionalFormatting>
  <conditionalFormatting sqref="L111">
    <cfRule type="expression" dxfId="296" priority="305">
      <formula>$K$68="Forecast"</formula>
    </cfRule>
  </conditionalFormatting>
  <conditionalFormatting sqref="L112">
    <cfRule type="expression" dxfId="295" priority="304">
      <formula>$K$69="Forecast"</formula>
    </cfRule>
  </conditionalFormatting>
  <conditionalFormatting sqref="O106">
    <cfRule type="expression" dxfId="294" priority="303">
      <formula>$H$63="Board-approved"</formula>
    </cfRule>
  </conditionalFormatting>
  <conditionalFormatting sqref="O107">
    <cfRule type="expression" dxfId="293" priority="302">
      <formula>$H$64="Board-approved"</formula>
    </cfRule>
  </conditionalFormatting>
  <conditionalFormatting sqref="O108">
    <cfRule type="expression" dxfId="292" priority="301">
      <formula>$H$65="Board-approved"</formula>
    </cfRule>
  </conditionalFormatting>
  <conditionalFormatting sqref="O109">
    <cfRule type="expression" dxfId="291" priority="300">
      <formula>$H$66="Board-approved"</formula>
    </cfRule>
  </conditionalFormatting>
  <conditionalFormatting sqref="O110">
    <cfRule type="expression" dxfId="290" priority="299">
      <formula>$H$67="Board-approved"</formula>
    </cfRule>
  </conditionalFormatting>
  <conditionalFormatting sqref="L127">
    <cfRule type="expression" dxfId="289" priority="298">
      <formula>$K$63="Forecastl"</formula>
    </cfRule>
  </conditionalFormatting>
  <conditionalFormatting sqref="L128">
    <cfRule type="expression" dxfId="288" priority="297">
      <formula>$K$64="Forecast"</formula>
    </cfRule>
  </conditionalFormatting>
  <conditionalFormatting sqref="L129">
    <cfRule type="expression" dxfId="287" priority="296">
      <formula>$K$65="Forecast"</formula>
    </cfRule>
  </conditionalFormatting>
  <conditionalFormatting sqref="L130">
    <cfRule type="expression" dxfId="286" priority="295">
      <formula>$K$66="Forecast"</formula>
    </cfRule>
  </conditionalFormatting>
  <conditionalFormatting sqref="L131">
    <cfRule type="expression" dxfId="285" priority="294">
      <formula>$K$67="Forecast"</formula>
    </cfRule>
  </conditionalFormatting>
  <conditionalFormatting sqref="L132">
    <cfRule type="expression" dxfId="284" priority="293">
      <formula>$K$68="Forecast"</formula>
    </cfRule>
  </conditionalFormatting>
  <conditionalFormatting sqref="L133">
    <cfRule type="expression" dxfId="283" priority="292">
      <formula>$K$69="Forecast"</formula>
    </cfRule>
  </conditionalFormatting>
  <conditionalFormatting sqref="O127">
    <cfRule type="expression" dxfId="282" priority="291">
      <formula>$H$63="Board-approved"</formula>
    </cfRule>
  </conditionalFormatting>
  <conditionalFormatting sqref="O128">
    <cfRule type="expression" dxfId="281" priority="290">
      <formula>$H$64="Board-approved"</formula>
    </cfRule>
  </conditionalFormatting>
  <conditionalFormatting sqref="O129">
    <cfRule type="expression" dxfId="280" priority="289">
      <formula>$H$65="Board-approved"</formula>
    </cfRule>
  </conditionalFormatting>
  <conditionalFormatting sqref="O130">
    <cfRule type="expression" dxfId="279" priority="288">
      <formula>$H$66="Board-approved"</formula>
    </cfRule>
  </conditionalFormatting>
  <conditionalFormatting sqref="O131">
    <cfRule type="expression" dxfId="278" priority="287">
      <formula>$H$67="Board-approved"</formula>
    </cfRule>
  </conditionalFormatting>
  <conditionalFormatting sqref="I127">
    <cfRule type="expression" dxfId="277" priority="286">
      <formula>$H$63="Board-approved"</formula>
    </cfRule>
  </conditionalFormatting>
  <conditionalFormatting sqref="I128">
    <cfRule type="expression" dxfId="276" priority="285">
      <formula>$H$64="Board-approved"</formula>
    </cfRule>
  </conditionalFormatting>
  <conditionalFormatting sqref="I129">
    <cfRule type="expression" dxfId="275" priority="284">
      <formula>$H$65="Board-approved"</formula>
    </cfRule>
  </conditionalFormatting>
  <conditionalFormatting sqref="I130">
    <cfRule type="expression" dxfId="274" priority="283">
      <formula>$H$66="Board-approved"</formula>
    </cfRule>
  </conditionalFormatting>
  <conditionalFormatting sqref="I131">
    <cfRule type="expression" dxfId="273" priority="282">
      <formula>$H$67="Board-approved"</formula>
    </cfRule>
  </conditionalFormatting>
  <conditionalFormatting sqref="K125:U143">
    <cfRule type="expression" dxfId="272" priority="281">
      <formula>$N$102="kWh"</formula>
    </cfRule>
  </conditionalFormatting>
  <conditionalFormatting sqref="I149">
    <cfRule type="expression" dxfId="271" priority="280">
      <formula>$H$63="Board-approved"</formula>
    </cfRule>
  </conditionalFormatting>
  <conditionalFormatting sqref="I150">
    <cfRule type="expression" dxfId="270" priority="279">
      <formula>$H$64="Board-approved"</formula>
    </cfRule>
  </conditionalFormatting>
  <conditionalFormatting sqref="I151">
    <cfRule type="expression" dxfId="269" priority="278">
      <formula>$H$65="Board-approved"</formula>
    </cfRule>
  </conditionalFormatting>
  <conditionalFormatting sqref="I152">
    <cfRule type="expression" dxfId="268" priority="277">
      <formula>$H$66="Board-approved"</formula>
    </cfRule>
  </conditionalFormatting>
  <conditionalFormatting sqref="I153">
    <cfRule type="expression" dxfId="267" priority="276">
      <formula>$H$67="Board-approved"</formula>
    </cfRule>
  </conditionalFormatting>
  <conditionalFormatting sqref="L149:L153">
    <cfRule type="expression" dxfId="266" priority="275">
      <formula>$K$63="Forecastl"</formula>
    </cfRule>
  </conditionalFormatting>
  <conditionalFormatting sqref="L154">
    <cfRule type="expression" dxfId="265" priority="270">
      <formula>$K$68="Forecast"</formula>
    </cfRule>
  </conditionalFormatting>
  <conditionalFormatting sqref="L155">
    <cfRule type="expression" dxfId="264" priority="269">
      <formula>$K$69="Forecast"</formula>
    </cfRule>
  </conditionalFormatting>
  <conditionalFormatting sqref="O149">
    <cfRule type="expression" dxfId="263" priority="268">
      <formula>$H$63="Board-approved"</formula>
    </cfRule>
  </conditionalFormatting>
  <conditionalFormatting sqref="O150">
    <cfRule type="expression" dxfId="262" priority="267">
      <formula>$H$64="Board-approved"</formula>
    </cfRule>
  </conditionalFormatting>
  <conditionalFormatting sqref="O151">
    <cfRule type="expression" dxfId="261" priority="266">
      <formula>$H$65="Board-approved"</formula>
    </cfRule>
  </conditionalFormatting>
  <conditionalFormatting sqref="O152">
    <cfRule type="expression" dxfId="260" priority="265">
      <formula>$H$66="Board-approved"</formula>
    </cfRule>
  </conditionalFormatting>
  <conditionalFormatting sqref="O153">
    <cfRule type="expression" dxfId="259" priority="264">
      <formula>$H$67="Board-approved"</formula>
    </cfRule>
  </conditionalFormatting>
  <conditionalFormatting sqref="L170:L174">
    <cfRule type="expression" dxfId="258" priority="263">
      <formula>$K$63="Forecastl"</formula>
    </cfRule>
  </conditionalFormatting>
  <conditionalFormatting sqref="L171">
    <cfRule type="expression" dxfId="257" priority="262">
      <formula>$K$64="Forecast"</formula>
    </cfRule>
  </conditionalFormatting>
  <conditionalFormatting sqref="L172">
    <cfRule type="expression" dxfId="256" priority="261">
      <formula>$K$65="Forecast"</formula>
    </cfRule>
  </conditionalFormatting>
  <conditionalFormatting sqref="L173">
    <cfRule type="expression" dxfId="255" priority="260">
      <formula>$K$66="Forecast"</formula>
    </cfRule>
  </conditionalFormatting>
  <conditionalFormatting sqref="L174">
    <cfRule type="expression" dxfId="254" priority="259">
      <formula>$K$67="Forecast"</formula>
    </cfRule>
  </conditionalFormatting>
  <conditionalFormatting sqref="L175">
    <cfRule type="expression" dxfId="253" priority="258">
      <formula>$K$68="Forecast"</formula>
    </cfRule>
  </conditionalFormatting>
  <conditionalFormatting sqref="L176">
    <cfRule type="expression" dxfId="252" priority="257">
      <formula>$K$69="Forecast"</formula>
    </cfRule>
  </conditionalFormatting>
  <conditionalFormatting sqref="O170">
    <cfRule type="expression" dxfId="251" priority="256">
      <formula>$H$63="Board-approved"</formula>
    </cfRule>
  </conditionalFormatting>
  <conditionalFormatting sqref="O171">
    <cfRule type="expression" dxfId="250" priority="255">
      <formula>$H$64="Board-approved"</formula>
    </cfRule>
  </conditionalFormatting>
  <conditionalFormatting sqref="O172">
    <cfRule type="expression" dxfId="249" priority="254">
      <formula>$H$65="Board-approved"</formula>
    </cfRule>
  </conditionalFormatting>
  <conditionalFormatting sqref="O173">
    <cfRule type="expression" dxfId="248" priority="253">
      <formula>$H$66="Board-approved"</formula>
    </cfRule>
  </conditionalFormatting>
  <conditionalFormatting sqref="O174">
    <cfRule type="expression" dxfId="247" priority="252">
      <formula>$H$67="Board-approved"</formula>
    </cfRule>
  </conditionalFormatting>
  <conditionalFormatting sqref="I170">
    <cfRule type="expression" dxfId="246" priority="251">
      <formula>$H$63="Board-approved"</formula>
    </cfRule>
  </conditionalFormatting>
  <conditionalFormatting sqref="I171">
    <cfRule type="expression" dxfId="245" priority="250">
      <formula>$H$64="Board-approved"</formula>
    </cfRule>
  </conditionalFormatting>
  <conditionalFormatting sqref="I172">
    <cfRule type="expression" dxfId="244" priority="249">
      <formula>$H$65="Board-approved"</formula>
    </cfRule>
  </conditionalFormatting>
  <conditionalFormatting sqref="I173">
    <cfRule type="expression" dxfId="243" priority="248">
      <formula>$H$66="Board-approved"</formula>
    </cfRule>
  </conditionalFormatting>
  <conditionalFormatting sqref="I174">
    <cfRule type="expression" dxfId="242" priority="247">
      <formula>$H$67="Board-approved"</formula>
    </cfRule>
  </conditionalFormatting>
  <conditionalFormatting sqref="K168:U186">
    <cfRule type="expression" dxfId="241" priority="246">
      <formula>$N$145="kWh"</formula>
    </cfRule>
  </conditionalFormatting>
  <conditionalFormatting sqref="I192">
    <cfRule type="expression" dxfId="240" priority="245">
      <formula>$H$63="Board-approved"</formula>
    </cfRule>
  </conditionalFormatting>
  <conditionalFormatting sqref="I193">
    <cfRule type="expression" dxfId="239" priority="244">
      <formula>$H$64="Board-approved"</formula>
    </cfRule>
  </conditionalFormatting>
  <conditionalFormatting sqref="I194">
    <cfRule type="expression" dxfId="238" priority="243">
      <formula>$H$65="Board-approved"</formula>
    </cfRule>
  </conditionalFormatting>
  <conditionalFormatting sqref="I195">
    <cfRule type="expression" dxfId="237" priority="242">
      <formula>$H$66="Board-approved"</formula>
    </cfRule>
  </conditionalFormatting>
  <conditionalFormatting sqref="I196">
    <cfRule type="expression" dxfId="236" priority="241">
      <formula>$H$67="Board-approved"</formula>
    </cfRule>
  </conditionalFormatting>
  <conditionalFormatting sqref="L192:L196">
    <cfRule type="expression" dxfId="235" priority="240">
      <formula>$K$63="Forecastl"</formula>
    </cfRule>
  </conditionalFormatting>
  <conditionalFormatting sqref="L197">
    <cfRule type="expression" dxfId="234" priority="235">
      <formula>$K$68="Forecast"</formula>
    </cfRule>
  </conditionalFormatting>
  <conditionalFormatting sqref="L198">
    <cfRule type="expression" dxfId="233" priority="234">
      <formula>$K$69="Forecast"</formula>
    </cfRule>
  </conditionalFormatting>
  <conditionalFormatting sqref="O192">
    <cfRule type="expression" dxfId="232" priority="233">
      <formula>$H$63="Board-approved"</formula>
    </cfRule>
  </conditionalFormatting>
  <conditionalFormatting sqref="O193">
    <cfRule type="expression" dxfId="231" priority="232">
      <formula>$H$64="Board-approved"</formula>
    </cfRule>
  </conditionalFormatting>
  <conditionalFormatting sqref="O194">
    <cfRule type="expression" dxfId="230" priority="231">
      <formula>$H$65="Board-approved"</formula>
    </cfRule>
  </conditionalFormatting>
  <conditionalFormatting sqref="O195">
    <cfRule type="expression" dxfId="229" priority="230">
      <formula>$H$66="Board-approved"</formula>
    </cfRule>
  </conditionalFormatting>
  <conditionalFormatting sqref="O196">
    <cfRule type="expression" dxfId="228" priority="229">
      <formula>$H$67="Board-approved"</formula>
    </cfRule>
  </conditionalFormatting>
  <conditionalFormatting sqref="L213">
    <cfRule type="expression" dxfId="227" priority="228">
      <formula>$K$63="Forecastl"</formula>
    </cfRule>
  </conditionalFormatting>
  <conditionalFormatting sqref="L214">
    <cfRule type="expression" dxfId="226" priority="227">
      <formula>$K$64="Forecast"</formula>
    </cfRule>
  </conditionalFormatting>
  <conditionalFormatting sqref="L215">
    <cfRule type="expression" dxfId="225" priority="226">
      <formula>$K$65="Forecast"</formula>
    </cfRule>
  </conditionalFormatting>
  <conditionalFormatting sqref="L216">
    <cfRule type="expression" dxfId="224" priority="225">
      <formula>$K$66="Forecast"</formula>
    </cfRule>
  </conditionalFormatting>
  <conditionalFormatting sqref="L217">
    <cfRule type="expression" dxfId="223" priority="224">
      <formula>$K$67="Forecast"</formula>
    </cfRule>
  </conditionalFormatting>
  <conditionalFormatting sqref="L218">
    <cfRule type="expression" dxfId="222" priority="223">
      <formula>$K$68="Forecast"</formula>
    </cfRule>
  </conditionalFormatting>
  <conditionalFormatting sqref="L219">
    <cfRule type="expression" dxfId="221" priority="222">
      <formula>$K$69="Forecast"</formula>
    </cfRule>
  </conditionalFormatting>
  <conditionalFormatting sqref="O213">
    <cfRule type="expression" dxfId="220" priority="221">
      <formula>$H$63="Board-approved"</formula>
    </cfRule>
  </conditionalFormatting>
  <conditionalFormatting sqref="O214">
    <cfRule type="expression" dxfId="219" priority="220">
      <formula>$H$64="Board-approved"</formula>
    </cfRule>
  </conditionalFormatting>
  <conditionalFormatting sqref="O215">
    <cfRule type="expression" dxfId="218" priority="219">
      <formula>$H$65="Board-approved"</formula>
    </cfRule>
  </conditionalFormatting>
  <conditionalFormatting sqref="O216">
    <cfRule type="expression" dxfId="217" priority="218">
      <formula>$H$66="Board-approved"</formula>
    </cfRule>
  </conditionalFormatting>
  <conditionalFormatting sqref="O217">
    <cfRule type="expression" dxfId="216" priority="217">
      <formula>$H$67="Board-approved"</formula>
    </cfRule>
  </conditionalFormatting>
  <conditionalFormatting sqref="I213">
    <cfRule type="expression" dxfId="215" priority="216">
      <formula>$H$63="Board-approved"</formula>
    </cfRule>
  </conditionalFormatting>
  <conditionalFormatting sqref="I214">
    <cfRule type="expression" dxfId="214" priority="215">
      <formula>$H$64="Board-approved"</formula>
    </cfRule>
  </conditionalFormatting>
  <conditionalFormatting sqref="I215">
    <cfRule type="expression" dxfId="213" priority="214">
      <formula>$H$65="Board-approved"</formula>
    </cfRule>
  </conditionalFormatting>
  <conditionalFormatting sqref="I216">
    <cfRule type="expression" dxfId="212" priority="213">
      <formula>$H$66="Board-approved"</formula>
    </cfRule>
  </conditionalFormatting>
  <conditionalFormatting sqref="I217">
    <cfRule type="expression" dxfId="211" priority="212">
      <formula>$H$67="Board-approved"</formula>
    </cfRule>
  </conditionalFormatting>
  <conditionalFormatting sqref="K211:U229">
    <cfRule type="expression" dxfId="210" priority="211">
      <formula>$N$188="kWh"</formula>
    </cfRule>
  </conditionalFormatting>
  <conditionalFormatting sqref="I235">
    <cfRule type="expression" dxfId="209" priority="210">
      <formula>$H$63="Board-approved"</formula>
    </cfRule>
  </conditionalFormatting>
  <conditionalFormatting sqref="I236">
    <cfRule type="expression" dxfId="208" priority="209">
      <formula>$H$64="Board-approved"</formula>
    </cfRule>
  </conditionalFormatting>
  <conditionalFormatting sqref="I237">
    <cfRule type="expression" dxfId="207" priority="208">
      <formula>$H$65="Board-approved"</formula>
    </cfRule>
  </conditionalFormatting>
  <conditionalFormatting sqref="I238">
    <cfRule type="expression" dxfId="206" priority="207">
      <formula>$H$66="Board-approved"</formula>
    </cfRule>
  </conditionalFormatting>
  <conditionalFormatting sqref="I239">
    <cfRule type="expression" dxfId="205" priority="206">
      <formula>$H$67="Board-approved"</formula>
    </cfRule>
  </conditionalFormatting>
  <conditionalFormatting sqref="L235">
    <cfRule type="expression" dxfId="204" priority="205">
      <formula>$K$63="Forecastl"</formula>
    </cfRule>
  </conditionalFormatting>
  <conditionalFormatting sqref="L236">
    <cfRule type="expression" dxfId="203" priority="204">
      <formula>$K$64="Forecast"</formula>
    </cfRule>
  </conditionalFormatting>
  <conditionalFormatting sqref="L237">
    <cfRule type="expression" dxfId="202" priority="203">
      <formula>$K$65="Forecast"</formula>
    </cfRule>
  </conditionalFormatting>
  <conditionalFormatting sqref="L238">
    <cfRule type="expression" dxfId="201" priority="202">
      <formula>$K$66="Forecast"</formula>
    </cfRule>
  </conditionalFormatting>
  <conditionalFormatting sqref="L239">
    <cfRule type="expression" dxfId="200" priority="201">
      <formula>$K$67="Forecast"</formula>
    </cfRule>
  </conditionalFormatting>
  <conditionalFormatting sqref="L240">
    <cfRule type="expression" dxfId="199" priority="200">
      <formula>$K$68="Forecast"</formula>
    </cfRule>
  </conditionalFormatting>
  <conditionalFormatting sqref="L241">
    <cfRule type="expression" dxfId="198" priority="199">
      <formula>$K$69="Forecast"</formula>
    </cfRule>
  </conditionalFormatting>
  <conditionalFormatting sqref="O235">
    <cfRule type="expression" dxfId="197" priority="198">
      <formula>$H$63="Board-approved"</formula>
    </cfRule>
  </conditionalFormatting>
  <conditionalFormatting sqref="O236">
    <cfRule type="expression" dxfId="196" priority="197">
      <formula>$H$64="Board-approved"</formula>
    </cfRule>
  </conditionalFormatting>
  <conditionalFormatting sqref="O237">
    <cfRule type="expression" dxfId="195" priority="196">
      <formula>$H$65="Board-approved"</formula>
    </cfRule>
  </conditionalFormatting>
  <conditionalFormatting sqref="O238">
    <cfRule type="expression" dxfId="194" priority="195">
      <formula>$H$66="Board-approved"</formula>
    </cfRule>
  </conditionalFormatting>
  <conditionalFormatting sqref="O239">
    <cfRule type="expression" dxfId="193" priority="194">
      <formula>$H$67="Board-approved"</formula>
    </cfRule>
  </conditionalFormatting>
  <conditionalFormatting sqref="L256">
    <cfRule type="expression" dxfId="192" priority="193">
      <formula>$K$63="Forecastl"</formula>
    </cfRule>
  </conditionalFormatting>
  <conditionalFormatting sqref="L257">
    <cfRule type="expression" dxfId="191" priority="192">
      <formula>$K$64="Forecast"</formula>
    </cfRule>
  </conditionalFormatting>
  <conditionalFormatting sqref="L258">
    <cfRule type="expression" dxfId="190" priority="191">
      <formula>$K$65="Forecast"</formula>
    </cfRule>
  </conditionalFormatting>
  <conditionalFormatting sqref="L259">
    <cfRule type="expression" dxfId="189" priority="190">
      <formula>$K$66="Forecast"</formula>
    </cfRule>
  </conditionalFormatting>
  <conditionalFormatting sqref="L260">
    <cfRule type="expression" dxfId="188" priority="189">
      <formula>$K$67="Forecast"</formula>
    </cfRule>
  </conditionalFormatting>
  <conditionalFormatting sqref="L261">
    <cfRule type="expression" dxfId="187" priority="188">
      <formula>$K$68="Forecast"</formula>
    </cfRule>
  </conditionalFormatting>
  <conditionalFormatting sqref="L262">
    <cfRule type="expression" dxfId="186" priority="187">
      <formula>$K$69="Forecast"</formula>
    </cfRule>
  </conditionalFormatting>
  <conditionalFormatting sqref="O256">
    <cfRule type="expression" dxfId="185" priority="186">
      <formula>$H$63="Board-approved"</formula>
    </cfRule>
  </conditionalFormatting>
  <conditionalFormatting sqref="O257">
    <cfRule type="expression" dxfId="184" priority="185">
      <formula>$H$64="Board-approved"</formula>
    </cfRule>
  </conditionalFormatting>
  <conditionalFormatting sqref="O258">
    <cfRule type="expression" dxfId="183" priority="184">
      <formula>$H$65="Board-approved"</formula>
    </cfRule>
  </conditionalFormatting>
  <conditionalFormatting sqref="O259">
    <cfRule type="expression" dxfId="182" priority="183">
      <formula>$H$66="Board-approved"</formula>
    </cfRule>
  </conditionalFormatting>
  <conditionalFormatting sqref="O260">
    <cfRule type="expression" dxfId="181" priority="182">
      <formula>$H$67="Board-approved"</formula>
    </cfRule>
  </conditionalFormatting>
  <conditionalFormatting sqref="I256">
    <cfRule type="expression" dxfId="180" priority="181">
      <formula>$H$63="Board-approved"</formula>
    </cfRule>
  </conditionalFormatting>
  <conditionalFormatting sqref="I257">
    <cfRule type="expression" dxfId="179" priority="180">
      <formula>$H$64="Board-approved"</formula>
    </cfRule>
  </conditionalFormatting>
  <conditionalFormatting sqref="I258">
    <cfRule type="expression" dxfId="178" priority="179">
      <formula>$H$65="Board-approved"</formula>
    </cfRule>
  </conditionalFormatting>
  <conditionalFormatting sqref="I259">
    <cfRule type="expression" dxfId="177" priority="178">
      <formula>$H$66="Board-approved"</formula>
    </cfRule>
  </conditionalFormatting>
  <conditionalFormatting sqref="I260">
    <cfRule type="expression" dxfId="176" priority="177">
      <formula>$H$67="Board-approved"</formula>
    </cfRule>
  </conditionalFormatting>
  <conditionalFormatting sqref="K254:U272">
    <cfRule type="expression" dxfId="175" priority="176">
      <formula>$N$231="kWh"</formula>
    </cfRule>
  </conditionalFormatting>
  <conditionalFormatting sqref="I278">
    <cfRule type="expression" dxfId="174" priority="175">
      <formula>$H$63="Board-approved"</formula>
    </cfRule>
  </conditionalFormatting>
  <conditionalFormatting sqref="I279">
    <cfRule type="expression" dxfId="173" priority="174">
      <formula>$H$64="Board-approved"</formula>
    </cfRule>
  </conditionalFormatting>
  <conditionalFormatting sqref="I280">
    <cfRule type="expression" dxfId="172" priority="173">
      <formula>$H$65="Board-approved"</formula>
    </cfRule>
  </conditionalFormatting>
  <conditionalFormatting sqref="I281">
    <cfRule type="expression" dxfId="171" priority="172">
      <formula>$H$66="Board-approved"</formula>
    </cfRule>
  </conditionalFormatting>
  <conditionalFormatting sqref="I282">
    <cfRule type="expression" dxfId="170" priority="171">
      <formula>$H$67="Board-approved"</formula>
    </cfRule>
  </conditionalFormatting>
  <conditionalFormatting sqref="L278">
    <cfRule type="expression" dxfId="169" priority="170">
      <formula>$K$63="Forecastl"</formula>
    </cfRule>
  </conditionalFormatting>
  <conditionalFormatting sqref="L279">
    <cfRule type="expression" dxfId="168" priority="169">
      <formula>$K$64="Forecast"</formula>
    </cfRule>
  </conditionalFormatting>
  <conditionalFormatting sqref="L280">
    <cfRule type="expression" dxfId="167" priority="168">
      <formula>$K$65="Forecast"</formula>
    </cfRule>
  </conditionalFormatting>
  <conditionalFormatting sqref="L281">
    <cfRule type="expression" dxfId="166" priority="167">
      <formula>$K$66="Forecast"</formula>
    </cfRule>
  </conditionalFormatting>
  <conditionalFormatting sqref="L282">
    <cfRule type="expression" dxfId="165" priority="166">
      <formula>$K$67="Forecast"</formula>
    </cfRule>
  </conditionalFormatting>
  <conditionalFormatting sqref="L283">
    <cfRule type="expression" dxfId="164" priority="165">
      <formula>$K$68="Forecast"</formula>
    </cfRule>
  </conditionalFormatting>
  <conditionalFormatting sqref="L284">
    <cfRule type="expression" dxfId="163" priority="164">
      <formula>$K$69="Forecast"</formula>
    </cfRule>
  </conditionalFormatting>
  <conditionalFormatting sqref="O278">
    <cfRule type="expression" dxfId="162" priority="163">
      <formula>$H$63="Board-approved"</formula>
    </cfRule>
  </conditionalFormatting>
  <conditionalFormatting sqref="O279">
    <cfRule type="expression" dxfId="161" priority="162">
      <formula>$H$64="Board-approved"</formula>
    </cfRule>
  </conditionalFormatting>
  <conditionalFormatting sqref="O280">
    <cfRule type="expression" dxfId="160" priority="161">
      <formula>$H$65="Board-approved"</formula>
    </cfRule>
  </conditionalFormatting>
  <conditionalFormatting sqref="O281">
    <cfRule type="expression" dxfId="159" priority="160">
      <formula>$H$66="Board-approved"</formula>
    </cfRule>
  </conditionalFormatting>
  <conditionalFormatting sqref="O282">
    <cfRule type="expression" dxfId="158" priority="159">
      <formula>$H$67="Board-approved"</formula>
    </cfRule>
  </conditionalFormatting>
  <conditionalFormatting sqref="L299">
    <cfRule type="expression" dxfId="157" priority="158">
      <formula>$K$63="Forecastl"</formula>
    </cfRule>
  </conditionalFormatting>
  <conditionalFormatting sqref="L300">
    <cfRule type="expression" dxfId="156" priority="157">
      <formula>$K$64="Forecast"</formula>
    </cfRule>
  </conditionalFormatting>
  <conditionalFormatting sqref="L301">
    <cfRule type="expression" dxfId="155" priority="156">
      <formula>$K$65="Forecast"</formula>
    </cfRule>
  </conditionalFormatting>
  <conditionalFormatting sqref="L302">
    <cfRule type="expression" dxfId="154" priority="155">
      <formula>$K$66="Forecast"</formula>
    </cfRule>
  </conditionalFormatting>
  <conditionalFormatting sqref="L303">
    <cfRule type="expression" dxfId="153" priority="154">
      <formula>$K$67="Forecast"</formula>
    </cfRule>
  </conditionalFormatting>
  <conditionalFormatting sqref="L304">
    <cfRule type="expression" dxfId="152" priority="153">
      <formula>$K$68="Forecast"</formula>
    </cfRule>
  </conditionalFormatting>
  <conditionalFormatting sqref="L305">
    <cfRule type="expression" dxfId="151" priority="152">
      <formula>$K$69="Forecast"</formula>
    </cfRule>
  </conditionalFormatting>
  <conditionalFormatting sqref="O299">
    <cfRule type="expression" dxfId="150" priority="151">
      <formula>$H$63="Board-approved"</formula>
    </cfRule>
  </conditionalFormatting>
  <conditionalFormatting sqref="O300">
    <cfRule type="expression" dxfId="149" priority="150">
      <formula>$H$64="Board-approved"</formula>
    </cfRule>
  </conditionalFormatting>
  <conditionalFormatting sqref="O301">
    <cfRule type="expression" dxfId="148" priority="149">
      <formula>$H$65="Board-approved"</formula>
    </cfRule>
  </conditionalFormatting>
  <conditionalFormatting sqref="O302">
    <cfRule type="expression" dxfId="147" priority="148">
      <formula>$H$66="Board-approved"</formula>
    </cfRule>
  </conditionalFormatting>
  <conditionalFormatting sqref="O303">
    <cfRule type="expression" dxfId="146" priority="147">
      <formula>$H$67="Board-approved"</formula>
    </cfRule>
  </conditionalFormatting>
  <conditionalFormatting sqref="I299">
    <cfRule type="expression" dxfId="145" priority="146">
      <formula>$H$63="Board-approved"</formula>
    </cfRule>
  </conditionalFormatting>
  <conditionalFormatting sqref="I300">
    <cfRule type="expression" dxfId="144" priority="145">
      <formula>$H$64="Board-approved"</formula>
    </cfRule>
  </conditionalFormatting>
  <conditionalFormatting sqref="I301">
    <cfRule type="expression" dxfId="143" priority="144">
      <formula>$H$65="Board-approved"</formula>
    </cfRule>
  </conditionalFormatting>
  <conditionalFormatting sqref="I302">
    <cfRule type="expression" dxfId="142" priority="143">
      <formula>$H$66="Board-approved"</formula>
    </cfRule>
  </conditionalFormatting>
  <conditionalFormatting sqref="I303">
    <cfRule type="expression" dxfId="141" priority="142">
      <formula>$H$67="Board-approved"</formula>
    </cfRule>
  </conditionalFormatting>
  <conditionalFormatting sqref="K297:U315">
    <cfRule type="expression" dxfId="140" priority="141">
      <formula>$N$274="kWh"</formula>
    </cfRule>
  </conditionalFormatting>
  <conditionalFormatting sqref="I321">
    <cfRule type="expression" dxfId="139" priority="140">
      <formula>$H$63="Board-approved"</formula>
    </cfRule>
  </conditionalFormatting>
  <conditionalFormatting sqref="I322">
    <cfRule type="expression" dxfId="138" priority="139">
      <formula>$H$64="Board-approved"</formula>
    </cfRule>
  </conditionalFormatting>
  <conditionalFormatting sqref="I323">
    <cfRule type="expression" dxfId="137" priority="138">
      <formula>$H$65="Board-approved"</formula>
    </cfRule>
  </conditionalFormatting>
  <conditionalFormatting sqref="I324">
    <cfRule type="expression" dxfId="136" priority="137">
      <formula>$H$66="Board-approved"</formula>
    </cfRule>
  </conditionalFormatting>
  <conditionalFormatting sqref="I325">
    <cfRule type="expression" dxfId="135" priority="136">
      <formula>$H$67="Board-approved"</formula>
    </cfRule>
  </conditionalFormatting>
  <conditionalFormatting sqref="L321">
    <cfRule type="expression" dxfId="134" priority="135">
      <formula>$K$63="Forecastl"</formula>
    </cfRule>
  </conditionalFormatting>
  <conditionalFormatting sqref="L322">
    <cfRule type="expression" dxfId="133" priority="134">
      <formula>$K$64="Forecast"</formula>
    </cfRule>
  </conditionalFormatting>
  <conditionalFormatting sqref="L323">
    <cfRule type="expression" dxfId="132" priority="133">
      <formula>$K$65="Forecast"</formula>
    </cfRule>
  </conditionalFormatting>
  <conditionalFormatting sqref="L324">
    <cfRule type="expression" dxfId="131" priority="132">
      <formula>$K$66="Forecast"</formula>
    </cfRule>
  </conditionalFormatting>
  <conditionalFormatting sqref="L325">
    <cfRule type="expression" dxfId="130" priority="131">
      <formula>$K$67="Forecast"</formula>
    </cfRule>
  </conditionalFormatting>
  <conditionalFormatting sqref="L326">
    <cfRule type="expression" dxfId="129" priority="130">
      <formula>$K$68="Forecast"</formula>
    </cfRule>
  </conditionalFormatting>
  <conditionalFormatting sqref="L327">
    <cfRule type="expression" dxfId="128" priority="129">
      <formula>$K$69="Forecast"</formula>
    </cfRule>
  </conditionalFormatting>
  <conditionalFormatting sqref="O321">
    <cfRule type="expression" dxfId="127" priority="128">
      <formula>$H$63="Board-approved"</formula>
    </cfRule>
  </conditionalFormatting>
  <conditionalFormatting sqref="O322">
    <cfRule type="expression" dxfId="126" priority="127">
      <formula>$H$64="Board-approved"</formula>
    </cfRule>
  </conditionalFormatting>
  <conditionalFormatting sqref="O323">
    <cfRule type="expression" dxfId="125" priority="126">
      <formula>$H$65="Board-approved"</formula>
    </cfRule>
  </conditionalFormatting>
  <conditionalFormatting sqref="O324">
    <cfRule type="expression" dxfId="124" priority="125">
      <formula>$H$66="Board-approved"</formula>
    </cfRule>
  </conditionalFormatting>
  <conditionalFormatting sqref="O325">
    <cfRule type="expression" dxfId="123" priority="124">
      <formula>$H$67="Board-approved"</formula>
    </cfRule>
  </conditionalFormatting>
  <conditionalFormatting sqref="L342">
    <cfRule type="expression" dxfId="122" priority="123">
      <formula>$K$63="Forecastl"</formula>
    </cfRule>
  </conditionalFormatting>
  <conditionalFormatting sqref="L343">
    <cfRule type="expression" dxfId="121" priority="122">
      <formula>$K$64="Forecast"</formula>
    </cfRule>
  </conditionalFormatting>
  <conditionalFormatting sqref="L344">
    <cfRule type="expression" dxfId="120" priority="121">
      <formula>$K$65="Forecast"</formula>
    </cfRule>
  </conditionalFormatting>
  <conditionalFormatting sqref="L345">
    <cfRule type="expression" dxfId="119" priority="120">
      <formula>$K$66="Forecast"</formula>
    </cfRule>
  </conditionalFormatting>
  <conditionalFormatting sqref="L346">
    <cfRule type="expression" dxfId="118" priority="119">
      <formula>$K$67="Forecast"</formula>
    </cfRule>
  </conditionalFormatting>
  <conditionalFormatting sqref="L347">
    <cfRule type="expression" dxfId="117" priority="118">
      <formula>$K$68="Forecast"</formula>
    </cfRule>
  </conditionalFormatting>
  <conditionalFormatting sqref="L348">
    <cfRule type="expression" dxfId="116" priority="117">
      <formula>$K$69="Forecast"</formula>
    </cfRule>
  </conditionalFormatting>
  <conditionalFormatting sqref="O342">
    <cfRule type="expression" dxfId="115" priority="116">
      <formula>$H$63="Board-approved"</formula>
    </cfRule>
  </conditionalFormatting>
  <conditionalFormatting sqref="O343">
    <cfRule type="expression" dxfId="114" priority="115">
      <formula>$H$64="Board-approved"</formula>
    </cfRule>
  </conditionalFormatting>
  <conditionalFormatting sqref="O344">
    <cfRule type="expression" dxfId="113" priority="114">
      <formula>$H$65="Board-approved"</formula>
    </cfRule>
  </conditionalFormatting>
  <conditionalFormatting sqref="O345">
    <cfRule type="expression" dxfId="112" priority="113">
      <formula>$H$66="Board-approved"</formula>
    </cfRule>
  </conditionalFormatting>
  <conditionalFormatting sqref="O346">
    <cfRule type="expression" dxfId="111" priority="112">
      <formula>$H$67="Board-approved"</formula>
    </cfRule>
  </conditionalFormatting>
  <conditionalFormatting sqref="I342">
    <cfRule type="expression" dxfId="110" priority="111">
      <formula>$H$63="Board-approved"</formula>
    </cfRule>
  </conditionalFormatting>
  <conditionalFormatting sqref="I343">
    <cfRule type="expression" dxfId="109" priority="110">
      <formula>$H$64="Board-approved"</formula>
    </cfRule>
  </conditionalFormatting>
  <conditionalFormatting sqref="I344">
    <cfRule type="expression" dxfId="108" priority="109">
      <formula>$H$65="Board-approved"</formula>
    </cfRule>
  </conditionalFormatting>
  <conditionalFormatting sqref="I345">
    <cfRule type="expression" dxfId="107" priority="108">
      <formula>$H$66="Board-approved"</formula>
    </cfRule>
  </conditionalFormatting>
  <conditionalFormatting sqref="I346">
    <cfRule type="expression" dxfId="106" priority="107">
      <formula>$H$67="Board-approved"</formula>
    </cfRule>
  </conditionalFormatting>
  <conditionalFormatting sqref="K340:U358">
    <cfRule type="expression" dxfId="105" priority="106">
      <formula>$N$317="kWh"</formula>
    </cfRule>
  </conditionalFormatting>
  <conditionalFormatting sqref="I364">
    <cfRule type="expression" dxfId="104" priority="105">
      <formula>$H$63="Board-approved"</formula>
    </cfRule>
  </conditionalFormatting>
  <conditionalFormatting sqref="I365">
    <cfRule type="expression" dxfId="103" priority="104">
      <formula>$H$64="Board-approved"</formula>
    </cfRule>
  </conditionalFormatting>
  <conditionalFormatting sqref="I366">
    <cfRule type="expression" dxfId="102" priority="103">
      <formula>$H$65="Board-approved"</formula>
    </cfRule>
  </conditionalFormatting>
  <conditionalFormatting sqref="I367">
    <cfRule type="expression" dxfId="101" priority="102">
      <formula>$H$66="Board-approved"</formula>
    </cfRule>
  </conditionalFormatting>
  <conditionalFormatting sqref="I368">
    <cfRule type="expression" dxfId="100" priority="101">
      <formula>$H$67="Board-approved"</formula>
    </cfRule>
  </conditionalFormatting>
  <conditionalFormatting sqref="L364">
    <cfRule type="expression" dxfId="99" priority="100">
      <formula>$K$63="Forecastl"</formula>
    </cfRule>
  </conditionalFormatting>
  <conditionalFormatting sqref="L365">
    <cfRule type="expression" dxfId="98" priority="99">
      <formula>$K$64="Forecast"</formula>
    </cfRule>
  </conditionalFormatting>
  <conditionalFormatting sqref="L366">
    <cfRule type="expression" dxfId="97" priority="98">
      <formula>$K$65="Forecast"</formula>
    </cfRule>
  </conditionalFormatting>
  <conditionalFormatting sqref="L367">
    <cfRule type="expression" dxfId="96" priority="97">
      <formula>$K$66="Forecast"</formula>
    </cfRule>
  </conditionalFormatting>
  <conditionalFormatting sqref="L368">
    <cfRule type="expression" dxfId="95" priority="96">
      <formula>$K$67="Forecast"</formula>
    </cfRule>
  </conditionalFormatting>
  <conditionalFormatting sqref="L369">
    <cfRule type="expression" dxfId="94" priority="95">
      <formula>$K$68="Forecast"</formula>
    </cfRule>
  </conditionalFormatting>
  <conditionalFormatting sqref="L370">
    <cfRule type="expression" dxfId="93" priority="94">
      <formula>$K$69="Forecast"</formula>
    </cfRule>
  </conditionalFormatting>
  <conditionalFormatting sqref="O364">
    <cfRule type="expression" dxfId="92" priority="93">
      <formula>$H$63="Board-approved"</formula>
    </cfRule>
  </conditionalFormatting>
  <conditionalFormatting sqref="O365">
    <cfRule type="expression" dxfId="91" priority="92">
      <formula>$H$64="Board-approved"</formula>
    </cfRule>
  </conditionalFormatting>
  <conditionalFormatting sqref="O366">
    <cfRule type="expression" dxfId="90" priority="91">
      <formula>$H$65="Board-approved"</formula>
    </cfRule>
  </conditionalFormatting>
  <conditionalFormatting sqref="O367">
    <cfRule type="expression" dxfId="89" priority="90">
      <formula>$H$66="Board-approved"</formula>
    </cfRule>
  </conditionalFormatting>
  <conditionalFormatting sqref="O368">
    <cfRule type="expression" dxfId="88" priority="89">
      <formula>$H$67="Board-approved"</formula>
    </cfRule>
  </conditionalFormatting>
  <conditionalFormatting sqref="L385">
    <cfRule type="expression" dxfId="87" priority="88">
      <formula>$K$63="Forecastl"</formula>
    </cfRule>
  </conditionalFormatting>
  <conditionalFormatting sqref="L386">
    <cfRule type="expression" dxfId="86" priority="87">
      <formula>$K$64="Forecast"</formula>
    </cfRule>
  </conditionalFormatting>
  <conditionalFormatting sqref="L387">
    <cfRule type="expression" dxfId="85" priority="86">
      <formula>$K$65="Forecast"</formula>
    </cfRule>
  </conditionalFormatting>
  <conditionalFormatting sqref="L388">
    <cfRule type="expression" dxfId="84" priority="85">
      <formula>$K$66="Forecast"</formula>
    </cfRule>
  </conditionalFormatting>
  <conditionalFormatting sqref="L389">
    <cfRule type="expression" dxfId="83" priority="84">
      <formula>$K$67="Forecast"</formula>
    </cfRule>
  </conditionalFormatting>
  <conditionalFormatting sqref="L390">
    <cfRule type="expression" dxfId="82" priority="83">
      <formula>$K$68="Forecast"</formula>
    </cfRule>
  </conditionalFormatting>
  <conditionalFormatting sqref="L391">
    <cfRule type="expression" dxfId="81" priority="82">
      <formula>$K$69="Forecast"</formula>
    </cfRule>
  </conditionalFormatting>
  <conditionalFormatting sqref="O385">
    <cfRule type="expression" dxfId="80" priority="81">
      <formula>$H$63="Board-approved"</formula>
    </cfRule>
  </conditionalFormatting>
  <conditionalFormatting sqref="O386">
    <cfRule type="expression" dxfId="79" priority="80">
      <formula>$H$64="Board-approved"</formula>
    </cfRule>
  </conditionalFormatting>
  <conditionalFormatting sqref="O387">
    <cfRule type="expression" dxfId="78" priority="79">
      <formula>$H$65="Board-approved"</formula>
    </cfRule>
  </conditionalFormatting>
  <conditionalFormatting sqref="O388">
    <cfRule type="expression" dxfId="77" priority="78">
      <formula>$H$66="Board-approved"</formula>
    </cfRule>
  </conditionalFormatting>
  <conditionalFormatting sqref="O389">
    <cfRule type="expression" dxfId="76" priority="77">
      <formula>$H$67="Board-approved"</formula>
    </cfRule>
  </conditionalFormatting>
  <conditionalFormatting sqref="I385">
    <cfRule type="expression" dxfId="75" priority="76">
      <formula>$H$63="Board-approved"</formula>
    </cfRule>
  </conditionalFormatting>
  <conditionalFormatting sqref="I386">
    <cfRule type="expression" dxfId="74" priority="75">
      <formula>$H$64="Board-approved"</formula>
    </cfRule>
  </conditionalFormatting>
  <conditionalFormatting sqref="I387">
    <cfRule type="expression" dxfId="73" priority="74">
      <formula>$H$65="Board-approved"</formula>
    </cfRule>
  </conditionalFormatting>
  <conditionalFormatting sqref="I388">
    <cfRule type="expression" dxfId="72" priority="73">
      <formula>$H$66="Board-approved"</formula>
    </cfRule>
  </conditionalFormatting>
  <conditionalFormatting sqref="I389">
    <cfRule type="expression" dxfId="71" priority="72">
      <formula>$H$67="Board-approved"</formula>
    </cfRule>
  </conditionalFormatting>
  <conditionalFormatting sqref="K383:U401">
    <cfRule type="expression" dxfId="70" priority="71">
      <formula>$N$360="kWh"</formula>
    </cfRule>
  </conditionalFormatting>
  <conditionalFormatting sqref="I407">
    <cfRule type="expression" dxfId="69" priority="70">
      <formula>$H$63="Board-approved"</formula>
    </cfRule>
  </conditionalFormatting>
  <conditionalFormatting sqref="I408">
    <cfRule type="expression" dxfId="68" priority="69">
      <formula>$H$64="Board-approved"</formula>
    </cfRule>
  </conditionalFormatting>
  <conditionalFormatting sqref="I409">
    <cfRule type="expression" dxfId="67" priority="68">
      <formula>$H$65="Board-approved"</formula>
    </cfRule>
  </conditionalFormatting>
  <conditionalFormatting sqref="I410">
    <cfRule type="expression" dxfId="66" priority="67">
      <formula>$H$66="Board-approved"</formula>
    </cfRule>
  </conditionalFormatting>
  <conditionalFormatting sqref="I411">
    <cfRule type="expression" dxfId="65" priority="66">
      <formula>$H$67="Board-approved"</formula>
    </cfRule>
  </conditionalFormatting>
  <conditionalFormatting sqref="L407">
    <cfRule type="expression" dxfId="64" priority="65">
      <formula>$K$63="Forecastl"</formula>
    </cfRule>
  </conditionalFormatting>
  <conditionalFormatting sqref="L408">
    <cfRule type="expression" dxfId="63" priority="64">
      <formula>$K$64="Forecast"</formula>
    </cfRule>
  </conditionalFormatting>
  <conditionalFormatting sqref="L409">
    <cfRule type="expression" dxfId="62" priority="63">
      <formula>$K$65="Forecast"</formula>
    </cfRule>
  </conditionalFormatting>
  <conditionalFormatting sqref="L410">
    <cfRule type="expression" dxfId="61" priority="62">
      <formula>$K$66="Forecast"</formula>
    </cfRule>
  </conditionalFormatting>
  <conditionalFormatting sqref="L411">
    <cfRule type="expression" dxfId="60" priority="61">
      <formula>$K$67="Forecast"</formula>
    </cfRule>
  </conditionalFormatting>
  <conditionalFormatting sqref="L412">
    <cfRule type="expression" dxfId="59" priority="60">
      <formula>$K$68="Forecast"</formula>
    </cfRule>
  </conditionalFormatting>
  <conditionalFormatting sqref="L413">
    <cfRule type="expression" dxfId="58" priority="59">
      <formula>$K$69="Forecast"</formula>
    </cfRule>
  </conditionalFormatting>
  <conditionalFormatting sqref="O407">
    <cfRule type="expression" dxfId="57" priority="58">
      <formula>$H$63="Board-approved"</formula>
    </cfRule>
  </conditionalFormatting>
  <conditionalFormatting sqref="O408">
    <cfRule type="expression" dxfId="56" priority="57">
      <formula>$H$64="Board-approved"</formula>
    </cfRule>
  </conditionalFormatting>
  <conditionalFormatting sqref="O409">
    <cfRule type="expression" dxfId="55" priority="56">
      <formula>$H$65="Board-approved"</formula>
    </cfRule>
  </conditionalFormatting>
  <conditionalFormatting sqref="O410">
    <cfRule type="expression" dxfId="54" priority="55">
      <formula>$H$66="Board-approved"</formula>
    </cfRule>
  </conditionalFormatting>
  <conditionalFormatting sqref="O411">
    <cfRule type="expression" dxfId="53" priority="54">
      <formula>$H$67="Board-approved"</formula>
    </cfRule>
  </conditionalFormatting>
  <conditionalFormatting sqref="L428">
    <cfRule type="expression" dxfId="52" priority="53">
      <formula>$K$63="Forecastl"</formula>
    </cfRule>
  </conditionalFormatting>
  <conditionalFormatting sqref="L429">
    <cfRule type="expression" dxfId="51" priority="52">
      <formula>$K$64="Forecast"</formula>
    </cfRule>
  </conditionalFormatting>
  <conditionalFormatting sqref="L430">
    <cfRule type="expression" dxfId="50" priority="51">
      <formula>$K$65="Forecast"</formula>
    </cfRule>
  </conditionalFormatting>
  <conditionalFormatting sqref="L431">
    <cfRule type="expression" dxfId="49" priority="50">
      <formula>$K$66="Forecast"</formula>
    </cfRule>
  </conditionalFormatting>
  <conditionalFormatting sqref="L432">
    <cfRule type="expression" dxfId="48" priority="49">
      <formula>$K$67="Forecast"</formula>
    </cfRule>
  </conditionalFormatting>
  <conditionalFormatting sqref="L433">
    <cfRule type="expression" dxfId="47" priority="48">
      <formula>$K$68="Forecast"</formula>
    </cfRule>
  </conditionalFormatting>
  <conditionalFormatting sqref="L434">
    <cfRule type="expression" dxfId="46" priority="47">
      <formula>$K$69="Forecast"</formula>
    </cfRule>
  </conditionalFormatting>
  <conditionalFormatting sqref="O428">
    <cfRule type="expression" dxfId="45" priority="46">
      <formula>$H$63="Board-approved"</formula>
    </cfRule>
  </conditionalFormatting>
  <conditionalFormatting sqref="O429">
    <cfRule type="expression" dxfId="44" priority="45">
      <formula>$H$64="Board-approved"</formula>
    </cfRule>
  </conditionalFormatting>
  <conditionalFormatting sqref="O430">
    <cfRule type="expression" dxfId="43" priority="44">
      <formula>$H$65="Board-approved"</formula>
    </cfRule>
  </conditionalFormatting>
  <conditionalFormatting sqref="O431">
    <cfRule type="expression" dxfId="42" priority="43">
      <formula>$H$66="Board-approved"</formula>
    </cfRule>
  </conditionalFormatting>
  <conditionalFormatting sqref="O432">
    <cfRule type="expression" dxfId="41" priority="42">
      <formula>$H$67="Board-approved"</formula>
    </cfRule>
  </conditionalFormatting>
  <conditionalFormatting sqref="I428">
    <cfRule type="expression" dxfId="40" priority="41">
      <formula>$H$63="Board-approved"</formula>
    </cfRule>
  </conditionalFormatting>
  <conditionalFormatting sqref="I429">
    <cfRule type="expression" dxfId="39" priority="40">
      <formula>$H$64="Board-approved"</formula>
    </cfRule>
  </conditionalFormatting>
  <conditionalFormatting sqref="I430">
    <cfRule type="expression" dxfId="38" priority="39">
      <formula>$H$65="Board-approved"</formula>
    </cfRule>
  </conditionalFormatting>
  <conditionalFormatting sqref="I431">
    <cfRule type="expression" dxfId="37" priority="38">
      <formula>$H$66="Board-approved"</formula>
    </cfRule>
  </conditionalFormatting>
  <conditionalFormatting sqref="I432">
    <cfRule type="expression" dxfId="36" priority="37">
      <formula>$H$67="Board-approved"</formula>
    </cfRule>
  </conditionalFormatting>
  <conditionalFormatting sqref="K426:U444">
    <cfRule type="expression" dxfId="35" priority="36">
      <formula>$N$403="kWh"</formula>
    </cfRule>
  </conditionalFormatting>
  <conditionalFormatting sqref="I450">
    <cfRule type="expression" dxfId="34" priority="35">
      <formula>$H$63="Board-approved"</formula>
    </cfRule>
  </conditionalFormatting>
  <conditionalFormatting sqref="I451">
    <cfRule type="expression" dxfId="33" priority="34">
      <formula>$H$64="Board-approved"</formula>
    </cfRule>
  </conditionalFormatting>
  <conditionalFormatting sqref="I452">
    <cfRule type="expression" dxfId="32" priority="33">
      <formula>$H$65="Board-approved"</formula>
    </cfRule>
  </conditionalFormatting>
  <conditionalFormatting sqref="I453">
    <cfRule type="expression" dxfId="31" priority="32">
      <formula>$H$66="Board-approved"</formula>
    </cfRule>
  </conditionalFormatting>
  <conditionalFormatting sqref="I454">
    <cfRule type="expression" dxfId="30" priority="31">
      <formula>$H$67="Board-approved"</formula>
    </cfRule>
  </conditionalFormatting>
  <conditionalFormatting sqref="L450">
    <cfRule type="expression" dxfId="29" priority="30">
      <formula>$K$63="Forecastl"</formula>
    </cfRule>
  </conditionalFormatting>
  <conditionalFormatting sqref="L451">
    <cfRule type="expression" dxfId="28" priority="29">
      <formula>$K$64="Forecast"</formula>
    </cfRule>
  </conditionalFormatting>
  <conditionalFormatting sqref="L452">
    <cfRule type="expression" dxfId="27" priority="28">
      <formula>$K$65="Forecast"</formula>
    </cfRule>
  </conditionalFormatting>
  <conditionalFormatting sqref="L453">
    <cfRule type="expression" dxfId="26" priority="27">
      <formula>$K$66="Forecast"</formula>
    </cfRule>
  </conditionalFormatting>
  <conditionalFormatting sqref="L454">
    <cfRule type="expression" dxfId="25" priority="26">
      <formula>$K$67="Forecast"</formula>
    </cfRule>
  </conditionalFormatting>
  <conditionalFormatting sqref="L455">
    <cfRule type="expression" dxfId="24" priority="25">
      <formula>$K$68="Forecast"</formula>
    </cfRule>
  </conditionalFormatting>
  <conditionalFormatting sqref="L456">
    <cfRule type="expression" dxfId="23" priority="24">
      <formula>$K$69="Forecast"</formula>
    </cfRule>
  </conditionalFormatting>
  <conditionalFormatting sqref="O450">
    <cfRule type="expression" dxfId="22" priority="23">
      <formula>$H$63="Board-approved"</formula>
    </cfRule>
  </conditionalFormatting>
  <conditionalFormatting sqref="O451">
    <cfRule type="expression" dxfId="21" priority="22">
      <formula>$H$64="Board-approved"</formula>
    </cfRule>
  </conditionalFormatting>
  <conditionalFormatting sqref="O452">
    <cfRule type="expression" dxfId="20" priority="21">
      <formula>$H$65="Board-approved"</formula>
    </cfRule>
  </conditionalFormatting>
  <conditionalFormatting sqref="O453">
    <cfRule type="expression" dxfId="19" priority="20">
      <formula>$H$66="Board-approved"</formula>
    </cfRule>
  </conditionalFormatting>
  <conditionalFormatting sqref="O454">
    <cfRule type="expression" dxfId="18" priority="19">
      <formula>$H$67="Board-approved"</formula>
    </cfRule>
  </conditionalFormatting>
  <conditionalFormatting sqref="L471">
    <cfRule type="expression" dxfId="17" priority="18">
      <formula>$K$63="Forecastl"</formula>
    </cfRule>
  </conditionalFormatting>
  <conditionalFormatting sqref="L472">
    <cfRule type="expression" dxfId="16" priority="17">
      <formula>$K$64="Forecast"</formula>
    </cfRule>
  </conditionalFormatting>
  <conditionalFormatting sqref="L473">
    <cfRule type="expression" dxfId="15" priority="16">
      <formula>$K$65="Forecast"</formula>
    </cfRule>
  </conditionalFormatting>
  <conditionalFormatting sqref="L474">
    <cfRule type="expression" dxfId="14" priority="15">
      <formula>$K$66="Forecast"</formula>
    </cfRule>
  </conditionalFormatting>
  <conditionalFormatting sqref="L475">
    <cfRule type="expression" dxfId="13" priority="14">
      <formula>$K$67="Forecast"</formula>
    </cfRule>
  </conditionalFormatting>
  <conditionalFormatting sqref="L476">
    <cfRule type="expression" dxfId="12" priority="13">
      <formula>$K$68="Forecast"</formula>
    </cfRule>
  </conditionalFormatting>
  <conditionalFormatting sqref="L477">
    <cfRule type="expression" dxfId="11" priority="12">
      <formula>$K$69="Forecast"</formula>
    </cfRule>
  </conditionalFormatting>
  <conditionalFormatting sqref="O471">
    <cfRule type="expression" dxfId="10" priority="11">
      <formula>$H$63="Board-approved"</formula>
    </cfRule>
  </conditionalFormatting>
  <conditionalFormatting sqref="O472">
    <cfRule type="expression" dxfId="9" priority="10">
      <formula>$H$64="Board-approved"</formula>
    </cfRule>
  </conditionalFormatting>
  <conditionalFormatting sqref="O473">
    <cfRule type="expression" dxfId="8" priority="9">
      <formula>$H$65="Board-approved"</formula>
    </cfRule>
  </conditionalFormatting>
  <conditionalFormatting sqref="O474">
    <cfRule type="expression" dxfId="7" priority="8">
      <formula>$H$66="Board-approved"</formula>
    </cfRule>
  </conditionalFormatting>
  <conditionalFormatting sqref="O475">
    <cfRule type="expression" dxfId="6" priority="7">
      <formula>$H$67="Board-approved"</formula>
    </cfRule>
  </conditionalFormatting>
  <conditionalFormatting sqref="I471">
    <cfRule type="expression" dxfId="5" priority="6">
      <formula>$H$63="Board-approved"</formula>
    </cfRule>
  </conditionalFormatting>
  <conditionalFormatting sqref="I472">
    <cfRule type="expression" dxfId="4" priority="5">
      <formula>$H$64="Board-approved"</formula>
    </cfRule>
  </conditionalFormatting>
  <conditionalFormatting sqref="I473">
    <cfRule type="expression" dxfId="3" priority="4">
      <formula>$H$65="Board-approved"</formula>
    </cfRule>
  </conditionalFormatting>
  <conditionalFormatting sqref="I474">
    <cfRule type="expression" dxfId="2" priority="3">
      <formula>$H$66="Board-approved"</formula>
    </cfRule>
  </conditionalFormatting>
  <conditionalFormatting sqref="I475">
    <cfRule type="expression" dxfId="1" priority="2">
      <formula>$H$67="Board-approved"</formula>
    </cfRule>
  </conditionalFormatting>
  <conditionalFormatting sqref="K469:U487">
    <cfRule type="expression" dxfId="0" priority="1">
      <formula>$N$446="kWh"</formula>
    </cfRule>
  </conditionalFormatting>
  <dataValidations count="3">
    <dataValidation type="list" allowBlank="1" showInputMessage="1" showErrorMessage="1" sqref="N59 N102 N145 N188 N231 N274 N317 N360 N403 N446" xr:uid="{00000000-0002-0000-0700-000000000000}">
      <formula1>"kWh, kW, kVA"</formula1>
    </dataValidation>
    <dataValidation type="list" allowBlank="1" showInputMessage="1" showErrorMessage="1" sqref="F61:I61 F147:I147 F104:I104 F190:I190 F233:I233 F276:I276 F319:I319 F362:I362 F405:I405 F448:I448" xr:uid="{00000000-0002-0000-0700-000001000000}">
      <formula1>"Customers, Connections"</formula1>
    </dataValidation>
    <dataValidation type="list" allowBlank="1" showInputMessage="1" showErrorMessage="1" sqref="K39:K45" xr:uid="{00000000-0002-0000-0700-000002000000}">
      <formula1>"Actual, Forecast"</formula1>
    </dataValidation>
  </dataValidations>
  <pageMargins left="0.7" right="0.7" top="0.75" bottom="0.75" header="0.3" footer="0.3"/>
  <pageSetup orientation="portrait" horizontalDpi="4294967292"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pageSetUpPr fitToPage="1"/>
  </sheetPr>
  <dimension ref="A2:Q65"/>
  <sheetViews>
    <sheetView showGridLines="0" topLeftCell="B11" zoomScale="80" zoomScaleNormal="80" workbookViewId="0">
      <selection activeCell="M40" sqref="M40"/>
    </sheetView>
  </sheetViews>
  <sheetFormatPr defaultColWidth="17.5" defaultRowHeight="12.75" x14ac:dyDescent="0.2"/>
  <cols>
    <col min="1" max="1" width="30.83203125" style="208" bestFit="1" customWidth="1"/>
    <col min="2" max="6" width="19.83203125" style="208" customWidth="1"/>
    <col min="7" max="7" width="16.83203125" style="208" customWidth="1"/>
    <col min="8" max="8" width="25.33203125" style="208" customWidth="1"/>
    <col min="9" max="15" width="18.83203125" style="208" customWidth="1"/>
    <col min="16" max="16384" width="17.5" style="208"/>
  </cols>
  <sheetData>
    <row r="2" spans="1:15" s="209" customFormat="1" x14ac:dyDescent="0.2">
      <c r="G2" s="213"/>
    </row>
    <row r="3" spans="1:15" ht="15.75" customHeight="1" x14ac:dyDescent="0.2">
      <c r="A3" s="806" t="s">
        <v>136</v>
      </c>
      <c r="B3" s="805"/>
      <c r="C3" s="805"/>
      <c r="D3" s="805"/>
      <c r="E3" s="805"/>
      <c r="F3" s="805"/>
      <c r="G3" s="805"/>
      <c r="H3" s="805"/>
      <c r="I3" s="805"/>
      <c r="J3" s="805"/>
      <c r="K3" s="805"/>
      <c r="L3" s="805"/>
      <c r="M3" s="805"/>
      <c r="N3" s="805"/>
      <c r="O3" s="805"/>
    </row>
    <row r="4" spans="1:15" ht="13.5" thickBot="1" x14ac:dyDescent="0.25">
      <c r="A4" s="278"/>
      <c r="B4" s="278"/>
      <c r="C4" s="278"/>
      <c r="D4" s="278"/>
      <c r="E4" s="278"/>
      <c r="F4" s="278"/>
      <c r="G4" s="278"/>
      <c r="H4" s="278"/>
    </row>
    <row r="5" spans="1:15" ht="16.5" customHeight="1" thickBot="1" x14ac:dyDescent="0.25">
      <c r="A5" s="842" t="s">
        <v>137</v>
      </c>
      <c r="B5" s="843"/>
      <c r="C5" s="843"/>
      <c r="D5" s="843"/>
      <c r="E5" s="843"/>
      <c r="F5" s="843"/>
      <c r="G5" s="279"/>
      <c r="H5" s="842" t="s">
        <v>138</v>
      </c>
      <c r="I5" s="843"/>
      <c r="J5" s="843"/>
      <c r="K5" s="843"/>
      <c r="L5" s="843"/>
      <c r="M5" s="843"/>
      <c r="N5" s="843"/>
      <c r="O5" s="848"/>
    </row>
    <row r="6" spans="1:15" x14ac:dyDescent="0.2">
      <c r="A6" s="833" t="s">
        <v>125</v>
      </c>
      <c r="B6" s="834"/>
      <c r="C6" s="834"/>
      <c r="D6" s="834"/>
      <c r="E6" s="834"/>
      <c r="F6" s="835"/>
      <c r="G6" s="278"/>
      <c r="H6" s="849" t="s">
        <v>139</v>
      </c>
      <c r="I6" s="850"/>
      <c r="J6" s="850"/>
      <c r="K6" s="850"/>
      <c r="L6" s="850"/>
      <c r="M6" s="850"/>
      <c r="N6" s="850"/>
      <c r="O6" s="851"/>
    </row>
    <row r="7" spans="1:15" x14ac:dyDescent="0.2">
      <c r="A7" s="836">
        <v>9280000</v>
      </c>
      <c r="B7" s="837"/>
      <c r="C7" s="837"/>
      <c r="D7" s="837"/>
      <c r="E7" s="837"/>
      <c r="F7" s="838"/>
      <c r="G7" s="278"/>
      <c r="H7" s="845">
        <v>8730000</v>
      </c>
      <c r="I7" s="846"/>
      <c r="J7" s="846"/>
      <c r="K7" s="846"/>
      <c r="L7" s="846"/>
      <c r="M7" s="846"/>
      <c r="N7" s="846"/>
      <c r="O7" s="847"/>
    </row>
    <row r="8" spans="1:15" x14ac:dyDescent="0.2">
      <c r="A8" s="280"/>
      <c r="B8" s="281">
        <v>2011</v>
      </c>
      <c r="C8" s="281">
        <v>2012</v>
      </c>
      <c r="D8" s="281">
        <v>2013</v>
      </c>
      <c r="E8" s="281">
        <v>2014</v>
      </c>
      <c r="F8" s="282" t="s">
        <v>83</v>
      </c>
      <c r="G8" s="278"/>
      <c r="H8" s="283"/>
      <c r="I8" s="284">
        <v>2015</v>
      </c>
      <c r="J8" s="284">
        <v>2016</v>
      </c>
      <c r="K8" s="284">
        <v>2017</v>
      </c>
      <c r="L8" s="284">
        <v>2018</v>
      </c>
      <c r="M8" s="284">
        <v>2019</v>
      </c>
      <c r="N8" s="284">
        <v>2020</v>
      </c>
      <c r="O8" s="285" t="s">
        <v>83</v>
      </c>
    </row>
    <row r="9" spans="1:15" x14ac:dyDescent="0.2">
      <c r="A9" s="286" t="s">
        <v>124</v>
      </c>
      <c r="B9" s="287">
        <f>B15/$F$19</f>
        <v>9.415158667715709E-2</v>
      </c>
      <c r="C9" s="250">
        <f>C15/$F$19</f>
        <v>9.415158667715709E-2</v>
      </c>
      <c r="D9" s="250">
        <f>D15/$F$19</f>
        <v>9.415158667715709E-2</v>
      </c>
      <c r="E9" s="288">
        <f>E15/$F$19</f>
        <v>8.7201678468397589E-2</v>
      </c>
      <c r="F9" s="289">
        <f>SUM(B9:E9)</f>
        <v>0.3696564384998689</v>
      </c>
      <c r="G9" s="278"/>
      <c r="H9" s="290" t="s">
        <v>140</v>
      </c>
      <c r="I9" s="291"/>
      <c r="J9" s="291"/>
      <c r="K9" s="291"/>
      <c r="L9" s="291"/>
      <c r="M9" s="291"/>
      <c r="N9" s="291"/>
      <c r="O9" s="292"/>
    </row>
    <row r="10" spans="1:15" ht="15" x14ac:dyDescent="0.25">
      <c r="A10" s="286" t="s">
        <v>123</v>
      </c>
      <c r="B10" s="293"/>
      <c r="C10" s="250">
        <f>C16/$F$19</f>
        <v>8.9824285339627594E-2</v>
      </c>
      <c r="D10" s="250">
        <f>D16/$F$19</f>
        <v>8.9824285339627594E-2</v>
      </c>
      <c r="E10" s="288">
        <f>E16/$F$19</f>
        <v>8.9168633621820093E-2</v>
      </c>
      <c r="F10" s="289">
        <f>SUM(B10:E10)</f>
        <v>0.26881720430107525</v>
      </c>
      <c r="G10" s="278"/>
      <c r="H10" s="479" t="s">
        <v>141</v>
      </c>
      <c r="I10" s="480">
        <f>I18/$O$24</f>
        <v>0.19710263459335625</v>
      </c>
      <c r="J10" s="480">
        <f t="shared" ref="J10:M14" si="0">J18/$O$24</f>
        <v>0.19265463917525774</v>
      </c>
      <c r="K10" s="480">
        <f t="shared" si="0"/>
        <v>0.19133264604810996</v>
      </c>
      <c r="L10" s="480">
        <f t="shared" si="0"/>
        <v>0.19122760595647192</v>
      </c>
      <c r="M10" s="480">
        <f t="shared" si="0"/>
        <v>0.18240813287514318</v>
      </c>
      <c r="N10" s="533">
        <f t="shared" ref="N10:N15" si="1">N18/$O$24</f>
        <v>0.1811028636884307</v>
      </c>
      <c r="O10" s="481">
        <f>SUM(I10:N10)</f>
        <v>1.1358285223367697</v>
      </c>
    </row>
    <row r="11" spans="1:15" ht="15" x14ac:dyDescent="0.25">
      <c r="A11" s="286" t="s">
        <v>122</v>
      </c>
      <c r="B11" s="293"/>
      <c r="C11" s="293"/>
      <c r="D11" s="250">
        <f>D17/$F$19</f>
        <v>7.7104642014162075E-2</v>
      </c>
      <c r="E11" s="288">
        <f>E17/$F$19</f>
        <v>7.7104642014162075E-2</v>
      </c>
      <c r="F11" s="289">
        <f>SUM(B11:E11)</f>
        <v>0.15420928402832415</v>
      </c>
      <c r="G11" s="278"/>
      <c r="H11" s="479" t="s">
        <v>142</v>
      </c>
      <c r="I11" s="482"/>
      <c r="J11" s="480">
        <f t="shared" si="0"/>
        <v>0.18001065292096219</v>
      </c>
      <c r="K11" s="480">
        <f t="shared" si="0"/>
        <v>0.17787949599083619</v>
      </c>
      <c r="L11" s="480">
        <f t="shared" si="0"/>
        <v>0.17787949599083619</v>
      </c>
      <c r="M11" s="480">
        <f t="shared" si="0"/>
        <v>0.17787949599083619</v>
      </c>
      <c r="N11" s="533">
        <f t="shared" si="1"/>
        <v>0.17743115693012601</v>
      </c>
      <c r="O11" s="481">
        <f>SUM(I11:N11)</f>
        <v>0.89108029782359677</v>
      </c>
    </row>
    <row r="12" spans="1:15" ht="15.75" thickBot="1" x14ac:dyDescent="0.3">
      <c r="A12" s="294" t="s">
        <v>121</v>
      </c>
      <c r="B12" s="295"/>
      <c r="C12" s="295"/>
      <c r="D12" s="295"/>
      <c r="E12" s="296">
        <f>E18/$F$19</f>
        <v>0.16417519013899817</v>
      </c>
      <c r="F12" s="297">
        <f>SUM(B12:E12)</f>
        <v>0.16417519013899817</v>
      </c>
      <c r="G12" s="278"/>
      <c r="H12" s="479" t="s">
        <v>143</v>
      </c>
      <c r="I12" s="482"/>
      <c r="J12" s="482"/>
      <c r="K12" s="480">
        <f t="shared" si="0"/>
        <v>0.16036649484536084</v>
      </c>
      <c r="L12" s="480">
        <f t="shared" si="0"/>
        <v>0.16036649484536084</v>
      </c>
      <c r="M12" s="480">
        <f t="shared" si="0"/>
        <v>0.16036649484536084</v>
      </c>
      <c r="N12" s="533">
        <f t="shared" si="1"/>
        <v>0.16036649484536084</v>
      </c>
      <c r="O12" s="481">
        <f>SUM(I12:N12)</f>
        <v>0.64146597938144334</v>
      </c>
    </row>
    <row r="13" spans="1:15" ht="15.75" thickTop="1" x14ac:dyDescent="0.25">
      <c r="A13" s="298" t="s">
        <v>120</v>
      </c>
      <c r="B13" s="299">
        <f>SUM(B9:B12)</f>
        <v>9.415158667715709E-2</v>
      </c>
      <c r="C13" s="299">
        <f>SUM(C9:C12)</f>
        <v>0.18397587201678467</v>
      </c>
      <c r="D13" s="299">
        <f>SUM(D9:D12)</f>
        <v>0.26108051403094673</v>
      </c>
      <c r="E13" s="300">
        <f>SUM(E9:E12)</f>
        <v>0.41765014424337793</v>
      </c>
      <c r="F13" s="301">
        <f>SUM(B13:E13)</f>
        <v>0.95685811696826639</v>
      </c>
      <c r="G13" s="278"/>
      <c r="H13" s="479" t="s">
        <v>144</v>
      </c>
      <c r="I13" s="482"/>
      <c r="J13" s="482"/>
      <c r="K13" s="483"/>
      <c r="L13" s="480">
        <f t="shared" si="0"/>
        <v>0.16036649484536084</v>
      </c>
      <c r="M13" s="480">
        <f t="shared" si="0"/>
        <v>0.16036649484536084</v>
      </c>
      <c r="N13" s="533">
        <f t="shared" si="1"/>
        <v>0.16036649484536084</v>
      </c>
      <c r="O13" s="481">
        <f>SUM(L13:N13)</f>
        <v>0.48109948453608253</v>
      </c>
    </row>
    <row r="14" spans="1:15" ht="15" x14ac:dyDescent="0.25">
      <c r="A14" s="839" t="s">
        <v>81</v>
      </c>
      <c r="B14" s="840"/>
      <c r="C14" s="840"/>
      <c r="D14" s="840"/>
      <c r="E14" s="840"/>
      <c r="F14" s="841"/>
      <c r="G14" s="278"/>
      <c r="H14" s="479" t="s">
        <v>145</v>
      </c>
      <c r="I14" s="482"/>
      <c r="J14" s="482"/>
      <c r="K14" s="483"/>
      <c r="L14" s="483"/>
      <c r="M14" s="480">
        <f t="shared" si="0"/>
        <v>0.16036649484536084</v>
      </c>
      <c r="N14" s="533">
        <f t="shared" si="1"/>
        <v>0.16036649484536084</v>
      </c>
      <c r="O14" s="481">
        <f>SUM(M14:N14)</f>
        <v>0.32073298969072167</v>
      </c>
    </row>
    <row r="15" spans="1:15" ht="15.75" thickBot="1" x14ac:dyDescent="0.3">
      <c r="A15" s="286" t="s">
        <v>124</v>
      </c>
      <c r="B15" s="490">
        <f>0.718*1000000</f>
        <v>718000</v>
      </c>
      <c r="C15" s="490">
        <f>0.718*1000000</f>
        <v>718000</v>
      </c>
      <c r="D15" s="490">
        <f>0.718*1000000</f>
        <v>718000</v>
      </c>
      <c r="E15" s="491">
        <f>0.665*1000000</f>
        <v>665000</v>
      </c>
      <c r="F15" s="476">
        <f>SUM(B15:E15)</f>
        <v>2819000</v>
      </c>
      <c r="G15" s="278"/>
      <c r="H15" s="484" t="s">
        <v>146</v>
      </c>
      <c r="I15" s="485"/>
      <c r="J15" s="485"/>
      <c r="K15" s="485"/>
      <c r="L15" s="485"/>
      <c r="M15" s="485"/>
      <c r="N15" s="533">
        <f t="shared" si="1"/>
        <v>0.16036649484536084</v>
      </c>
      <c r="O15" s="486">
        <f>SUM(I15:N15)</f>
        <v>0.16036649484536084</v>
      </c>
    </row>
    <row r="16" spans="1:15" ht="13.5" thickTop="1" x14ac:dyDescent="0.2">
      <c r="A16" s="286" t="s">
        <v>123</v>
      </c>
      <c r="B16" s="473">
        <f>0.009*1000000</f>
        <v>9000</v>
      </c>
      <c r="C16" s="492">
        <f>0.685*1000000</f>
        <v>685000</v>
      </c>
      <c r="D16" s="492">
        <f>0.685*1000000</f>
        <v>685000</v>
      </c>
      <c r="E16" s="493">
        <f>0.68*1000000</f>
        <v>680000</v>
      </c>
      <c r="F16" s="476">
        <f>SUM(B16:E16)</f>
        <v>2059000</v>
      </c>
      <c r="G16" s="278"/>
      <c r="H16" s="303" t="s">
        <v>120</v>
      </c>
      <c r="I16" s="304">
        <f>SUM(I10:I15)</f>
        <v>0.19710263459335625</v>
      </c>
      <c r="J16" s="304">
        <f>SUM(J10:J15)</f>
        <v>0.3726652920962199</v>
      </c>
      <c r="K16" s="304">
        <f>SUM(K10:K15)</f>
        <v>0.52957863688430695</v>
      </c>
      <c r="L16" s="304">
        <f>SUM(L10:L13)</f>
        <v>0.68984009163802973</v>
      </c>
      <c r="M16" s="304">
        <f>SUM(M10:M14)</f>
        <v>0.84138711340206185</v>
      </c>
      <c r="N16" s="534">
        <f>SUM(N10:N15)</f>
        <v>1</v>
      </c>
      <c r="O16" s="305">
        <f>SUM(I16:N16)</f>
        <v>3.6305737686139743</v>
      </c>
    </row>
    <row r="17" spans="1:17" x14ac:dyDescent="0.2">
      <c r="A17" s="286" t="s">
        <v>122</v>
      </c>
      <c r="B17" s="473">
        <v>0</v>
      </c>
      <c r="C17" s="473">
        <f>0.08*1000000</f>
        <v>80000</v>
      </c>
      <c r="D17" s="492">
        <f>0.588*1000000</f>
        <v>588000</v>
      </c>
      <c r="E17" s="493">
        <f>0.588*1000000</f>
        <v>588000</v>
      </c>
      <c r="F17" s="476">
        <f>SUM(B17:E17)</f>
        <v>1256000</v>
      </c>
      <c r="G17" s="278"/>
      <c r="H17" s="839" t="s">
        <v>81</v>
      </c>
      <c r="I17" s="840"/>
      <c r="J17" s="840"/>
      <c r="K17" s="840"/>
      <c r="L17" s="840"/>
      <c r="M17" s="840"/>
      <c r="N17" s="840"/>
      <c r="O17" s="841"/>
    </row>
    <row r="18" spans="1:17" ht="15.75" thickBot="1" x14ac:dyDescent="0.3">
      <c r="A18" s="294" t="s">
        <v>121</v>
      </c>
      <c r="B18" s="474">
        <v>0</v>
      </c>
      <c r="C18" s="474">
        <f>0.054*1000000</f>
        <v>54000</v>
      </c>
      <c r="D18" s="474">
        <f>0.186*1000000</f>
        <v>186000</v>
      </c>
      <c r="E18" s="475">
        <f>1.252*1000000</f>
        <v>1252000</v>
      </c>
      <c r="F18" s="477">
        <f>SUM(B18:E18)</f>
        <v>1492000</v>
      </c>
      <c r="G18" s="278"/>
      <c r="H18" s="479" t="str">
        <f t="shared" ref="H18:H23" si="2">H10</f>
        <v>2015 CDM Programs</v>
      </c>
      <c r="I18" s="487">
        <v>1720706</v>
      </c>
      <c r="J18" s="487">
        <v>1681875</v>
      </c>
      <c r="K18" s="487">
        <v>1670334</v>
      </c>
      <c r="L18" s="487">
        <v>1669417</v>
      </c>
      <c r="M18" s="487">
        <v>1592423</v>
      </c>
      <c r="N18" s="535">
        <v>1581028</v>
      </c>
      <c r="O18" s="302">
        <f t="shared" ref="O18:O23" si="3">SUM(N18)</f>
        <v>1581028</v>
      </c>
    </row>
    <row r="19" spans="1:17" ht="16.5" thickTop="1" thickBot="1" x14ac:dyDescent="0.3">
      <c r="A19" s="307" t="s">
        <v>120</v>
      </c>
      <c r="B19" s="308">
        <f>SUM(B15:B18)</f>
        <v>727000</v>
      </c>
      <c r="C19" s="308">
        <f>SUM(C15:C18)</f>
        <v>1537000</v>
      </c>
      <c r="D19" s="308">
        <f>SUM(D15:D18)</f>
        <v>2177000</v>
      </c>
      <c r="E19" s="309">
        <f>SUM(E15:E18)</f>
        <v>3185000</v>
      </c>
      <c r="F19" s="310">
        <f>SUM(F15:F18)</f>
        <v>7626000</v>
      </c>
      <c r="G19" s="278"/>
      <c r="H19" s="479" t="str">
        <f t="shared" si="2"/>
        <v>2016 CDM Programs</v>
      </c>
      <c r="I19" s="488"/>
      <c r="J19" s="487">
        <v>1571493</v>
      </c>
      <c r="K19" s="487">
        <v>1552888</v>
      </c>
      <c r="L19" s="487">
        <v>1552888</v>
      </c>
      <c r="M19" s="487">
        <v>1552888</v>
      </c>
      <c r="N19" s="536">
        <v>1548974</v>
      </c>
      <c r="O19" s="302">
        <f t="shared" si="3"/>
        <v>1548974</v>
      </c>
    </row>
    <row r="20" spans="1:17" ht="15" x14ac:dyDescent="0.25">
      <c r="A20" s="311"/>
      <c r="B20" s="312"/>
      <c r="C20" s="312"/>
      <c r="D20" s="312"/>
      <c r="E20" s="312"/>
      <c r="F20" s="312"/>
      <c r="G20" s="278"/>
      <c r="H20" s="479" t="str">
        <f t="shared" si="2"/>
        <v>2017 CDM Programs</v>
      </c>
      <c r="I20" s="488"/>
      <c r="J20" s="488"/>
      <c r="K20" s="487">
        <f>L20</f>
        <v>1399999.5</v>
      </c>
      <c r="L20" s="487">
        <f>M20</f>
        <v>1399999.5</v>
      </c>
      <c r="M20" s="487">
        <f>N20</f>
        <v>1399999.5</v>
      </c>
      <c r="N20" s="536">
        <f>1/4*(H7-(O18+O19))</f>
        <v>1399999.5</v>
      </c>
      <c r="O20" s="302">
        <f t="shared" si="3"/>
        <v>1399999.5</v>
      </c>
    </row>
    <row r="21" spans="1:17" ht="16.5" customHeight="1" x14ac:dyDescent="0.25">
      <c r="H21" s="479" t="str">
        <f t="shared" si="2"/>
        <v>2018 CDM Programs</v>
      </c>
      <c r="I21" s="488"/>
      <c r="J21" s="488"/>
      <c r="K21" s="488"/>
      <c r="L21" s="487">
        <f>M21</f>
        <v>1399999.5</v>
      </c>
      <c r="M21" s="487">
        <f>N21</f>
        <v>1399999.5</v>
      </c>
      <c r="N21" s="536">
        <f>1/3*(H7-(O19+O20+O18))</f>
        <v>1399999.5</v>
      </c>
      <c r="O21" s="302">
        <f t="shared" si="3"/>
        <v>1399999.5</v>
      </c>
    </row>
    <row r="22" spans="1:17" ht="16.5" customHeight="1" x14ac:dyDescent="0.25">
      <c r="H22" s="479" t="str">
        <f t="shared" si="2"/>
        <v>2019 CDM Programs</v>
      </c>
      <c r="I22" s="488"/>
      <c r="J22" s="488"/>
      <c r="K22" s="488"/>
      <c r="L22" s="488"/>
      <c r="M22" s="487">
        <f>L21</f>
        <v>1399999.5</v>
      </c>
      <c r="N22" s="536">
        <f>1/2*(H7-(O19+O20+O18+O21))</f>
        <v>1399999.5</v>
      </c>
      <c r="O22" s="302">
        <f t="shared" si="3"/>
        <v>1399999.5</v>
      </c>
    </row>
    <row r="23" spans="1:17" ht="15.75" thickBot="1" x14ac:dyDescent="0.3">
      <c r="A23" s="319"/>
      <c r="B23" s="320"/>
      <c r="C23" s="320"/>
      <c r="D23" s="320"/>
      <c r="E23" s="320"/>
      <c r="F23" s="320"/>
      <c r="H23" s="484" t="str">
        <f t="shared" si="2"/>
        <v>2020 CDM Programs</v>
      </c>
      <c r="I23" s="489"/>
      <c r="J23" s="489"/>
      <c r="K23" s="489"/>
      <c r="L23" s="489"/>
      <c r="M23" s="489"/>
      <c r="N23" s="536">
        <f>H7-(O19+O20+O18+O21+O22)</f>
        <v>1399999.5</v>
      </c>
      <c r="O23" s="306">
        <f t="shared" si="3"/>
        <v>1399999.5</v>
      </c>
    </row>
    <row r="24" spans="1:17" ht="14.25" thickTop="1" thickBot="1" x14ac:dyDescent="0.25">
      <c r="H24" s="307" t="s">
        <v>120</v>
      </c>
      <c r="I24" s="308">
        <f>SUM(I18:I23)</f>
        <v>1720706</v>
      </c>
      <c r="J24" s="308">
        <f>SUM(J18:J23)</f>
        <v>3253368</v>
      </c>
      <c r="K24" s="308">
        <f>SUM(K18:K23)</f>
        <v>4623221.5</v>
      </c>
      <c r="L24" s="308">
        <f>SUM(L18:L21)</f>
        <v>6022304</v>
      </c>
      <c r="M24" s="308">
        <f>SUM(M18:M22)</f>
        <v>7345309.5</v>
      </c>
      <c r="N24" s="309">
        <f>SUM(N18:N23)</f>
        <v>8730000</v>
      </c>
      <c r="O24" s="310">
        <f>H7</f>
        <v>8730000</v>
      </c>
    </row>
    <row r="27" spans="1:17" ht="13.5" thickBot="1" x14ac:dyDescent="0.25">
      <c r="G27" s="278"/>
      <c r="H27" s="844" t="s">
        <v>119</v>
      </c>
      <c r="I27" s="844"/>
      <c r="J27" s="844"/>
      <c r="K27" s="844"/>
      <c r="L27" s="844"/>
      <c r="M27" s="844"/>
      <c r="N27" s="844"/>
    </row>
    <row r="28" spans="1:17" x14ac:dyDescent="0.2">
      <c r="G28" s="279"/>
      <c r="H28" s="313"/>
      <c r="I28" s="314">
        <v>2011</v>
      </c>
      <c r="J28" s="314">
        <v>2012</v>
      </c>
      <c r="K28" s="314">
        <v>2013</v>
      </c>
      <c r="L28" s="314">
        <v>2014</v>
      </c>
      <c r="M28" s="314">
        <v>2015</v>
      </c>
      <c r="N28" s="314">
        <v>2016</v>
      </c>
      <c r="O28" s="314">
        <v>2017</v>
      </c>
      <c r="P28" s="314">
        <v>2018</v>
      </c>
      <c r="Q28" s="315"/>
    </row>
    <row r="29" spans="1:17" ht="51" x14ac:dyDescent="0.2">
      <c r="G29" s="278"/>
      <c r="H29" s="316" t="s">
        <v>118</v>
      </c>
      <c r="I29" s="494">
        <v>0</v>
      </c>
      <c r="J29" s="494">
        <v>0</v>
      </c>
      <c r="K29" s="494">
        <v>0</v>
      </c>
      <c r="L29" s="494">
        <v>0</v>
      </c>
      <c r="M29" s="494">
        <v>0.5</v>
      </c>
      <c r="N29" s="494">
        <v>0.5</v>
      </c>
      <c r="O29" s="494">
        <v>1</v>
      </c>
      <c r="P29" s="494">
        <v>0.5</v>
      </c>
      <c r="Q29" s="251" t="s">
        <v>147</v>
      </c>
    </row>
    <row r="30" spans="1:17" ht="26.25" thickBot="1" x14ac:dyDescent="0.25">
      <c r="G30" s="278"/>
      <c r="H30" s="317" t="s">
        <v>117</v>
      </c>
      <c r="I30" s="318"/>
      <c r="J30" s="318"/>
      <c r="K30" s="318"/>
      <c r="L30" s="318"/>
      <c r="M30" s="318"/>
      <c r="N30" s="318"/>
      <c r="O30" s="318"/>
      <c r="P30" s="318"/>
      <c r="Q30" s="249"/>
    </row>
    <row r="31" spans="1:17" x14ac:dyDescent="0.2">
      <c r="G31" s="278"/>
      <c r="H31" s="278"/>
    </row>
    <row r="32" spans="1:17" x14ac:dyDescent="0.2">
      <c r="G32" s="278"/>
      <c r="H32" s="278"/>
    </row>
    <row r="33" spans="1:17" ht="16.5" thickBot="1" x14ac:dyDescent="0.25">
      <c r="G33" s="278"/>
      <c r="H33" s="806" t="s">
        <v>148</v>
      </c>
      <c r="I33" s="805"/>
      <c r="J33" s="805"/>
      <c r="K33" s="805"/>
      <c r="L33" s="805"/>
      <c r="M33" s="805"/>
      <c r="N33" s="805"/>
      <c r="O33" s="805"/>
      <c r="P33" s="832"/>
    </row>
    <row r="34" spans="1:17" ht="15" customHeight="1" x14ac:dyDescent="0.2">
      <c r="G34" s="278"/>
      <c r="H34" s="463"/>
      <c r="I34" s="467">
        <v>2011</v>
      </c>
      <c r="J34" s="467">
        <v>2012</v>
      </c>
      <c r="K34" s="467">
        <v>2013</v>
      </c>
      <c r="L34" s="467">
        <v>2014</v>
      </c>
      <c r="M34" s="468">
        <v>2015</v>
      </c>
      <c r="N34" s="468">
        <v>2016</v>
      </c>
      <c r="O34" s="468">
        <v>2017</v>
      </c>
      <c r="P34" s="468">
        <v>2018</v>
      </c>
      <c r="Q34" s="478" t="s">
        <v>192</v>
      </c>
    </row>
    <row r="35" spans="1:17" x14ac:dyDescent="0.2">
      <c r="A35" s="211"/>
      <c r="B35" s="211"/>
      <c r="C35" s="212"/>
      <c r="D35" s="212"/>
      <c r="E35" s="212"/>
      <c r="F35" s="212"/>
      <c r="G35" s="250"/>
      <c r="H35" s="464"/>
      <c r="I35" s="469" t="s">
        <v>81</v>
      </c>
      <c r="J35" s="469"/>
      <c r="K35" s="469"/>
      <c r="L35" s="469"/>
      <c r="M35" s="469"/>
      <c r="N35" s="469"/>
      <c r="O35" s="469"/>
      <c r="P35" s="469"/>
      <c r="Q35" s="469"/>
    </row>
    <row r="36" spans="1:17" ht="38.25" x14ac:dyDescent="0.2">
      <c r="A36" s="211"/>
      <c r="B36" s="211"/>
      <c r="C36" s="212"/>
      <c r="D36" s="212"/>
      <c r="E36" s="212"/>
      <c r="F36" s="212"/>
      <c r="H36" s="465" t="s">
        <v>116</v>
      </c>
      <c r="I36" s="470">
        <v>0</v>
      </c>
      <c r="J36" s="470">
        <v>0</v>
      </c>
      <c r="K36" s="470"/>
      <c r="L36" s="470"/>
      <c r="M36" s="470"/>
      <c r="N36" s="470"/>
      <c r="O36" s="470"/>
      <c r="P36" s="470"/>
      <c r="Q36" s="470">
        <f>SUM(K36:P36)</f>
        <v>0</v>
      </c>
    </row>
    <row r="37" spans="1:17" x14ac:dyDescent="0.2">
      <c r="H37" s="465"/>
      <c r="I37" s="470"/>
      <c r="J37" s="470"/>
      <c r="K37" s="470"/>
      <c r="L37" s="470"/>
      <c r="M37" s="470"/>
      <c r="N37" s="470"/>
      <c r="O37" s="470"/>
      <c r="P37" s="470"/>
      <c r="Q37" s="470"/>
    </row>
    <row r="38" spans="1:17" ht="59.25" customHeight="1" x14ac:dyDescent="0.2">
      <c r="H38" s="466" t="s">
        <v>149</v>
      </c>
      <c r="I38" s="495">
        <v>0</v>
      </c>
      <c r="J38" s="470">
        <f>I38</f>
        <v>0</v>
      </c>
      <c r="K38" s="470">
        <f>I38</f>
        <v>0</v>
      </c>
      <c r="L38" s="470">
        <f>I38</f>
        <v>0</v>
      </c>
      <c r="M38" s="470"/>
      <c r="N38" s="470">
        <f>SUM(I38:L39)</f>
        <v>0</v>
      </c>
      <c r="O38" s="470"/>
      <c r="P38" s="470"/>
      <c r="Q38" s="470"/>
    </row>
    <row r="39" spans="1:17" x14ac:dyDescent="0.2">
      <c r="H39" s="321"/>
      <c r="I39" s="322"/>
      <c r="J39" s="322"/>
      <c r="K39" s="322"/>
      <c r="L39" s="322"/>
      <c r="M39" s="322"/>
      <c r="N39" s="322"/>
      <c r="O39" s="322"/>
      <c r="P39" s="322"/>
      <c r="Q39" s="323"/>
    </row>
    <row r="40" spans="1:17" ht="26.25" thickBot="1" x14ac:dyDescent="0.25">
      <c r="H40" s="865" t="s">
        <v>313</v>
      </c>
      <c r="I40" s="470"/>
      <c r="J40" s="470"/>
      <c r="K40" s="470"/>
      <c r="L40" s="470"/>
      <c r="M40" s="470">
        <f>I18</f>
        <v>1720706</v>
      </c>
      <c r="N40" s="470">
        <f>J19</f>
        <v>1571493</v>
      </c>
      <c r="O40" s="470">
        <f>K20</f>
        <v>1399999.5</v>
      </c>
      <c r="P40" s="470">
        <f>L21</f>
        <v>1399999.5</v>
      </c>
      <c r="Q40" s="470">
        <f>SUM(M40:P40)</f>
        <v>6092198</v>
      </c>
    </row>
    <row r="41" spans="1:17" ht="14.25" thickTop="1" thickBot="1" x14ac:dyDescent="0.25">
      <c r="H41" s="324"/>
      <c r="I41" s="325"/>
      <c r="J41" s="325"/>
      <c r="K41" s="325"/>
      <c r="L41" s="325"/>
      <c r="M41" s="325"/>
      <c r="N41" s="325"/>
      <c r="O41" s="325"/>
      <c r="P41" s="325"/>
      <c r="Q41" s="471"/>
    </row>
    <row r="42" spans="1:17" ht="39" thickTop="1" x14ac:dyDescent="0.2">
      <c r="H42" s="552" t="s">
        <v>221</v>
      </c>
      <c r="I42" s="472">
        <v>0</v>
      </c>
      <c r="J42" s="472"/>
      <c r="K42" s="472"/>
      <c r="L42" s="472"/>
      <c r="M42" s="472">
        <f>M40*M29</f>
        <v>860353</v>
      </c>
      <c r="N42" s="472">
        <f>N40*N29</f>
        <v>785746.5</v>
      </c>
      <c r="O42" s="472">
        <f>O40*O29</f>
        <v>1399999.5</v>
      </c>
      <c r="P42" s="472">
        <f>P40*P29</f>
        <v>699999.75</v>
      </c>
      <c r="Q42" s="470">
        <f>SUM(M42:P42)</f>
        <v>3746098.75</v>
      </c>
    </row>
    <row r="43" spans="1:17" x14ac:dyDescent="0.2">
      <c r="H43" s="321"/>
      <c r="I43" s="252"/>
      <c r="J43" s="252"/>
      <c r="K43" s="252"/>
      <c r="L43" s="252"/>
      <c r="M43" s="252"/>
      <c r="N43" s="252"/>
      <c r="O43" s="252"/>
      <c r="P43" s="252"/>
      <c r="Q43" s="253"/>
    </row>
    <row r="45" spans="1:17" x14ac:dyDescent="0.2">
      <c r="I45" s="277" t="s">
        <v>150</v>
      </c>
    </row>
    <row r="47" spans="1:17" x14ac:dyDescent="0.2">
      <c r="G47" s="210"/>
    </row>
    <row r="48" spans="1:17" x14ac:dyDescent="0.2">
      <c r="G48" s="210"/>
    </row>
    <row r="53" spans="13:14" x14ac:dyDescent="0.2">
      <c r="M53" s="254"/>
      <c r="N53" s="255"/>
    </row>
    <row r="65" spans="13:13" x14ac:dyDescent="0.2">
      <c r="M65" s="256"/>
    </row>
  </sheetData>
  <sheetProtection selectLockedCells="1" selectUnlockedCells="1"/>
  <mergeCells count="11">
    <mergeCell ref="H33:P33"/>
    <mergeCell ref="A3:O3"/>
    <mergeCell ref="A6:F6"/>
    <mergeCell ref="A7:F7"/>
    <mergeCell ref="A14:F14"/>
    <mergeCell ref="A5:F5"/>
    <mergeCell ref="H27:N27"/>
    <mergeCell ref="H7:O7"/>
    <mergeCell ref="H5:O5"/>
    <mergeCell ref="H6:O6"/>
    <mergeCell ref="H17:O17"/>
  </mergeCells>
  <dataValidations count="1">
    <dataValidation type="list" allowBlank="1" showInputMessage="1" showErrorMessage="1" sqref="I29:P29" xr:uid="{00000000-0002-0000-0800-000000000000}">
      <formula1>"0, 0.5, 1"</formula1>
    </dataValidation>
  </dataValidations>
  <pageMargins left="0.25" right="0.25" top="0.75" bottom="0.75" header="0.3" footer="0.3"/>
  <pageSetup scale="4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Input - Customer Data</vt:lpstr>
      <vt:lpstr>Input - Adjustments &amp; Variables</vt:lpstr>
      <vt:lpstr>Input</vt:lpstr>
      <vt:lpstr>Output</vt:lpstr>
      <vt:lpstr>Forecast</vt:lpstr>
      <vt:lpstr>DW</vt:lpstr>
      <vt:lpstr>Bridge&amp;Test Year Class Forecast</vt:lpstr>
      <vt:lpstr>Chpt2 Appendix 2-IB</vt:lpstr>
      <vt:lpstr>CDM Adjustment</vt:lpstr>
      <vt:lpstr>CDM Allocation</vt:lpstr>
      <vt:lpstr>Final LF </vt:lpstr>
      <vt:lpstr>Wholesale Analysis</vt:lpstr>
      <vt:lpstr>Analysis_Weather adj LF</vt:lpstr>
      <vt:lpstr>Analysis_Distr Revenues</vt:lpstr>
      <vt:lpstr>Wholesale Chart</vt:lpstr>
      <vt:lpstr>20 year</vt:lpstr>
      <vt:lpstr>dwL</vt:lpstr>
      <vt:lpstr>dwU</vt:lpstr>
      <vt:lpstr>keyflag</vt:lpstr>
      <vt:lpstr>DW!Print_Area</vt:lpstr>
      <vt:lpstr>Forecast!Print_Area</vt:lpstr>
      <vt:lpstr>Input!Print_Area</vt:lpstr>
      <vt:lpstr>Output!Print_Area</vt:lpstr>
      <vt:lpstr>Forecast!Print_Titles</vt:lpstr>
      <vt:lpstr>Input!Print_Titles</vt:lpstr>
      <vt:lpstr>Output!Print_Titles</vt:lpstr>
    </vt:vector>
  </TitlesOfParts>
  <Company>Business-Spreadsheets.com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Multiple Regression Analysis and Forecasting Model</dc:title>
  <dc:subject>Forecasting</dc:subject>
  <dc:creator>Business Spreadsheets</dc:creator>
  <cp:keywords>multiple, regression, analysis, forecasting</cp:keywords>
  <dc:description>The Multiple Regression Forecasting model provides a solid basis for identifying value drivers and forecasting data.  While it utilizes a range of commonly employed statistical measures to test the validity of the analysis, results are summarized in text for ease of use.  Once relationships have been identified, forecasting can be accomplished based on a range of available methodologies.  _x000d_
The intuitive step-by-step usage flow enables you to develop strong forecasts for your projects in a timely manner.</dc:description>
  <cp:lastModifiedBy>Manuela Ris-Schofield</cp:lastModifiedBy>
  <cp:lastPrinted>2017-03-11T04:06:09Z</cp:lastPrinted>
  <dcterms:created xsi:type="dcterms:W3CDTF">2001-05-23T22:53:47Z</dcterms:created>
  <dcterms:modified xsi:type="dcterms:W3CDTF">2017-11-09T17:17:03Z</dcterms:modified>
  <cp:category>Multiple Regression Forecasting</cp:category>
</cp:coreProperties>
</file>