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CWELL-FILE01\Data\Company Shared Folders\Hydro Year End\2017 Year End\Lisa\"/>
    </mc:Choice>
  </mc:AlternateContent>
  <bookViews>
    <workbookView xWindow="0" yWindow="0" windowWidth="28770" windowHeight="13620" activeTab="1"/>
  </bookViews>
  <sheets>
    <sheet name="Instructions" sheetId="2" r:id="rId1"/>
    <sheet name="GA Analysis 2016" sheetId="4" r:id="rId2"/>
    <sheet name="GA Analysis 2015" sheetId="5" r:id="rId3"/>
    <sheet name="GA Analysis 2014" sheetId="6" r:id="rId4"/>
  </sheets>
  <definedNames>
    <definedName name="GARate" localSheetId="3">#REF!</definedName>
    <definedName name="GARate" localSheetId="2">#REF!</definedName>
    <definedName name="GARate" localSheetId="1">#REF!</definedName>
    <definedName name="GARate">#REF!</definedName>
    <definedName name="_xlnm.Print_Area" localSheetId="3">'GA Analysis 2014'!$A$12:$K$113</definedName>
    <definedName name="_xlnm.Print_Area" localSheetId="2">'GA Analysis 2015'!$A$12:$K$114</definedName>
    <definedName name="_xlnm.Print_Area" localSheetId="1">'GA Analysis 2016'!$A$12:$K$110</definedName>
    <definedName name="_xlnm.Print_Area" localSheetId="0">Instructions!$A$11:$C$83</definedName>
  </definedNames>
  <calcPr calcId="162913"/>
  <fileRecoveryPr autoRecover="0"/>
</workbook>
</file>

<file path=xl/calcChain.xml><?xml version="1.0" encoding="utf-8"?>
<calcChain xmlns="http://schemas.openxmlformats.org/spreadsheetml/2006/main">
  <c r="X47" i="6" l="1"/>
  <c r="E92" i="4" l="1"/>
  <c r="E93" i="4"/>
  <c r="H93" i="4"/>
  <c r="H92" i="4"/>
  <c r="D93" i="4"/>
  <c r="D92" i="4"/>
  <c r="C93" i="4"/>
  <c r="C92" i="4"/>
  <c r="A77" i="6"/>
  <c r="A78" i="6" s="1"/>
  <c r="A79" i="6" s="1"/>
  <c r="A80" i="6" s="1"/>
  <c r="A81" i="6" s="1"/>
  <c r="A82" i="6" s="1"/>
  <c r="A83" i="6" s="1"/>
  <c r="A76" i="6"/>
  <c r="A81" i="4"/>
  <c r="A76" i="4"/>
  <c r="D76" i="4"/>
  <c r="D76" i="5"/>
  <c r="A84" i="5"/>
  <c r="A85" i="5"/>
  <c r="A81" i="5"/>
  <c r="A82" i="5" s="1"/>
  <c r="A83" i="5" s="1"/>
  <c r="A77" i="5"/>
  <c r="A78" i="5"/>
  <c r="A79" i="5" s="1"/>
  <c r="A80" i="5" s="1"/>
  <c r="A76" i="5"/>
  <c r="AB60" i="5"/>
  <c r="AA61" i="5"/>
  <c r="V61" i="5"/>
  <c r="U61" i="5"/>
  <c r="Z60" i="5"/>
  <c r="Y60" i="5"/>
  <c r="W60" i="5"/>
  <c r="V60" i="5"/>
  <c r="D81" i="4"/>
  <c r="AC60" i="5" l="1"/>
  <c r="AD60" i="5" s="1"/>
  <c r="D79" i="4"/>
  <c r="A77" i="4"/>
  <c r="A78" i="4" s="1"/>
  <c r="A79" i="4" s="1"/>
  <c r="A80" i="4" s="1"/>
  <c r="X50" i="6"/>
  <c r="X49" i="6"/>
  <c r="Z49" i="6" s="1"/>
  <c r="X48" i="6"/>
  <c r="X58" i="6" l="1"/>
  <c r="X57" i="6"/>
  <c r="X56" i="6"/>
  <c r="X55" i="6"/>
  <c r="X54" i="6"/>
  <c r="X53" i="6"/>
  <c r="X52" i="6"/>
  <c r="X51" i="6"/>
  <c r="D70" i="4" l="1"/>
  <c r="Z47" i="6" l="1"/>
  <c r="AB47" i="6" s="1"/>
  <c r="U47" i="5"/>
  <c r="AC47" i="6" l="1"/>
  <c r="Y47" i="5"/>
  <c r="U50" i="5"/>
  <c r="U49" i="5"/>
  <c r="U48" i="5"/>
  <c r="AC47" i="5"/>
  <c r="R58" i="4" l="1"/>
  <c r="T58" i="4" s="1"/>
  <c r="V58" i="4" s="1"/>
  <c r="R49" i="4"/>
  <c r="X58" i="4"/>
  <c r="X57" i="4"/>
  <c r="X56" i="4"/>
  <c r="X55" i="4"/>
  <c r="X54" i="4"/>
  <c r="X53" i="4"/>
  <c r="X52" i="4"/>
  <c r="X51" i="4"/>
  <c r="X50" i="4"/>
  <c r="X49" i="4"/>
  <c r="X48" i="4"/>
  <c r="X47" i="4"/>
  <c r="D75" i="4"/>
  <c r="W58" i="4" l="1"/>
  <c r="R57" i="4"/>
  <c r="R56" i="4"/>
  <c r="T56" i="4" s="1"/>
  <c r="V56" i="4" s="1"/>
  <c r="R55" i="4"/>
  <c r="T55" i="4" s="1"/>
  <c r="V55" i="4" s="1"/>
  <c r="R54" i="4"/>
  <c r="T54" i="4" s="1"/>
  <c r="V54" i="4" s="1"/>
  <c r="R53" i="4"/>
  <c r="R52" i="4"/>
  <c r="T52" i="4" s="1"/>
  <c r="V52" i="4" s="1"/>
  <c r="R51" i="4"/>
  <c r="T51" i="4" s="1"/>
  <c r="V51" i="4" s="1"/>
  <c r="R50" i="4"/>
  <c r="T50" i="4" s="1"/>
  <c r="V50" i="4" s="1"/>
  <c r="R48" i="4"/>
  <c r="T48" i="4" s="1"/>
  <c r="V48" i="4" s="1"/>
  <c r="R47" i="4"/>
  <c r="X59" i="4"/>
  <c r="S59" i="4"/>
  <c r="T57" i="4"/>
  <c r="V57" i="4" s="1"/>
  <c r="T53" i="4"/>
  <c r="V53" i="4" s="1"/>
  <c r="T49" i="4"/>
  <c r="V49" i="4" s="1"/>
  <c r="R59" i="4" l="1"/>
  <c r="T47" i="4"/>
  <c r="V47" i="4" s="1"/>
  <c r="W52" i="4"/>
  <c r="Y52" i="4" s="1"/>
  <c r="W53" i="4"/>
  <c r="W56" i="4"/>
  <c r="Y56" i="4" s="1"/>
  <c r="W49" i="4"/>
  <c r="Y49" i="4" s="1"/>
  <c r="W57" i="4"/>
  <c r="Y57" i="4" s="1"/>
  <c r="W48" i="4"/>
  <c r="Y48" i="4" s="1"/>
  <c r="W47" i="4"/>
  <c r="W50" i="4"/>
  <c r="Y50" i="4" s="1"/>
  <c r="W54" i="4"/>
  <c r="Y54" i="4" s="1"/>
  <c r="W51" i="4"/>
  <c r="Y51" i="4" s="1"/>
  <c r="W55" i="4"/>
  <c r="Y55" i="4" s="1"/>
  <c r="T59" i="4"/>
  <c r="Y58" i="4"/>
  <c r="Y53" i="4"/>
  <c r="D83" i="6"/>
  <c r="D81" i="6"/>
  <c r="J71" i="5"/>
  <c r="D80" i="5"/>
  <c r="V59" i="4" l="1"/>
  <c r="D81" i="5"/>
  <c r="C51" i="5"/>
  <c r="E50" i="5" s="1"/>
  <c r="C50" i="5"/>
  <c r="E49" i="5" s="1"/>
  <c r="AA47" i="5"/>
  <c r="U58" i="5"/>
  <c r="W58" i="5" s="1"/>
  <c r="Y58" i="5" s="1"/>
  <c r="Z58" i="5" s="1"/>
  <c r="U57" i="5"/>
  <c r="U56" i="5"/>
  <c r="U55" i="5"/>
  <c r="U54" i="5"/>
  <c r="U53" i="5"/>
  <c r="U52" i="5"/>
  <c r="U51" i="5"/>
  <c r="AA58" i="5"/>
  <c r="AA57" i="5"/>
  <c r="AA56" i="5"/>
  <c r="AA55" i="5"/>
  <c r="AA54" i="5"/>
  <c r="AA53" i="5"/>
  <c r="AA52" i="5"/>
  <c r="AA51" i="5"/>
  <c r="AA50" i="5"/>
  <c r="AA49" i="5"/>
  <c r="AA48" i="5"/>
  <c r="D79" i="6"/>
  <c r="V59" i="5"/>
  <c r="W57" i="5"/>
  <c r="Y57" i="5" s="1"/>
  <c r="W56" i="5"/>
  <c r="Y56" i="5" s="1"/>
  <c r="W55" i="5"/>
  <c r="Y55" i="5" s="1"/>
  <c r="W54" i="5"/>
  <c r="Y54" i="5" s="1"/>
  <c r="W53" i="5"/>
  <c r="Y53" i="5" s="1"/>
  <c r="W52" i="5"/>
  <c r="Y52" i="5" s="1"/>
  <c r="W51" i="5"/>
  <c r="Y51" i="5" s="1"/>
  <c r="W50" i="5"/>
  <c r="Y50" i="5" s="1"/>
  <c r="W49" i="5"/>
  <c r="Y49" i="5" s="1"/>
  <c r="W48" i="5"/>
  <c r="Y48" i="5" s="1"/>
  <c r="W47" i="5"/>
  <c r="Z50" i="5" l="1"/>
  <c r="Z54" i="5"/>
  <c r="AB54" i="5" s="1"/>
  <c r="Z51" i="5"/>
  <c r="Z55" i="5"/>
  <c r="W59" i="4"/>
  <c r="Y47" i="4"/>
  <c r="Y59" i="4" s="1"/>
  <c r="D50" i="5"/>
  <c r="AA59" i="5"/>
  <c r="U59" i="5"/>
  <c r="Z47" i="5"/>
  <c r="AB47" i="5" s="1"/>
  <c r="Z57" i="5"/>
  <c r="AB57" i="5" s="1"/>
  <c r="Z53" i="5"/>
  <c r="AB53" i="5" s="1"/>
  <c r="Z49" i="5"/>
  <c r="AB49" i="5" s="1"/>
  <c r="Z56" i="5"/>
  <c r="AB56" i="5" s="1"/>
  <c r="Z52" i="5"/>
  <c r="AB52" i="5" s="1"/>
  <c r="Z48" i="5"/>
  <c r="AB58" i="5"/>
  <c r="W59" i="5"/>
  <c r="W61" i="5" s="1"/>
  <c r="AB51" i="5"/>
  <c r="AB50" i="5"/>
  <c r="AB48" i="5"/>
  <c r="AB55" i="5"/>
  <c r="D80" i="6"/>
  <c r="AD58" i="6"/>
  <c r="AD57" i="6"/>
  <c r="AD56" i="6"/>
  <c r="AD55" i="6"/>
  <c r="AD54" i="6"/>
  <c r="AD53" i="6"/>
  <c r="AD52" i="6"/>
  <c r="AD51" i="6"/>
  <c r="AD50" i="6"/>
  <c r="AD49" i="6"/>
  <c r="AD48" i="6"/>
  <c r="AD47" i="6"/>
  <c r="AE47" i="6" s="1"/>
  <c r="AB59" i="5" l="1"/>
  <c r="AB61" i="5" s="1"/>
  <c r="Y59" i="5"/>
  <c r="Y61" i="5" s="1"/>
  <c r="AD59" i="6"/>
  <c r="D68" i="6"/>
  <c r="Z59" i="5" l="1"/>
  <c r="Z61" i="5" s="1"/>
  <c r="Y59" i="6"/>
  <c r="Z58" i="6"/>
  <c r="AB58" i="6" s="1"/>
  <c r="Z57" i="6"/>
  <c r="AB57" i="6" s="1"/>
  <c r="Z56" i="6"/>
  <c r="AB56" i="6" s="1"/>
  <c r="Z55" i="6"/>
  <c r="AB55" i="6" s="1"/>
  <c r="Z54" i="6"/>
  <c r="AB54" i="6" s="1"/>
  <c r="Z53" i="6"/>
  <c r="AB53" i="6" s="1"/>
  <c r="Z52" i="6"/>
  <c r="AB52" i="6" s="1"/>
  <c r="Z51" i="6"/>
  <c r="AB51" i="6" s="1"/>
  <c r="Z50" i="6"/>
  <c r="AB50" i="6" s="1"/>
  <c r="AB49" i="6"/>
  <c r="Z48" i="6"/>
  <c r="AC52" i="6" l="1"/>
  <c r="AE52" i="6" s="1"/>
  <c r="AC53" i="6"/>
  <c r="AC55" i="6"/>
  <c r="AE55" i="6" s="1"/>
  <c r="AC58" i="6"/>
  <c r="AE58" i="6" s="1"/>
  <c r="X59" i="6"/>
  <c r="AB48" i="6"/>
  <c r="AC48" i="6" s="1"/>
  <c r="Z59" i="6"/>
  <c r="AC56" i="6"/>
  <c r="AE56" i="6" s="1"/>
  <c r="AC49" i="6"/>
  <c r="AE49" i="6" s="1"/>
  <c r="AE53" i="6"/>
  <c r="AC57" i="6"/>
  <c r="AE57" i="6" s="1"/>
  <c r="AC51" i="6"/>
  <c r="AE51" i="6" s="1"/>
  <c r="AC54" i="6"/>
  <c r="AE54" i="6" s="1"/>
  <c r="AC50" i="6"/>
  <c r="AE50" i="6" s="1"/>
  <c r="AB59" i="6" l="1"/>
  <c r="AE48" i="6"/>
  <c r="AE59" i="6" s="1"/>
  <c r="AC59" i="6" l="1"/>
  <c r="D75" i="5"/>
  <c r="D75" i="6" l="1"/>
  <c r="D70" i="6" l="1"/>
  <c r="E91" i="4" s="1"/>
  <c r="G91" i="4" s="1"/>
  <c r="I47" i="6" l="1"/>
  <c r="G47" i="6"/>
  <c r="D26" i="6" l="1"/>
  <c r="D24" i="6" s="1"/>
  <c r="D65" i="6"/>
  <c r="D91" i="4" s="1"/>
  <c r="I48" i="6"/>
  <c r="I49" i="6"/>
  <c r="I50" i="6"/>
  <c r="I51" i="6"/>
  <c r="I52" i="6"/>
  <c r="I53" i="6"/>
  <c r="I54" i="6"/>
  <c r="I55" i="6"/>
  <c r="I56" i="6"/>
  <c r="I57" i="6"/>
  <c r="I58" i="6"/>
  <c r="G48" i="6"/>
  <c r="G49" i="6"/>
  <c r="G50" i="6"/>
  <c r="G51" i="6"/>
  <c r="G52" i="6"/>
  <c r="G53" i="6"/>
  <c r="G54" i="6"/>
  <c r="G55" i="6"/>
  <c r="G56" i="6"/>
  <c r="G57" i="6"/>
  <c r="G58" i="6"/>
  <c r="E61" i="6"/>
  <c r="D47" i="6"/>
  <c r="F61" i="6" l="1"/>
  <c r="C61" i="6" l="1"/>
  <c r="C58" i="6"/>
  <c r="C57" i="6"/>
  <c r="C56" i="6"/>
  <c r="C55" i="6"/>
  <c r="C54" i="6"/>
  <c r="C53" i="6"/>
  <c r="C52" i="6"/>
  <c r="C51" i="6"/>
  <c r="C50" i="6"/>
  <c r="C49" i="6"/>
  <c r="C48" i="6"/>
  <c r="D48" i="6" s="1"/>
  <c r="C47" i="6"/>
  <c r="H98" i="6" l="1"/>
  <c r="F98" i="6"/>
  <c r="E98" i="6"/>
  <c r="D97" i="6"/>
  <c r="C97" i="6"/>
  <c r="G97" i="6"/>
  <c r="I97" i="6" s="1"/>
  <c r="G96" i="6"/>
  <c r="I96" i="6" s="1"/>
  <c r="G95" i="6"/>
  <c r="I95" i="6" s="1"/>
  <c r="G94" i="6"/>
  <c r="D58" i="6"/>
  <c r="E57" i="6"/>
  <c r="D57" i="6"/>
  <c r="E56" i="6"/>
  <c r="D56" i="6"/>
  <c r="D54" i="6"/>
  <c r="E53" i="6"/>
  <c r="D53" i="6"/>
  <c r="E52" i="6"/>
  <c r="D52" i="6"/>
  <c r="D50" i="6"/>
  <c r="E49" i="6"/>
  <c r="D49" i="6"/>
  <c r="E48" i="6"/>
  <c r="C59" i="6"/>
  <c r="D61" i="6" s="1"/>
  <c r="D22" i="6"/>
  <c r="F26" i="6" s="1"/>
  <c r="I58" i="5"/>
  <c r="D65" i="5"/>
  <c r="I48" i="5"/>
  <c r="I49" i="5"/>
  <c r="I50" i="5"/>
  <c r="I51" i="5"/>
  <c r="I52" i="5"/>
  <c r="I53" i="5"/>
  <c r="I54" i="5"/>
  <c r="I55" i="5"/>
  <c r="I56" i="5"/>
  <c r="I57" i="5"/>
  <c r="I47" i="5"/>
  <c r="G48" i="5"/>
  <c r="G49" i="5"/>
  <c r="G50" i="5"/>
  <c r="G51" i="5"/>
  <c r="G52" i="5"/>
  <c r="G53" i="5"/>
  <c r="G54" i="5"/>
  <c r="G55" i="5"/>
  <c r="G56" i="5"/>
  <c r="G57" i="5"/>
  <c r="G58" i="5"/>
  <c r="G47" i="5"/>
  <c r="D47" i="5"/>
  <c r="E58" i="6" s="1"/>
  <c r="F58" i="6" l="1"/>
  <c r="AF58" i="6" s="1"/>
  <c r="G98" i="6"/>
  <c r="F24" i="6"/>
  <c r="F25" i="6"/>
  <c r="F52" i="6"/>
  <c r="F48" i="6"/>
  <c r="F57" i="6"/>
  <c r="F49" i="6"/>
  <c r="F53" i="6"/>
  <c r="F56" i="6"/>
  <c r="I94" i="6"/>
  <c r="F23" i="6"/>
  <c r="E47" i="6"/>
  <c r="F47" i="6" s="1"/>
  <c r="E51" i="6"/>
  <c r="E55" i="6"/>
  <c r="E50" i="6"/>
  <c r="F50" i="6" s="1"/>
  <c r="AF50" i="6" s="1"/>
  <c r="D51" i="6"/>
  <c r="E54" i="6"/>
  <c r="F54" i="6" s="1"/>
  <c r="AF54" i="6" s="1"/>
  <c r="D55" i="6"/>
  <c r="AF56" i="6" l="1"/>
  <c r="AG56" i="6" s="1"/>
  <c r="AF47" i="6"/>
  <c r="AG47" i="6" s="1"/>
  <c r="AF53" i="6"/>
  <c r="AG53" i="6" s="1"/>
  <c r="AF52" i="6"/>
  <c r="AG52" i="6" s="1"/>
  <c r="AF49" i="6"/>
  <c r="AG49" i="6" s="1"/>
  <c r="AF57" i="6"/>
  <c r="AG57" i="6" s="1"/>
  <c r="AF48" i="6"/>
  <c r="AG48" i="6" s="1"/>
  <c r="J58" i="6"/>
  <c r="H58" i="6"/>
  <c r="J47" i="6"/>
  <c r="AG50" i="6"/>
  <c r="AG54" i="6"/>
  <c r="AG58" i="6"/>
  <c r="H48" i="6"/>
  <c r="J49" i="6"/>
  <c r="J57" i="6"/>
  <c r="H56" i="6"/>
  <c r="H53" i="6"/>
  <c r="J52" i="6"/>
  <c r="H52" i="6"/>
  <c r="J48" i="6"/>
  <c r="H57" i="6"/>
  <c r="J56" i="6"/>
  <c r="H49" i="6"/>
  <c r="J53" i="6"/>
  <c r="D59" i="6"/>
  <c r="F51" i="6"/>
  <c r="H54" i="6"/>
  <c r="J54" i="6"/>
  <c r="J50" i="6"/>
  <c r="H50" i="6"/>
  <c r="E59" i="6"/>
  <c r="F55" i="6"/>
  <c r="AF55" i="6" s="1"/>
  <c r="H47" i="6"/>
  <c r="AF51" i="6" l="1"/>
  <c r="AG51" i="6" s="1"/>
  <c r="K58" i="6"/>
  <c r="H55" i="6"/>
  <c r="AG55" i="6"/>
  <c r="K49" i="6"/>
  <c r="K53" i="6"/>
  <c r="K57" i="6"/>
  <c r="K48" i="6"/>
  <c r="J51" i="6"/>
  <c r="K56" i="6"/>
  <c r="K52" i="6"/>
  <c r="F59" i="6"/>
  <c r="H51" i="6"/>
  <c r="K50" i="6"/>
  <c r="J55" i="6"/>
  <c r="K47" i="6"/>
  <c r="K54" i="6"/>
  <c r="AG59" i="6" l="1"/>
  <c r="D76" i="6" s="1"/>
  <c r="D84" i="6" s="1"/>
  <c r="K51" i="6"/>
  <c r="J59" i="6"/>
  <c r="H91" i="4" s="1"/>
  <c r="AF59" i="6"/>
  <c r="H59" i="6"/>
  <c r="K55" i="6"/>
  <c r="K59" i="6" l="1"/>
  <c r="D85" i="6" l="1"/>
  <c r="D86" i="6" s="1"/>
  <c r="D87" i="6" s="1"/>
  <c r="E88" i="6" s="1"/>
  <c r="C91" i="4"/>
  <c r="C61" i="5"/>
  <c r="C58" i="5"/>
  <c r="D58" i="5" s="1"/>
  <c r="C57" i="5"/>
  <c r="C56" i="5"/>
  <c r="C55" i="5"/>
  <c r="C54" i="5"/>
  <c r="C53" i="5"/>
  <c r="C52" i="5"/>
  <c r="C49" i="5"/>
  <c r="C48" i="5"/>
  <c r="C47" i="5"/>
  <c r="E47" i="5" l="1"/>
  <c r="D48" i="5"/>
  <c r="F47" i="5"/>
  <c r="D49" i="5"/>
  <c r="D54" i="5"/>
  <c r="D26" i="5"/>
  <c r="H99" i="5"/>
  <c r="F99" i="5"/>
  <c r="E99" i="5"/>
  <c r="D99" i="5"/>
  <c r="C99" i="5"/>
  <c r="G98" i="5"/>
  <c r="I98" i="5" s="1"/>
  <c r="G97" i="5"/>
  <c r="I97" i="5" s="1"/>
  <c r="G96" i="5"/>
  <c r="I96" i="5" s="1"/>
  <c r="G95" i="5"/>
  <c r="I95" i="5" s="1"/>
  <c r="E57" i="5"/>
  <c r="D57" i="5"/>
  <c r="D56" i="5"/>
  <c r="E53" i="5"/>
  <c r="D53" i="5"/>
  <c r="D52" i="5"/>
  <c r="D26" i="4"/>
  <c r="J47" i="5" l="1"/>
  <c r="H47" i="5"/>
  <c r="AD47" i="5"/>
  <c r="F49" i="5"/>
  <c r="AC49" i="5" s="1"/>
  <c r="F50" i="5"/>
  <c r="D51" i="5"/>
  <c r="F53" i="5"/>
  <c r="E54" i="5"/>
  <c r="F54" i="5" s="1"/>
  <c r="D55" i="5"/>
  <c r="F57" i="5"/>
  <c r="C59" i="5"/>
  <c r="D61" i="5" s="1"/>
  <c r="E51" i="5"/>
  <c r="E55" i="5"/>
  <c r="G99" i="5"/>
  <c r="D24" i="5"/>
  <c r="E48" i="5"/>
  <c r="F48" i="5" s="1"/>
  <c r="E52" i="5"/>
  <c r="F52" i="5" s="1"/>
  <c r="E56" i="5"/>
  <c r="F56" i="5" s="1"/>
  <c r="AC54" i="5" l="1"/>
  <c r="AD54" i="5" s="1"/>
  <c r="AC48" i="5"/>
  <c r="AD48" i="5" s="1"/>
  <c r="AC53" i="5"/>
  <c r="AD53" i="5" s="1"/>
  <c r="AC57" i="5"/>
  <c r="AD57" i="5" s="1"/>
  <c r="AC56" i="5"/>
  <c r="AD56" i="5" s="1"/>
  <c r="AC52" i="5"/>
  <c r="AD52" i="5" s="1"/>
  <c r="AC50" i="5"/>
  <c r="AD50" i="5" s="1"/>
  <c r="K47" i="5"/>
  <c r="AD49" i="5"/>
  <c r="H49" i="5"/>
  <c r="D59" i="5"/>
  <c r="F55" i="5"/>
  <c r="AC55" i="5" s="1"/>
  <c r="H56" i="5"/>
  <c r="J56" i="5"/>
  <c r="J50" i="5"/>
  <c r="H50" i="5"/>
  <c r="H53" i="5"/>
  <c r="J53" i="5"/>
  <c r="H52" i="5"/>
  <c r="J52" i="5"/>
  <c r="J54" i="5"/>
  <c r="H54" i="5"/>
  <c r="H57" i="5"/>
  <c r="J57" i="5"/>
  <c r="H48" i="5"/>
  <c r="J48" i="5"/>
  <c r="F51" i="5"/>
  <c r="D22" i="5"/>
  <c r="F24" i="5" s="1"/>
  <c r="J49" i="5"/>
  <c r="AC51" i="5" l="1"/>
  <c r="AD51" i="5" s="1"/>
  <c r="J55" i="5"/>
  <c r="AD55" i="5"/>
  <c r="K57" i="5"/>
  <c r="H55" i="5"/>
  <c r="K55" i="5" s="1"/>
  <c r="K52" i="5"/>
  <c r="K56" i="5"/>
  <c r="K53" i="5"/>
  <c r="K49" i="5"/>
  <c r="K48" i="5"/>
  <c r="F25" i="5"/>
  <c r="F26" i="5"/>
  <c r="F23" i="5"/>
  <c r="J51" i="5"/>
  <c r="H51" i="5"/>
  <c r="K50" i="5"/>
  <c r="K54" i="5"/>
  <c r="K51" i="5" l="1"/>
  <c r="I48" i="4" l="1"/>
  <c r="I49" i="4"/>
  <c r="I50" i="4"/>
  <c r="I51" i="4"/>
  <c r="I52" i="4"/>
  <c r="I53" i="4"/>
  <c r="I54" i="4"/>
  <c r="I55" i="4"/>
  <c r="I56" i="4"/>
  <c r="I57" i="4"/>
  <c r="I58" i="4"/>
  <c r="I47" i="4"/>
  <c r="G48" i="4"/>
  <c r="G49" i="4"/>
  <c r="G50" i="4"/>
  <c r="G51" i="4"/>
  <c r="G52" i="4"/>
  <c r="G53" i="4"/>
  <c r="G54" i="4"/>
  <c r="G55" i="4"/>
  <c r="G56" i="4"/>
  <c r="G57" i="4"/>
  <c r="G58" i="4"/>
  <c r="G47" i="4"/>
  <c r="E58" i="4"/>
  <c r="D47" i="4"/>
  <c r="E58" i="5" s="1"/>
  <c r="C58" i="4"/>
  <c r="E57" i="4" s="1"/>
  <c r="C57" i="4"/>
  <c r="D57" i="4" s="1"/>
  <c r="C56" i="4"/>
  <c r="E55" i="4" s="1"/>
  <c r="C55" i="4"/>
  <c r="E54" i="4" s="1"/>
  <c r="C54" i="4"/>
  <c r="E53" i="4" s="1"/>
  <c r="C53" i="4"/>
  <c r="D53" i="4" s="1"/>
  <c r="C52" i="4"/>
  <c r="E51" i="4" s="1"/>
  <c r="C51" i="4"/>
  <c r="E50" i="4" s="1"/>
  <c r="C50" i="4"/>
  <c r="E49" i="4" s="1"/>
  <c r="C49" i="4"/>
  <c r="D49" i="4" s="1"/>
  <c r="C48" i="4"/>
  <c r="E47" i="4" s="1"/>
  <c r="C47" i="4"/>
  <c r="D23" i="4"/>
  <c r="D52" i="4" l="1"/>
  <c r="D56" i="4"/>
  <c r="D54" i="4"/>
  <c r="D50" i="4"/>
  <c r="D58" i="4"/>
  <c r="F58" i="4" s="1"/>
  <c r="Z58" i="4" s="1"/>
  <c r="AA58" i="4" s="1"/>
  <c r="F47" i="4"/>
  <c r="E56" i="4"/>
  <c r="F56" i="4" s="1"/>
  <c r="E52" i="4"/>
  <c r="E48" i="4"/>
  <c r="D51" i="4"/>
  <c r="F51" i="4" s="1"/>
  <c r="Z51" i="4" s="1"/>
  <c r="AA51" i="4" s="1"/>
  <c r="D55" i="4"/>
  <c r="D48" i="4"/>
  <c r="F58" i="5"/>
  <c r="AC58" i="5" s="1"/>
  <c r="E59" i="5"/>
  <c r="F53" i="4"/>
  <c r="Z53" i="4" s="1"/>
  <c r="AA53" i="4" s="1"/>
  <c r="F54" i="4"/>
  <c r="F57" i="4"/>
  <c r="J47" i="4"/>
  <c r="G94" i="4"/>
  <c r="I94" i="4" s="1"/>
  <c r="G93" i="4"/>
  <c r="I93" i="4" s="1"/>
  <c r="G92" i="4"/>
  <c r="I92" i="4" s="1"/>
  <c r="D95" i="4"/>
  <c r="F95" i="4"/>
  <c r="C59" i="4"/>
  <c r="F48" i="4" l="1"/>
  <c r="Z48" i="4" s="1"/>
  <c r="AA48" i="4" s="1"/>
  <c r="F52" i="4"/>
  <c r="Z57" i="4"/>
  <c r="AA57" i="4" s="1"/>
  <c r="H57" i="4"/>
  <c r="J52" i="4"/>
  <c r="Z52" i="4"/>
  <c r="AA52" i="4" s="1"/>
  <c r="H54" i="4"/>
  <c r="Z54" i="4"/>
  <c r="AA54" i="4" s="1"/>
  <c r="J56" i="4"/>
  <c r="Z56" i="4"/>
  <c r="AA56" i="4" s="1"/>
  <c r="H47" i="4"/>
  <c r="Z47" i="4"/>
  <c r="J58" i="5"/>
  <c r="H58" i="5"/>
  <c r="H59" i="5" s="1"/>
  <c r="F59" i="5"/>
  <c r="J51" i="4"/>
  <c r="E59" i="4"/>
  <c r="F55" i="4"/>
  <c r="D59" i="4"/>
  <c r="H58" i="4"/>
  <c r="F50" i="4"/>
  <c r="F49" i="4"/>
  <c r="J48" i="4"/>
  <c r="J54" i="4"/>
  <c r="K54" i="4" s="1"/>
  <c r="J57" i="4"/>
  <c r="H53" i="4"/>
  <c r="J58" i="4"/>
  <c r="J53" i="4"/>
  <c r="H52" i="4"/>
  <c r="K52" i="4" s="1"/>
  <c r="H56" i="4"/>
  <c r="K56" i="4" s="1"/>
  <c r="H51" i="4"/>
  <c r="AA47" i="4" l="1"/>
  <c r="H49" i="4"/>
  <c r="Z49" i="4"/>
  <c r="AA49" i="4" s="1"/>
  <c r="J55" i="4"/>
  <c r="Z55" i="4"/>
  <c r="AA55" i="4" s="1"/>
  <c r="H55" i="4"/>
  <c r="H50" i="4"/>
  <c r="Z50" i="4"/>
  <c r="AA50" i="4" s="1"/>
  <c r="AD58" i="5"/>
  <c r="AD59" i="5" s="1"/>
  <c r="AC59" i="5"/>
  <c r="AC61" i="5" s="1"/>
  <c r="K58" i="5"/>
  <c r="K59" i="5" s="1"/>
  <c r="D87" i="5" s="1"/>
  <c r="J59" i="5"/>
  <c r="K51" i="4"/>
  <c r="J50" i="4"/>
  <c r="K58" i="4"/>
  <c r="J49" i="4"/>
  <c r="K53" i="4"/>
  <c r="F59" i="4"/>
  <c r="D24" i="4" s="1"/>
  <c r="H48" i="4"/>
  <c r="K48" i="4" s="1"/>
  <c r="K57" i="4"/>
  <c r="K47" i="4"/>
  <c r="AD61" i="5" l="1"/>
  <c r="D77" i="5" s="1"/>
  <c r="D86" i="5" s="1"/>
  <c r="D88" i="5" s="1"/>
  <c r="K49" i="4"/>
  <c r="K50" i="4"/>
  <c r="K55" i="4"/>
  <c r="Z59" i="4"/>
  <c r="AA59" i="4"/>
  <c r="D22" i="4"/>
  <c r="J59" i="4"/>
  <c r="H59" i="4"/>
  <c r="C95" i="4"/>
  <c r="K59" i="4" l="1"/>
  <c r="D83" i="4" s="1"/>
  <c r="F23" i="4"/>
  <c r="F26" i="4"/>
  <c r="F24" i="4"/>
  <c r="F25" i="4"/>
  <c r="H95" i="4"/>
  <c r="D82" i="4" l="1"/>
  <c r="D84" i="4" s="1"/>
  <c r="D85" i="4" s="1"/>
  <c r="E95" i="4"/>
  <c r="E85" i="4" l="1"/>
  <c r="G95" i="4"/>
  <c r="I91" i="4"/>
  <c r="D89" i="5" l="1"/>
  <c r="E89" i="5" s="1"/>
</calcChain>
</file>

<file path=xl/comments1.xml><?xml version="1.0" encoding="utf-8"?>
<comments xmlns="http://schemas.openxmlformats.org/spreadsheetml/2006/main">
  <authors>
    <author>Lisa Lin</author>
  </authors>
  <commentList>
    <comment ref="D23" authorId="0" shapeId="0">
      <text>
        <r>
          <rPr>
            <b/>
            <sz val="9"/>
            <color indexed="81"/>
            <rFont val="Tahoma"/>
            <family val="2"/>
          </rPr>
          <t>Lisa Lin:</t>
        </r>
        <r>
          <rPr>
            <sz val="9"/>
            <color indexed="81"/>
            <rFont val="Tahoma"/>
            <family val="2"/>
          </rPr>
          <t xml:space="preserve">
include 21,397kwh Physical customer, exclude
39,292khw Geographic customer</t>
        </r>
      </text>
    </comment>
    <comment ref="E91" authorId="0" shapeId="0">
      <text>
        <r>
          <rPr>
            <b/>
            <sz val="9"/>
            <color indexed="81"/>
            <rFont val="Tahoma"/>
            <family val="2"/>
          </rPr>
          <t>Lisa Lin:</t>
        </r>
        <r>
          <rPr>
            <sz val="9"/>
            <color indexed="81"/>
            <rFont val="Tahoma"/>
            <family val="2"/>
          </rPr>
          <t xml:space="preserve">
7889.19 was not adjusted in the disposition 2013 and should be catch up in 2014 disposition.  Therefore, should be not adjusted.</t>
        </r>
      </text>
    </comment>
  </commentList>
</comments>
</file>

<file path=xl/comments2.xml><?xml version="1.0" encoding="utf-8"?>
<comments xmlns="http://schemas.openxmlformats.org/spreadsheetml/2006/main">
  <authors>
    <author>Lisa Lin</author>
  </authors>
  <commentList>
    <comment ref="D23" authorId="0" shapeId="0">
      <text>
        <r>
          <rPr>
            <b/>
            <sz val="9"/>
            <color indexed="81"/>
            <rFont val="Tahoma"/>
            <family val="2"/>
          </rPr>
          <t>Lisa Lin:</t>
        </r>
        <r>
          <rPr>
            <sz val="9"/>
            <color indexed="81"/>
            <rFont val="Tahoma"/>
            <family val="2"/>
          </rPr>
          <t xml:space="preserve">
include 60218.60 kwh physical customers;
exclude 43143 kwh Geographic customers.</t>
        </r>
      </text>
    </comment>
  </commentList>
</comments>
</file>

<file path=xl/comments3.xml><?xml version="1.0" encoding="utf-8"?>
<comments xmlns="http://schemas.openxmlformats.org/spreadsheetml/2006/main">
  <authors>
    <author>Lisa Lin</author>
  </authors>
  <commentList>
    <comment ref="D21" authorId="0" shapeId="0">
      <text>
        <r>
          <rPr>
            <b/>
            <sz val="9"/>
            <color indexed="81"/>
            <rFont val="Tahoma"/>
            <family val="2"/>
          </rPr>
          <t>Lisa Lin:</t>
        </r>
        <r>
          <rPr>
            <sz val="9"/>
            <color indexed="81"/>
            <rFont val="Tahoma"/>
            <family val="2"/>
          </rPr>
          <t xml:space="preserve">
RRR report does not include LTLT booked in 2014.</t>
        </r>
      </text>
    </comment>
    <comment ref="X49" authorId="0" shapeId="0">
      <text>
        <r>
          <rPr>
            <b/>
            <sz val="9"/>
            <color indexed="81"/>
            <rFont val="Tahoma"/>
            <family val="2"/>
          </rPr>
          <t>Lisa Lin:</t>
        </r>
        <r>
          <rPr>
            <sz val="9"/>
            <color indexed="81"/>
            <rFont val="Tahoma"/>
            <family val="2"/>
          </rPr>
          <t xml:space="preserve">
In Mar, IESO's GA kwh is greater than the Rural Rate Settlement Chg Kwh by 57,195.46kwh.</t>
        </r>
      </text>
    </comment>
  </commentList>
</comments>
</file>

<file path=xl/sharedStrings.xml><?xml version="1.0" encoding="utf-8"?>
<sst xmlns="http://schemas.openxmlformats.org/spreadsheetml/2006/main" count="597" uniqueCount="228">
  <si>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</si>
  <si>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</si>
  <si>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</si>
  <si>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</si>
  <si>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</si>
  <si>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</si>
  <si>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</si>
  <si>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</si>
  <si>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</si>
  <si>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</si>
  <si>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</si>
  <si>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</si>
  <si>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</si>
  <si>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</si>
  <si>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</si>
  <si>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</si>
  <si>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</si>
  <si>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</si>
  <si>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</si>
  <si>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</si>
  <si>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</si>
  <si>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</si>
  <si>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</si>
  <si>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</si>
  <si>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</si>
  <si>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</si>
  <si>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</si>
  <si>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</si>
  <si>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</si>
  <si>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</si>
  <si>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</si>
  <si>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</si>
  <si>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</si>
  <si>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</si>
  <si>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</si>
  <si>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</si>
  <si>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</si>
  <si>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</si>
  <si>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</si>
  <si>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</si>
  <si>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</si>
  <si>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</si>
  <si>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</si>
  <si>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</si>
  <si>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</si>
  <si>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</si>
  <si>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</si>
  <si>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</si>
  <si>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</si>
  <si>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</si>
  <si>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</si>
  <si>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</si>
  <si>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</si>
  <si>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</si>
  <si>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</si>
  <si>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</si>
  <si>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</si>
  <si>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</si>
  <si>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</si>
  <si>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</si>
  <si>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</si>
  <si>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</si>
  <si>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</si>
  <si>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</si>
  <si>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</si>
  <si>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</si>
  <si>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</si>
  <si>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</si>
  <si>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</si>
  <si>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</si>
  <si>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</si>
  <si>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</si>
  <si>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</si>
  <si>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</si>
  <si>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</si>
  <si>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</si>
  <si>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</si>
  <si>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</si>
  <si>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</si>
  <si>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</si>
  <si>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</si>
  <si>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</si>
  <si>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</si>
  <si>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</si>
  <si>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</si>
  <si>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</si>
  <si>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</si>
  <si>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</si>
  <si>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</si>
  <si>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</si>
  <si>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</si>
  <si>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</si>
  <si>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</si>
  <si>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</si>
  <si>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</si>
  <si>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</si>
  <si>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</si>
  <si>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</si>
  <si>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</si>
  <si>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</si>
  <si>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</si>
  <si>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</si>
  <si>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</si>
  <si>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</si>
  <si>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</si>
  <si>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</si>
  <si>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</si>
  <si>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</si>
  <si>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</si>
  <si>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</si>
  <si>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</si>
  <si>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</si>
  <si>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</si>
  <si>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</si>
  <si>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</si>
  <si>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</si>
  <si>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</si>
  <si>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</si>
  <si>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</si>
  <si>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</si>
  <si>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</si>
  <si>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</si>
  <si>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</si>
  <si>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</si>
  <si>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</si>
  <si>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</si>
  <si>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</si>
  <si>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</si>
  <si>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Annual Net Change in Expected GA Balance from GA Analysis (cell K47)</t>
  </si>
  <si>
    <t>Payments to IESO (cell J47)</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</si>
  <si>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</si>
  <si>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</si>
  <si>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</si>
  <si>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</si>
  <si>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</si>
  <si>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</si>
  <si>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</si>
  <si>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 xml:space="preserve"> Net Change in Principal Balance in the  GL (cell D57)</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</si>
  <si>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</si>
  <si>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</si>
  <si>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</si>
  <si>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</si>
  <si>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Reconciling Items (sum of cells D58 to D70)</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</si>
  <si>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</si>
  <si>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</si>
  <si>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</si>
  <si>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</si>
  <si>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</si>
  <si>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</si>
  <si>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</si>
  <si>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</si>
  <si>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</si>
  <si>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</si>
  <si>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</si>
  <si>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</si>
  <si>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</si>
  <si>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</si>
  <si>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</si>
  <si>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</si>
  <si>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</si>
  <si>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</si>
  <si>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1st Estimate</t>
  </si>
  <si>
    <t>N</t>
  </si>
  <si>
    <t>Y</t>
  </si>
  <si>
    <t xml:space="preserve">Y </t>
  </si>
  <si>
    <t>CWH only have Class B customers</t>
  </si>
  <si>
    <t>CWH estimates the split of the GA charge between RPP and non-RPP based on the previous month actual percentage.</t>
  </si>
  <si>
    <t>Remove GA RPP from GA Non RPP</t>
  </si>
  <si>
    <t>CWH estimates the split of the GA charge between RPP and non-RPP based on the previous month actual percentage for GL purpose.  Therefore, it should be adjusted to base on the actual percentage.</t>
  </si>
  <si>
    <t>CWH has used the actual revenue to do the unbilled revenue in 2014.</t>
  </si>
  <si>
    <t>CWH has used the actual revenue to do the unbilled revenue in 2015.</t>
  </si>
  <si>
    <t>CWH has used the actual revenue to do the unbilled revenue in 2016.</t>
  </si>
  <si>
    <t>The prior year RPP Settlement true up is recorded in power purchase and does not have impacts to non-RPP GA.</t>
  </si>
  <si>
    <t>H1 Kwh</t>
  </si>
  <si>
    <t>Non-RPP GA invoices</t>
  </si>
  <si>
    <t>CWH does not accrue the 2014 long term load transfers in 2014 due to immaterial and records it in 2015.  The RRR report does not include 2014 LTLT as well.  Therefore, no adjustment.</t>
  </si>
  <si>
    <t>Kwh diff. (IESO-billing)</t>
  </si>
  <si>
    <t>The current year RPP Settlement true up is recorded in power purchase in subsequent year and does not have impacts to non-RPP GA.</t>
  </si>
  <si>
    <t>Prior year end accrual is GA revenue $545,621.71.  The actual GA revenue is $537,734.52.  Therefore, the difference of $7,887.19 should be removed from Net Change in Principal Balance in the GL.</t>
  </si>
  <si>
    <t>The billing Kwh (84,611,305) is greater than the actual purchase Kwh (84,330,108). Therefore, the IESO GA for the difference of Kwh never occurred and should be removed from the Expected GA balance.</t>
  </si>
  <si>
    <t>Remove Non-RPP GA from RPP GA</t>
  </si>
  <si>
    <t xml:space="preserve">Final GA base on the difference (billg vs invoice) </t>
  </si>
  <si>
    <t>IESO Invoice Kwh @ Actual posted GA rate</t>
  </si>
  <si>
    <t>Total actual Kwh @ posted GA rate</t>
  </si>
  <si>
    <t>IESO invoice Non-RPP Kwh @ posted GA rate</t>
  </si>
  <si>
    <t>Non-RPP GA at actual posted GA rate</t>
  </si>
  <si>
    <t>The billing Kwh (80,831,903) is greater than the actual purchase Kwh (80,515,438.7). Therefore, the IESO GA for the difference of Kwh never occurred and should be removed from the Expected GA balance.</t>
  </si>
  <si>
    <t>CWH does not accrue the 2015 long term load transfers in 2015 due to immaterial and records it in 2016.  RRR report for 2015 does not include 2015 LTLT as well.  Therefore, no adjustment.</t>
  </si>
  <si>
    <t>Three customers' final bills in July 2014 cover period of Apr - July 2014 and the GA amounts are calculated by using the particular month's GA billing rate for each month.  However, the consumption is treated as June 2014 actual consumption due to it is included in July 2014 stats, where the GA rate is higher than May &amp; July 2014 rate.   Therefore, the difference for GA amount should be added to the Expected GA balance in the Year Per Analysis.</t>
  </si>
  <si>
    <t>The current year RPP Settlement true up is recorded in power purchase in 2015 and does not have impacts to non-RPP GA.</t>
  </si>
  <si>
    <t>The prior year RPP Settlement true up is recorded in power purchase in 2015 and does not have impacts to non-RPP GA.</t>
  </si>
  <si>
    <t>The current year RPP Settlement true up is recorded in power purchase in 2016 and does not have impacts to non-RPP GA.</t>
  </si>
  <si>
    <t xml:space="preserve">2014 RRR report does not include LTLT data.  However, CWH records the long term load transfers GA of geographic customers for 2013 in power purchase in 2014, which does not have impact to non-RPP GA, and physical customer's LTLT GA for 2013 in 2014 Non-RPP GA revenue.  Therefore, the physical customer's 2013 LTLT GA revenue should be removed from 2014 Non-RPP GA revenue. </t>
  </si>
  <si>
    <t xml:space="preserve">2015 RRR report includes 2014 LTLT Kwh in RPP portion.  CWH records 2014 long term load transfers GA of geographic customers 2014 in power purchase and physical customer's 2014 LTLT GA in RPP revenue.  Therefore, there is no impact to non-RPP GA.   </t>
  </si>
  <si>
    <t>CWH does not accrue the 2016 long term load transfers in 2016 due to immaterial and records it in 2017.  RRR report for 2016 does not include 2016 LTLT as well.  Therefore, no adjustment.</t>
  </si>
  <si>
    <t>July 2015</t>
  </si>
  <si>
    <t>The billing Kwh (79,112,385) is less than the actual purchase Kwh 79,187,160.51 (2015SLST inclusive). Therefore, the IESO GA purchase for the difference of Kwh has incurred and should be added to the Expected GA balance.</t>
  </si>
  <si>
    <t>Add GA amount difference to the Expected GA Balance in the Year Per Analysis.</t>
  </si>
  <si>
    <t>Remove GA amount at final rate from the Expected GA Balance in the Year Per Analysis.</t>
  </si>
  <si>
    <t>Remove GA amount difference from the Expected GA Balance in the Year Per Analysis .</t>
  </si>
  <si>
    <t>Add GA amount difference to the Expected GA Balance in the Year Per Analysis .</t>
  </si>
  <si>
    <t>Remove GA amount difference from the Expected GA Balance in the Year Per Analysis.</t>
  </si>
  <si>
    <t>One customer final bills in Mar 2015 is for Mar 2015 only and the GA amount is calculated by using Mar 2015 billing rate.  However, this consumption is treated as Feb 2015 actual consumption due to it is included in Mar 2015 stats, where the GA billing rate is higher than Mar 2015 billing rate.   Therefore, the difference for GA amount should be added to the Expected GA balance in the Year Per Analysis.</t>
  </si>
  <si>
    <t>Three customers' final bills in Sep 2015 is for Sep 1-10, 2015 and the GA amount is calculated by using Sep 2015 GA billing rate.  However, this consumption is treated as Aug 2015 actual consumption due to it is included in Sep 2015 stats, where the GA billing rate is higher than Sep 2015 GA billing rate.   Therefore, the difference for GA amount should be added to the Expected GA balance in the Year Per Analysis.</t>
  </si>
  <si>
    <t>One customer final bill in Feb 2014 is for Feb 2014 only and the GA amount is calculated by using Feb 2014 billing rate.  However, this consumption is treated as Jan 2014 actual consumption due to it is included in Feb 2014 stats, where the GA billing rate is higher than Feb 2014 GA billing rate.   Therefore, the difference for GA amount should be added to the Expected GA balance in the Year Per Analysis.</t>
  </si>
  <si>
    <t>One customer final bill is for Jan 30-Apr 1, 2014 and the consumption is prorated, where GA amount is calculated by using particular month's GA billing rate for each month.  However, the consumption is treated as Mar 2014 actual consumption due to it is included in  Apr 2014 stats, where the GA billing rate is lower than Jan &amp; Feb 2014 GA billing rate .  Therefore, the difference for GA amount should be removed from the Expected GA balance in the Year Per Analysis.</t>
  </si>
  <si>
    <t>Two customers' final bills in June 2014 cover period of Apr 1-June 2, 2014 and the GA amounts are calculated by using the particular month's GA billing rate for each month.  However, the consumption is treated as May 2014 actual consumption due to it is included in June 2014 stats, where the GA billing rate is higher than Apr 2014 GA billing rate.   Therefore, the difference for GA amount should be added to the Expected GA balance in the Year Per Analysis.</t>
  </si>
  <si>
    <t>Two customers' final bills in Oct 2014 cover period of Sep - Oct 2014 and the GA amounts are calculated by using the particular month's GA billing rate for each month.  However, the consumption is treated as Sep 2014 actual consumption due to it is included in Oct 2014 stats, where the GA billing rate is higher than Oct 2014 GA billing rate.   Therefore, the difference for GA amount should be added to the Expected GA balance in the Year Per Analysis.</t>
  </si>
  <si>
    <t>Two customers' final bills in  November 2014 cover period of Oct-Nov 2014 and the GA amounts are calculated by using the particular month's GA billing rate for each month.  However, the consumption is treated as Oct 2014 actual consumption due to it is included in November 2014 stats, where the GA billing rate is lower than Nov 2014 rate.   Therefore, the difference for GA amount should be removed from the Expected GA balance in the Year Per Analysis.</t>
  </si>
  <si>
    <t>Add GA amount at final rate to the Expected GA Balance in the Year Per Analysis.</t>
  </si>
  <si>
    <r>
      <t>Non-RPP Class B</t>
    </r>
    <r>
      <rPr>
        <sz val="11"/>
        <color rgb="FFFF0000"/>
        <rFont val="Calibri"/>
        <family val="2"/>
        <scheme val="minor"/>
      </rPr>
      <t>*</t>
    </r>
  </si>
  <si>
    <t>CWH does not have prior period billing adjustments included in current year GL balance but would not be included in the billing consumption used in the GA analysis.</t>
  </si>
  <si>
    <t>CWH books the 2015 SLST into RPP totally in 2016 due to immaterial.</t>
  </si>
  <si>
    <t>Two customers' regular bill in Jan 2017 are for Nov-Dec 2016 and the GA amount are calculated by using the particular GA billing rate for each month.  However, this consumption is treated as Dec 2016 actual consumption in GA Analysis due to it is in Jan 2017 stats, where the GA billing rate is lower than Nov 2016 GA billing rate.   Therefore, the difference for GA amount should be removed from the Expected GA balance in the Year Per Analysis.</t>
  </si>
  <si>
    <t>One customer' final bill in Dec 2016 is for Nov-Dec 2016 and the GA amount is calculated by using the particular billing rate for each month.  However, this consumption is treated as Nov 2016 actual consumption in GA Analysis due to it is included in Dec 2016 stats, where the GA rate is higher than Dec 2016 GA billing rate.   Therefore, the difference for GA amount should be added to the Expected GA balance in the Year Per Analysis.</t>
  </si>
  <si>
    <t>Non-RPP GA difference (Posted Actual vs invoice)</t>
  </si>
  <si>
    <t xml:space="preserve">LTLT kwh is included in RPP kwh in 2016 RRR report.  However, (1) CWH records 2015 long term load transfers GA of geographic customers in power purchase and physical customer's 2015 LTLT GA ($1,778.43) in Non-RPP revenue.  Therefore, the physical customer's 2015 LTLT GA revenue should be removed from to non-RPP GA revenue. (2) CWH also adjusts physical customer's 2014 LTLT GA ($3,563.67) from Energy Revenue into Non-RPP GA revenue in Jan 2016.  It should be removed from Non-RPP GA revenue as well.  </t>
  </si>
  <si>
    <t>One customer's regular bill in Feb 2016 is for Dec 2015-Jan 2016 and the GA amount is calculated by using the particular GA billing rate for each moth.  However, this consumption is treated as Jan 2016 actual consumption in GA Analysis due to it is in Feb 2016 stats, where the GA billing rate is lower than Dec 2015 GA billing rate.   Therefore, the difference for GA amount should be removed from the Expected GA balance in the Year Per Analysis.</t>
  </si>
  <si>
    <t>One customer final bill in Mar 2016 is for Mar 2016 only and the GA amount is calculated by using Mar 2016 billing rate.  However, this consumption is treated as Feb 2016 actual consumption in GA Analysis due to it is included in Mar 2016 stats, where the GA billing rate is higher than Mar 2016 GA billing rate.   Therefore, the difference for GA amount should be added to the Expected GA balance in the Year Per Analysis.</t>
  </si>
  <si>
    <t>Three customers' final bills in May 2016 are for Apr-May 2016 and the GA amounts are calculated by using the particular billing rate for each month.  However, this consumption is treated as Apr 2016 actual consumption in GA Analysis due to it is included in May 2016 stats, where the GA rate is higher than May 2016 GA billing rate.   Therefore, the difference for GA amount should be added to the Expected GA balance in the Year Per Analysis.</t>
  </si>
  <si>
    <t>One customer regular bill in May 2015 is for Mar 2015 only and the GA amount is calculated by using Mar 2015 billing rate.  However, this consumption is treated as April actual consumption due to it is included in May 2015 stats, where the GA billing rate is higher than the Mar 2015 GA billing rate.   Therefore, the difference for GA amount should be added to the Expected GA balance in the Year Per Analysis.</t>
  </si>
  <si>
    <t>One customer's first bill in July 2015 is for May-June 2015 and the GA amount is calculated by using the particular GA billing rate for each moth.  However, this consumption is treated as June 2015 actual consumption due to it is in July 2015 stats, where the GA billing rate is lower than May 2015 GA billing rate.   Therefore, the difference for GA amount should be removed to the Expected GA balance in the Year Per Analysis.</t>
  </si>
  <si>
    <t>Three customers' final bills in Aug 2015 is for July-Aug 2015 and the GA amount is calculated by using the particular GA billing rate for each moth.  However, this consumption is treated as July 2015 actual consumption due to it is included in Aug 2015 stats, where the GA billing rate is higher than Aug 2015 GA billing rate.   Therefore, the difference for GA amount should be added to the Expected GA balance in the Year Per Analysis.</t>
  </si>
  <si>
    <t>One customers' final bill in Oct 2015 is for Oct 1-15, 2015 and the GA amount is calculated by using Oct 2015 GA billing rate.  However, this consumption is treated as Sep 2015 actual consumption due to it is included in Oct 2015 stats, where the GA billing rate is higher than Oct 2015 GA billing rate.   Therefore, the difference for GA amount should be added to the Expected GA balance in the Year Per Analysis.</t>
  </si>
  <si>
    <t>One customer's first bills in Dec 2015 is for Oct-Nov 2015 and the GA amount is calculated by using the particular GA billing rate for each moth.  However, this consumption is treated as Nov 2015 actual consumption due to it is in Dec 2015 stats, where the GA billing rate is higher than Oct 2015 GA billing rate.   Therefore, the difference for GA amount should be added to the Expected GA balance in the Year Per Analysis.</t>
  </si>
  <si>
    <t>Add 2015 SLST Non RPP GA position</t>
  </si>
  <si>
    <t>One customer final bill in Mar 2014 is for Feb-Mar 2014 and the GA amount is calculated by using the particular GA billing rate for each month.  However, this consumption is treated as Feb 2014 actual consumption due to it is included in Mar 2014 stats, where the GA billing rate is higher than Mar 2014 GA billing rate.   Therefore, the difference for GA amount should be added to the Expected GA balance in the Year Per Analysis.</t>
  </si>
  <si>
    <t>One customers' regular bill in Jan 2016 is for Nov 30-Dec 31, 2015 and the GA amount is calculated by using the particular GA billing rate for each month.  However, this consumption is treated wholly as Dec 2015 actual consumption due to it is included in Jan 2016 stats, where the GA billing rate is higher than Nov 2015 GA billing rate.   Therefore, the difference for GA amount should be added to the Expected GA balance in the Year Per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</si>
</sst>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3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9"/>
      <color indexed="81"/>
      <name val="Tahoma"/>
      <family val="2"/>
    </font>
    <font>
      <sz val="9"/>
      <color indexed="81"/>
      <name val="Tahoma"/>
      <family val="2"/>
    </font>
    <font>
      <sz val="11"/>
      <color rgb="FFFF0000"/>
      <name val="Calibri"/>
      <family val="2"/>
      <scheme val="minor"/>
    </font>
    <font>
      <b/>
      <u/>
      <sz val="11"/>
      <name val="Arial"/>
      <family val="2"/>
    </font>
    <font>
      <sz val="11"/>
      <name val="Arial"/>
      <family val="2"/>
    </font>
    <font>
      <sz val="11"/>
      <color theme="1"/>
      <name val="Arial"/>
      <family val="2"/>
    </font>
    <font>
      <b/>
      <sz val="11"/>
      <name val="Arial"/>
      <family val="2"/>
    </font>
    <font>
      <b/>
      <u/>
      <sz val="11"/>
      <color theme="1"/>
      <name val="Arial"/>
      <family val="2"/>
    </font>
    <font>
      <b/>
      <sz val="11"/>
      <color theme="1"/>
      <name val="Arial"/>
      <family val="2"/>
    </font>
    <font>
      <sz val="11"/>
      <color rgb="FFFF0000"/>
      <name val="Arial"/>
      <family val="2"/>
    </font>
    <font>
      <b/>
      <u/>
      <sz val="11"/>
      <color rgb="FFFF0000"/>
      <name val="Arial"/>
      <family val="2"/>
    </font>
    <font>
      <b/>
      <u/>
      <sz val="11"/>
      <name val="Arial"/>
      <family val="2"/>
    </font>
    <font>
      <sz val="11"/>
      <name val="Arial"/>
      <family val="2"/>
    </font>
    <font>
      <sz val="11"/>
      <color theme="1"/>
      <name val="Arial"/>
      <family val="2"/>
    </font>
    <font>
      <b/>
      <sz val="11"/>
      <name val="Arial"/>
      <family val="2"/>
    </font>
    <font>
      <b/>
      <u/>
      <sz val="11"/>
      <color theme="1"/>
      <name val="Arial"/>
      <family val="2"/>
    </font>
    <font>
      <b/>
      <sz val="11"/>
      <color theme="1"/>
      <name val="Arial"/>
      <family val="2"/>
    </font>
    <font>
      <sz val="11"/>
      <color rgb="FFFF0000"/>
      <name val="Arial"/>
      <family val="2"/>
    </font>
    <font>
      <b/>
      <u/>
      <sz val="11"/>
      <color rgb="FFFF000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n">
        <color auto="1"/>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4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7" fontId="7" fillId="0"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7" fillId="4" borderId="16"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7" fillId="2" borderId="25" xfId="0" applyFont="1" applyFill="1" applyBorder="1" applyAlignment="1">
      <alignment horizontal="center" vertical="center"/>
    </xf>
    <xf numFmtId="0" fontId="7" fillId="2" borderId="2" xfId="0" applyFont="1" applyFill="1" applyBorder="1" applyAlignment="1">
      <alignment horizontal="center" vertical="center"/>
    </xf>
    <xf numFmtId="0" fontId="2" fillId="2" borderId="1" xfId="0" applyFont="1" applyFill="1" applyBorder="1"/>
    <xf numFmtId="0" fontId="2" fillId="2" borderId="11" xfId="0" applyFont="1" applyFill="1" applyBorder="1"/>
    <xf numFmtId="0" fontId="7" fillId="2" borderId="2" xfId="0" applyFont="1" applyFill="1" applyBorder="1" applyAlignment="1">
      <alignment wrapText="1"/>
    </xf>
    <xf numFmtId="169" fontId="2" fillId="0" borderId="0" xfId="0" applyNumberFormat="1" applyFont="1"/>
    <xf numFmtId="43" fontId="2" fillId="0" borderId="0" xfId="0" applyNumberFormat="1" applyFont="1"/>
    <xf numFmtId="170" fontId="2" fillId="0" borderId="24" xfId="4" applyNumberFormat="1" applyFont="1" applyBorder="1"/>
    <xf numFmtId="43" fontId="2" fillId="2" borderId="2" xfId="0" applyNumberFormat="1" applyFont="1" applyFill="1" applyBorder="1"/>
    <xf numFmtId="167" fontId="12" fillId="2" borderId="2" xfId="1" applyNumberFormat="1" applyFont="1" applyFill="1" applyBorder="1"/>
    <xf numFmtId="170" fontId="2" fillId="0" borderId="0" xfId="0" applyNumberFormat="1" applyFont="1"/>
    <xf numFmtId="43" fontId="2" fillId="2" borderId="2" xfId="1" applyNumberFormat="1" applyFont="1" applyFill="1" applyBorder="1"/>
    <xf numFmtId="44" fontId="12" fillId="2" borderId="2" xfId="1" applyNumberFormat="1" applyFont="1" applyFill="1" applyBorder="1" applyAlignment="1">
      <alignment horizontal="center"/>
    </xf>
    <xf numFmtId="43" fontId="2" fillId="0" borderId="10" xfId="0" applyNumberFormat="1" applyFont="1" applyBorder="1"/>
    <xf numFmtId="0" fontId="19" fillId="0" borderId="0" xfId="0" applyFont="1"/>
    <xf numFmtId="0" fontId="20" fillId="0" borderId="0" xfId="0" applyFont="1"/>
    <xf numFmtId="0" fontId="21" fillId="0" borderId="0" xfId="0" applyFont="1"/>
    <xf numFmtId="0" fontId="22" fillId="2" borderId="2" xfId="0" applyFont="1" applyFill="1" applyBorder="1" applyAlignment="1">
      <alignment horizontal="left" vertical="center"/>
    </xf>
    <xf numFmtId="0" fontId="22" fillId="3" borderId="2" xfId="0" applyFont="1" applyFill="1" applyBorder="1" applyAlignment="1">
      <alignment horizontal="left" vertical="center"/>
    </xf>
    <xf numFmtId="0" fontId="22" fillId="0" borderId="0" xfId="0" applyFont="1" applyFill="1" applyBorder="1" applyAlignment="1">
      <alignment horizontal="left" vertical="center"/>
    </xf>
    <xf numFmtId="0" fontId="22" fillId="2" borderId="2" xfId="0" applyFont="1" applyFill="1" applyBorder="1" applyAlignment="1">
      <alignment horizontal="center" vertical="center"/>
    </xf>
    <xf numFmtId="0" fontId="19" fillId="0" borderId="0" xfId="0" applyFont="1" applyBorder="1" applyAlignment="1">
      <alignment vertical="center"/>
    </xf>
    <xf numFmtId="0" fontId="22" fillId="0" borderId="0" xfId="0" applyFont="1" applyBorder="1" applyAlignment="1">
      <alignment vertical="center"/>
    </xf>
    <xf numFmtId="0" fontId="20" fillId="0" borderId="0" xfId="0" applyFont="1" applyFill="1"/>
    <xf numFmtId="0" fontId="20" fillId="0" borderId="2" xfId="0" applyFont="1" applyBorder="1" applyAlignment="1">
      <alignment horizontal="left" vertical="center"/>
    </xf>
    <xf numFmtId="169" fontId="20" fillId="0" borderId="16" xfId="5" applyNumberFormat="1" applyFont="1" applyFill="1" applyBorder="1" applyAlignment="1">
      <alignment vertical="center"/>
    </xf>
    <xf numFmtId="0" fontId="20" fillId="0" borderId="2" xfId="0" applyFont="1" applyBorder="1" applyAlignment="1">
      <alignment horizontal="center" vertical="center"/>
    </xf>
    <xf numFmtId="9" fontId="20" fillId="0" borderId="2" xfId="3" applyFont="1" applyBorder="1" applyAlignment="1">
      <alignment horizontal="right" vertical="center"/>
    </xf>
    <xf numFmtId="0" fontId="20" fillId="2" borderId="25" xfId="0" applyFont="1" applyFill="1" applyBorder="1" applyAlignment="1">
      <alignment horizontal="center" vertical="center"/>
    </xf>
    <xf numFmtId="166" fontId="20" fillId="0" borderId="2" xfId="3" applyNumberFormat="1" applyFont="1" applyBorder="1" applyAlignment="1">
      <alignment horizontal="right" vertical="center"/>
    </xf>
    <xf numFmtId="169" fontId="20" fillId="2" borderId="25" xfId="5" applyNumberFormat="1" applyFont="1" applyFill="1" applyBorder="1" applyAlignment="1">
      <alignment vertical="center"/>
    </xf>
    <xf numFmtId="0" fontId="20" fillId="2" borderId="2" xfId="0" applyFont="1" applyFill="1" applyBorder="1" applyAlignment="1">
      <alignment horizontal="center" vertical="center"/>
    </xf>
    <xf numFmtId="0" fontId="21" fillId="0" borderId="0" xfId="0" applyFont="1" applyBorder="1"/>
    <xf numFmtId="169" fontId="21" fillId="0" borderId="0" xfId="0" applyNumberFormat="1" applyFont="1" applyFill="1"/>
    <xf numFmtId="0" fontId="21" fillId="0" borderId="0" xfId="0" applyFont="1" applyFill="1"/>
    <xf numFmtId="0" fontId="23" fillId="0" borderId="0" xfId="0" applyFont="1"/>
    <xf numFmtId="0" fontId="24" fillId="0" borderId="0" xfId="0" applyFont="1"/>
    <xf numFmtId="0" fontId="21" fillId="3" borderId="2" xfId="0" applyFont="1" applyFill="1" applyBorder="1"/>
    <xf numFmtId="0" fontId="24" fillId="0" borderId="0" xfId="0" applyFont="1" applyFill="1" applyBorder="1" applyAlignment="1">
      <alignment wrapText="1"/>
    </xf>
    <xf numFmtId="0" fontId="24" fillId="2" borderId="3" xfId="0" applyFont="1" applyFill="1" applyBorder="1" applyAlignment="1">
      <alignment horizontal="center"/>
    </xf>
    <xf numFmtId="0" fontId="20" fillId="0" borderId="22" xfId="0" applyFont="1" applyFill="1" applyBorder="1" applyAlignment="1"/>
    <xf numFmtId="0" fontId="24" fillId="0" borderId="0" xfId="0" applyFont="1" applyFill="1" applyBorder="1" applyAlignment="1"/>
    <xf numFmtId="0" fontId="24" fillId="0" borderId="0" xfId="0" applyFont="1" applyAlignment="1">
      <alignment wrapText="1"/>
    </xf>
    <xf numFmtId="0" fontId="24" fillId="0" borderId="18" xfId="0" applyFont="1" applyBorder="1" applyAlignment="1">
      <alignment wrapText="1"/>
    </xf>
    <xf numFmtId="0" fontId="22" fillId="0" borderId="12" xfId="0" applyFont="1" applyBorder="1" applyAlignment="1">
      <alignment horizontal="center" wrapText="1"/>
    </xf>
    <xf numFmtId="0" fontId="22" fillId="0" borderId="20" xfId="0" applyFont="1" applyFill="1" applyBorder="1" applyAlignment="1">
      <alignment horizontal="center" wrapText="1"/>
    </xf>
    <xf numFmtId="0" fontId="22" fillId="0" borderId="19" xfId="0" applyFont="1" applyFill="1" applyBorder="1" applyAlignment="1">
      <alignment horizontal="center" wrapText="1"/>
    </xf>
    <xf numFmtId="0" fontId="22" fillId="0" borderId="13" xfId="0" applyFont="1" applyBorder="1" applyAlignment="1">
      <alignment horizontal="center" wrapText="1"/>
    </xf>
    <xf numFmtId="0" fontId="24" fillId="0" borderId="13" xfId="0" applyFont="1" applyBorder="1" applyAlignment="1">
      <alignment horizontal="center" wrapText="1"/>
    </xf>
    <xf numFmtId="0" fontId="22" fillId="0" borderId="14" xfId="0" applyFont="1" applyBorder="1" applyAlignment="1">
      <alignment horizontal="center" wrapText="1"/>
    </xf>
    <xf numFmtId="0" fontId="21" fillId="0" borderId="2" xfId="0" applyFont="1" applyBorder="1"/>
    <xf numFmtId="0" fontId="24" fillId="0" borderId="4" xfId="0" applyFont="1" applyBorder="1" applyAlignment="1">
      <alignment horizontal="center" wrapText="1"/>
    </xf>
    <xf numFmtId="0" fontId="22" fillId="0" borderId="21" xfId="0" applyFont="1" applyBorder="1" applyAlignment="1">
      <alignment horizontal="center" wrapText="1"/>
    </xf>
    <xf numFmtId="0" fontId="22" fillId="0" borderId="5" xfId="0" applyFont="1" applyBorder="1" applyAlignment="1">
      <alignment horizontal="center" wrapText="1"/>
    </xf>
    <xf numFmtId="0" fontId="22" fillId="0" borderId="5" xfId="0" quotePrefix="1" applyFont="1" applyBorder="1" applyAlignment="1">
      <alignment horizontal="center" wrapText="1"/>
    </xf>
    <xf numFmtId="0" fontId="22" fillId="0" borderId="6" xfId="0" quotePrefix="1" applyFont="1" applyBorder="1" applyAlignment="1">
      <alignment horizontal="center" wrapText="1"/>
    </xf>
    <xf numFmtId="0" fontId="24" fillId="0" borderId="2" xfId="0" applyFont="1" applyBorder="1" applyAlignment="1">
      <alignment wrapText="1"/>
    </xf>
    <xf numFmtId="0" fontId="24" fillId="0" borderId="2" xfId="0" applyFont="1" applyFill="1" applyBorder="1" applyAlignment="1">
      <alignment horizontal="center" wrapText="1"/>
    </xf>
    <xf numFmtId="0" fontId="21" fillId="0" borderId="7" xfId="0" applyFont="1" applyBorder="1"/>
    <xf numFmtId="0" fontId="21" fillId="2" borderId="1" xfId="0" applyFont="1" applyFill="1" applyBorder="1"/>
    <xf numFmtId="169" fontId="21" fillId="2" borderId="2" xfId="5" applyNumberFormat="1" applyFont="1" applyFill="1" applyBorder="1"/>
    <xf numFmtId="169" fontId="21" fillId="0" borderId="2" xfId="5" applyNumberFormat="1" applyFont="1" applyFill="1" applyBorder="1"/>
    <xf numFmtId="168" fontId="21" fillId="2" borderId="2" xfId="0" applyNumberFormat="1" applyFont="1" applyFill="1" applyBorder="1"/>
    <xf numFmtId="167" fontId="21" fillId="0" borderId="2" xfId="1" applyNumberFormat="1" applyFont="1" applyFill="1" applyBorder="1"/>
    <xf numFmtId="167" fontId="21" fillId="0" borderId="2" xfId="1" applyNumberFormat="1" applyFont="1" applyBorder="1"/>
    <xf numFmtId="167" fontId="21" fillId="0" borderId="8" xfId="1" applyNumberFormat="1" applyFont="1" applyBorder="1"/>
    <xf numFmtId="168" fontId="21" fillId="0" borderId="2" xfId="0" applyNumberFormat="1" applyFont="1" applyBorder="1" applyAlignment="1">
      <alignment wrapText="1"/>
    </xf>
    <xf numFmtId="43" fontId="21" fillId="0" borderId="0" xfId="0" applyNumberFormat="1" applyFont="1"/>
    <xf numFmtId="170" fontId="21" fillId="0" borderId="0" xfId="0" applyNumberFormat="1" applyFont="1"/>
    <xf numFmtId="168" fontId="21" fillId="0" borderId="2" xfId="0" applyNumberFormat="1" applyFont="1" applyBorder="1"/>
    <xf numFmtId="0" fontId="21" fillId="2" borderId="2" xfId="0" applyFont="1" applyFill="1" applyBorder="1"/>
    <xf numFmtId="0" fontId="21" fillId="2" borderId="11" xfId="0" applyFont="1" applyFill="1" applyBorder="1"/>
    <xf numFmtId="0" fontId="21" fillId="2" borderId="3" xfId="0" applyFont="1" applyFill="1" applyBorder="1"/>
    <xf numFmtId="0" fontId="21" fillId="0" borderId="3" xfId="0" applyFont="1" applyBorder="1"/>
    <xf numFmtId="168" fontId="21" fillId="0" borderId="3" xfId="0" applyNumberFormat="1" applyFont="1" applyBorder="1"/>
    <xf numFmtId="0" fontId="22" fillId="0" borderId="15" xfId="0" applyFont="1" applyBorder="1" applyAlignment="1">
      <alignment wrapText="1"/>
    </xf>
    <xf numFmtId="169" fontId="24" fillId="0" borderId="16" xfId="5" applyNumberFormat="1" applyFont="1" applyBorder="1"/>
    <xf numFmtId="0" fontId="24" fillId="0" borderId="16" xfId="0" applyFont="1" applyBorder="1"/>
    <xf numFmtId="167" fontId="24" fillId="0" borderId="16" xfId="1" applyNumberFormat="1" applyFont="1" applyBorder="1"/>
    <xf numFmtId="167" fontId="24" fillId="0" borderId="17" xfId="1" applyNumberFormat="1" applyFont="1" applyBorder="1"/>
    <xf numFmtId="0" fontId="21" fillId="0" borderId="10" xfId="0" applyFont="1" applyBorder="1"/>
    <xf numFmtId="168" fontId="21" fillId="0" borderId="10" xfId="0" applyNumberFormat="1" applyFont="1" applyBorder="1"/>
    <xf numFmtId="43" fontId="21" fillId="0" borderId="10" xfId="0" applyNumberFormat="1" applyFont="1" applyBorder="1"/>
    <xf numFmtId="0" fontId="20" fillId="0" borderId="0" xfId="0" applyFont="1" applyAlignment="1">
      <alignment horizontal="right"/>
    </xf>
    <xf numFmtId="167" fontId="21" fillId="0" borderId="0" xfId="1" applyNumberFormat="1" applyFont="1" applyFill="1"/>
    <xf numFmtId="17" fontId="21" fillId="0" borderId="0" xfId="0" quotePrefix="1" applyNumberFormat="1" applyFont="1" applyBorder="1"/>
    <xf numFmtId="168" fontId="21" fillId="0" borderId="0" xfId="0" applyNumberFormat="1" applyFont="1" applyBorder="1"/>
    <xf numFmtId="170" fontId="21" fillId="0" borderId="0" xfId="0" applyNumberFormat="1" applyFont="1" applyBorder="1"/>
    <xf numFmtId="165" fontId="21" fillId="0" borderId="0" xfId="5" applyFont="1"/>
    <xf numFmtId="164" fontId="21" fillId="0" borderId="0" xfId="0" applyNumberFormat="1" applyFont="1"/>
    <xf numFmtId="0" fontId="24" fillId="0" borderId="2" xfId="0" applyFont="1" applyBorder="1" applyAlignment="1">
      <alignment horizontal="center"/>
    </xf>
    <xf numFmtId="0" fontId="22" fillId="0" borderId="2" xfId="0" applyFont="1" applyBorder="1" applyAlignment="1">
      <alignment horizontal="center" wrapText="1"/>
    </xf>
    <xf numFmtId="167" fontId="21" fillId="0" borderId="0" xfId="0" applyNumberFormat="1" applyFont="1"/>
    <xf numFmtId="0" fontId="20" fillId="0" borderId="2" xfId="0" applyFont="1" applyFill="1" applyBorder="1" applyAlignment="1">
      <alignment horizontal="right"/>
    </xf>
    <xf numFmtId="0" fontId="20" fillId="0" borderId="2" xfId="0" applyFont="1" applyFill="1" applyBorder="1" applyAlignment="1">
      <alignment wrapText="1"/>
    </xf>
    <xf numFmtId="0" fontId="21" fillId="2" borderId="2" xfId="0" applyFont="1" applyFill="1" applyBorder="1" applyAlignment="1">
      <alignment horizontal="center"/>
    </xf>
    <xf numFmtId="167" fontId="21" fillId="2" borderId="2" xfId="1" applyNumberFormat="1" applyFont="1" applyFill="1" applyBorder="1"/>
    <xf numFmtId="0" fontId="21" fillId="2" borderId="9" xfId="0" applyFont="1" applyFill="1" applyBorder="1" applyAlignment="1">
      <alignment horizontal="center"/>
    </xf>
    <xf numFmtId="167" fontId="21" fillId="2" borderId="2" xfId="1" applyNumberFormat="1" applyFont="1" applyFill="1" applyBorder="1" applyAlignment="1">
      <alignment horizontal="center"/>
    </xf>
    <xf numFmtId="167" fontId="20" fillId="0" borderId="0" xfId="0" applyNumberFormat="1" applyFont="1" applyFill="1"/>
    <xf numFmtId="167" fontId="20" fillId="0" borderId="0" xfId="0" applyNumberFormat="1" applyFont="1" applyFill="1" applyBorder="1"/>
    <xf numFmtId="165" fontId="21" fillId="2" borderId="2" xfId="5" applyFont="1" applyFill="1" applyBorder="1"/>
    <xf numFmtId="0" fontId="21" fillId="0" borderId="2" xfId="0" applyFont="1" applyBorder="1" applyAlignment="1">
      <alignment horizontal="right"/>
    </xf>
    <xf numFmtId="0" fontId="20" fillId="4" borderId="2" xfId="0" applyFont="1" applyFill="1" applyBorder="1" applyAlignment="1">
      <alignment wrapText="1"/>
    </xf>
    <xf numFmtId="0" fontId="20" fillId="2" borderId="2" xfId="0" applyFont="1" applyFill="1" applyBorder="1" applyAlignment="1">
      <alignment wrapText="1"/>
    </xf>
    <xf numFmtId="0" fontId="21" fillId="2" borderId="2" xfId="0" applyFont="1" applyFill="1" applyBorder="1" applyAlignment="1">
      <alignment wrapText="1"/>
    </xf>
    <xf numFmtId="43" fontId="21" fillId="2" borderId="2" xfId="0" applyNumberFormat="1" applyFont="1" applyFill="1" applyBorder="1"/>
    <xf numFmtId="164" fontId="21" fillId="0" borderId="0" xfId="1" applyFont="1"/>
    <xf numFmtId="0" fontId="22" fillId="0" borderId="0" xfId="0" applyFont="1" applyBorder="1"/>
    <xf numFmtId="0" fontId="22" fillId="0" borderId="0" xfId="0" applyFont="1"/>
    <xf numFmtId="167" fontId="21" fillId="0" borderId="10" xfId="1" applyNumberFormat="1" applyFont="1" applyBorder="1"/>
    <xf numFmtId="0" fontId="22" fillId="0" borderId="0" xfId="0" applyFont="1" applyAlignment="1"/>
    <xf numFmtId="0" fontId="22" fillId="0" borderId="0" xfId="0" applyFont="1" applyAlignment="1">
      <alignment wrapText="1"/>
    </xf>
    <xf numFmtId="166" fontId="21" fillId="0" borderId="24" xfId="4" applyNumberFormat="1" applyFont="1" applyBorder="1"/>
    <xf numFmtId="0" fontId="25" fillId="0" borderId="0" xfId="0" applyFont="1"/>
    <xf numFmtId="164" fontId="21" fillId="0" borderId="0" xfId="1" applyFont="1" applyBorder="1"/>
    <xf numFmtId="9" fontId="25" fillId="0" borderId="0" xfId="4" applyFont="1" applyBorder="1"/>
    <xf numFmtId="9" fontId="21" fillId="0" borderId="0" xfId="4" applyFont="1" applyBorder="1"/>
    <xf numFmtId="0" fontId="19" fillId="0" borderId="0" xfId="0" applyFont="1" applyBorder="1"/>
    <xf numFmtId="164" fontId="25" fillId="0" borderId="0" xfId="1" applyFont="1" applyBorder="1"/>
    <xf numFmtId="0" fontId="26" fillId="0" borderId="0" xfId="0" applyFont="1" applyBorder="1"/>
    <xf numFmtId="0" fontId="22" fillId="0" borderId="2" xfId="0" applyFont="1" applyBorder="1" applyAlignment="1">
      <alignment horizontal="center"/>
    </xf>
    <xf numFmtId="9" fontId="22" fillId="0" borderId="2" xfId="4" applyFont="1" applyBorder="1" applyAlignment="1">
      <alignment horizontal="center" wrapText="1"/>
    </xf>
    <xf numFmtId="0" fontId="24" fillId="0" borderId="2" xfId="0" applyFont="1" applyBorder="1" applyAlignment="1">
      <alignment horizontal="center" wrapText="1"/>
    </xf>
    <xf numFmtId="167" fontId="20" fillId="2" borderId="2" xfId="1" applyNumberFormat="1" applyFont="1" applyFill="1" applyBorder="1" applyAlignment="1">
      <alignment wrapText="1"/>
    </xf>
    <xf numFmtId="167" fontId="20" fillId="2" borderId="2" xfId="1" applyNumberFormat="1" applyFont="1" applyFill="1" applyBorder="1"/>
    <xf numFmtId="167" fontId="20" fillId="4" borderId="2" xfId="1" applyNumberFormat="1" applyFont="1" applyFill="1" applyBorder="1"/>
    <xf numFmtId="167" fontId="20" fillId="0" borderId="2" xfId="1" applyNumberFormat="1" applyFont="1" applyFill="1" applyBorder="1"/>
    <xf numFmtId="166" fontId="20" fillId="0" borderId="2" xfId="4" applyNumberFormat="1" applyFont="1" applyFill="1" applyBorder="1"/>
    <xf numFmtId="167" fontId="20" fillId="2" borderId="16" xfId="1" applyNumberFormat="1" applyFont="1" applyFill="1" applyBorder="1"/>
    <xf numFmtId="167" fontId="20" fillId="4" borderId="16" xfId="1" applyNumberFormat="1" applyFont="1" applyFill="1" applyBorder="1"/>
    <xf numFmtId="167" fontId="20" fillId="0" borderId="16" xfId="1" applyNumberFormat="1" applyFont="1" applyFill="1" applyBorder="1"/>
    <xf numFmtId="166" fontId="20" fillId="0" borderId="16" xfId="4" applyNumberFormat="1" applyFont="1" applyFill="1" applyBorder="1"/>
    <xf numFmtId="0" fontId="22" fillId="0" borderId="2" xfId="0" applyFont="1" applyBorder="1"/>
    <xf numFmtId="167" fontId="22" fillId="0" borderId="13" xfId="1" applyNumberFormat="1" applyFont="1" applyBorder="1"/>
    <xf numFmtId="167" fontId="22" fillId="4" borderId="13" xfId="1" applyNumberFormat="1" applyFont="1" applyFill="1" applyBorder="1"/>
    <xf numFmtId="164" fontId="22" fillId="0" borderId="13" xfId="1" applyFont="1" applyBorder="1"/>
    <xf numFmtId="164" fontId="22" fillId="0" borderId="13" xfId="1" applyFont="1" applyBorder="1" applyAlignment="1">
      <alignment horizontal="center"/>
    </xf>
    <xf numFmtId="0" fontId="21" fillId="0" borderId="0" xfId="0" applyFont="1" applyFill="1" applyBorder="1" applyAlignment="1">
      <alignment wrapText="1"/>
    </xf>
    <xf numFmtId="0" fontId="21" fillId="0" borderId="26" xfId="0" applyFont="1" applyBorder="1"/>
    <xf numFmtId="43" fontId="21" fillId="0" borderId="26" xfId="0" applyNumberFormat="1" applyFont="1" applyBorder="1"/>
    <xf numFmtId="43" fontId="21" fillId="0" borderId="0" xfId="1" applyNumberFormat="1" applyFont="1"/>
    <xf numFmtId="43" fontId="2" fillId="0" borderId="0" xfId="1" applyNumberFormat="1" applyFont="1"/>
    <xf numFmtId="0" fontId="20" fillId="2" borderId="2" xfId="0" applyFont="1" applyFill="1" applyBorder="1" applyAlignment="1">
      <alignment horizontal="center"/>
    </xf>
    <xf numFmtId="0" fontId="27" fillId="0" borderId="0" xfId="0" applyFont="1"/>
    <xf numFmtId="0" fontId="28" fillId="0" borderId="0" xfId="0" applyFont="1"/>
    <xf numFmtId="0" fontId="29" fillId="0" borderId="0" xfId="0" applyFont="1"/>
    <xf numFmtId="0" fontId="30" fillId="2" borderId="2" xfId="0" applyFont="1" applyFill="1" applyBorder="1" applyAlignment="1">
      <alignment horizontal="left" vertical="center"/>
    </xf>
    <xf numFmtId="0" fontId="30" fillId="3" borderId="2" xfId="0" applyFont="1" applyFill="1" applyBorder="1" applyAlignment="1">
      <alignment horizontal="left" vertical="center"/>
    </xf>
    <xf numFmtId="0" fontId="30" fillId="0" borderId="0" xfId="0" applyFont="1" applyFill="1" applyBorder="1" applyAlignment="1">
      <alignment horizontal="left" vertical="center"/>
    </xf>
    <xf numFmtId="0" fontId="30" fillId="2" borderId="2" xfId="0" applyFont="1" applyFill="1" applyBorder="1" applyAlignment="1">
      <alignment horizontal="center" vertical="center"/>
    </xf>
    <xf numFmtId="0" fontId="27" fillId="0" borderId="0" xfId="0" applyFont="1" applyBorder="1" applyAlignment="1">
      <alignment vertical="center"/>
    </xf>
    <xf numFmtId="0" fontId="30" fillId="0" borderId="0" xfId="0" applyFont="1" applyBorder="1" applyAlignment="1">
      <alignment vertical="center"/>
    </xf>
    <xf numFmtId="0" fontId="28" fillId="0" borderId="0" xfId="0" applyFont="1" applyFill="1"/>
    <xf numFmtId="0" fontId="28" fillId="0" borderId="2" xfId="0" applyFont="1" applyBorder="1" applyAlignment="1">
      <alignment horizontal="left" vertical="center"/>
    </xf>
    <xf numFmtId="169" fontId="28" fillId="0" borderId="16" xfId="5" applyNumberFormat="1" applyFont="1" applyFill="1" applyBorder="1" applyAlignment="1">
      <alignment vertical="center"/>
    </xf>
    <xf numFmtId="0" fontId="28" fillId="0" borderId="2" xfId="0" applyFont="1" applyBorder="1" applyAlignment="1">
      <alignment horizontal="center" vertical="center"/>
    </xf>
    <xf numFmtId="9" fontId="28" fillId="0" borderId="2" xfId="3" applyFont="1" applyBorder="1" applyAlignment="1">
      <alignment horizontal="right" vertical="center"/>
    </xf>
    <xf numFmtId="0" fontId="28" fillId="2" borderId="25" xfId="0" applyFont="1" applyFill="1" applyBorder="1" applyAlignment="1">
      <alignment horizontal="center" vertical="center"/>
    </xf>
    <xf numFmtId="166" fontId="28" fillId="0" borderId="2" xfId="3" applyNumberFormat="1" applyFont="1" applyBorder="1" applyAlignment="1">
      <alignment horizontal="right" vertical="center"/>
    </xf>
    <xf numFmtId="169" fontId="28" fillId="2" borderId="25" xfId="5" applyNumberFormat="1" applyFont="1" applyFill="1" applyBorder="1" applyAlignment="1">
      <alignment vertical="center"/>
    </xf>
    <xf numFmtId="0" fontId="28" fillId="2" borderId="2" xfId="0" applyFont="1" applyFill="1" applyBorder="1" applyAlignment="1">
      <alignment horizontal="center" vertical="center"/>
    </xf>
    <xf numFmtId="0" fontId="29" fillId="0" borderId="0" xfId="0" applyFont="1" applyBorder="1"/>
    <xf numFmtId="169" fontId="29" fillId="0" borderId="0" xfId="0" applyNumberFormat="1" applyFont="1" applyFill="1"/>
    <xf numFmtId="0" fontId="29" fillId="0" borderId="0" xfId="0" applyFont="1" applyFill="1"/>
    <xf numFmtId="0" fontId="31" fillId="0" borderId="0" xfId="0" applyFont="1"/>
    <xf numFmtId="0" fontId="32" fillId="0" borderId="0" xfId="0" applyFont="1"/>
    <xf numFmtId="0" fontId="29" fillId="3" borderId="2" xfId="0" applyFont="1" applyFill="1" applyBorder="1"/>
    <xf numFmtId="0" fontId="32" fillId="0" borderId="0" xfId="0" applyFont="1" applyFill="1" applyBorder="1" applyAlignment="1">
      <alignment wrapText="1"/>
    </xf>
    <xf numFmtId="0" fontId="32" fillId="2" borderId="3" xfId="0" applyFont="1" applyFill="1" applyBorder="1" applyAlignment="1">
      <alignment horizontal="center"/>
    </xf>
    <xf numFmtId="0" fontId="28" fillId="0" borderId="22" xfId="0" applyFont="1" applyFill="1" applyBorder="1" applyAlignment="1"/>
    <xf numFmtId="0" fontId="32" fillId="0" borderId="0" xfId="0" applyFont="1" applyFill="1" applyBorder="1" applyAlignment="1"/>
    <xf numFmtId="0" fontId="32" fillId="0" borderId="0" xfId="0" applyFont="1" applyAlignment="1">
      <alignment wrapText="1"/>
    </xf>
    <xf numFmtId="0" fontId="32" fillId="0" borderId="18" xfId="0" applyFont="1" applyBorder="1" applyAlignment="1">
      <alignment wrapText="1"/>
    </xf>
    <xf numFmtId="0" fontId="30" fillId="0" borderId="12" xfId="0" applyFont="1" applyBorder="1" applyAlignment="1">
      <alignment horizontal="center" wrapText="1"/>
    </xf>
    <xf numFmtId="0" fontId="30" fillId="0" borderId="20" xfId="0" applyFont="1" applyFill="1" applyBorder="1" applyAlignment="1">
      <alignment horizontal="center" wrapText="1"/>
    </xf>
    <xf numFmtId="0" fontId="30" fillId="0" borderId="19" xfId="0" applyFont="1" applyFill="1" applyBorder="1" applyAlignment="1">
      <alignment horizontal="center" wrapText="1"/>
    </xf>
    <xf numFmtId="0" fontId="30" fillId="0" borderId="13" xfId="0" applyFont="1" applyBorder="1" applyAlignment="1">
      <alignment horizontal="center" wrapText="1"/>
    </xf>
    <xf numFmtId="0" fontId="32" fillId="0" borderId="13" xfId="0" applyFont="1" applyBorder="1" applyAlignment="1">
      <alignment horizontal="center" wrapText="1"/>
    </xf>
    <xf numFmtId="0" fontId="30" fillId="0" borderId="14" xfId="0" applyFont="1" applyBorder="1" applyAlignment="1">
      <alignment horizontal="center" wrapText="1"/>
    </xf>
    <xf numFmtId="0" fontId="29" fillId="0" borderId="2" xfId="0" applyFont="1" applyBorder="1"/>
    <xf numFmtId="0" fontId="32" fillId="0" borderId="4" xfId="0" applyFont="1" applyBorder="1" applyAlignment="1">
      <alignment horizontal="center" wrapText="1"/>
    </xf>
    <xf numFmtId="0" fontId="30" fillId="0" borderId="21" xfId="0" applyFont="1" applyBorder="1" applyAlignment="1">
      <alignment horizontal="center" wrapText="1"/>
    </xf>
    <xf numFmtId="0" fontId="30" fillId="0" borderId="5" xfId="0" applyFont="1" applyBorder="1" applyAlignment="1">
      <alignment horizontal="center" wrapText="1"/>
    </xf>
    <xf numFmtId="0" fontId="30" fillId="0" borderId="5" xfId="0" quotePrefix="1" applyFont="1" applyBorder="1" applyAlignment="1">
      <alignment horizontal="center" wrapText="1"/>
    </xf>
    <xf numFmtId="0" fontId="30" fillId="0" borderId="6" xfId="0" quotePrefix="1" applyFont="1" applyBorder="1" applyAlignment="1">
      <alignment horizontal="center" wrapText="1"/>
    </xf>
    <xf numFmtId="0" fontId="32" fillId="0" borderId="2" xfId="0" applyFont="1" applyBorder="1" applyAlignment="1">
      <alignment wrapText="1"/>
    </xf>
    <xf numFmtId="0" fontId="32" fillId="0" borderId="2" xfId="0" applyFont="1" applyFill="1" applyBorder="1" applyAlignment="1">
      <alignment horizontal="center" wrapText="1"/>
    </xf>
    <xf numFmtId="0" fontId="29" fillId="0" borderId="7" xfId="0" applyFont="1" applyBorder="1"/>
    <xf numFmtId="0" fontId="29" fillId="2" borderId="1" xfId="0" applyFont="1" applyFill="1" applyBorder="1"/>
    <xf numFmtId="169" fontId="29" fillId="2" borderId="2" xfId="5" applyNumberFormat="1" applyFont="1" applyFill="1" applyBorder="1"/>
    <xf numFmtId="169" fontId="29" fillId="0" borderId="2" xfId="5" applyNumberFormat="1" applyFont="1" applyFill="1" applyBorder="1"/>
    <xf numFmtId="168" fontId="29" fillId="2" borderId="2" xfId="0" applyNumberFormat="1" applyFont="1" applyFill="1" applyBorder="1"/>
    <xf numFmtId="167" fontId="29" fillId="0" borderId="2" xfId="1" applyNumberFormat="1" applyFont="1" applyFill="1" applyBorder="1"/>
    <xf numFmtId="167" fontId="29" fillId="0" borderId="2" xfId="1" applyNumberFormat="1" applyFont="1" applyBorder="1"/>
    <xf numFmtId="167" fontId="29" fillId="0" borderId="8" xfId="1" applyNumberFormat="1" applyFont="1" applyBorder="1"/>
    <xf numFmtId="168" fontId="29" fillId="0" borderId="2" xfId="0" applyNumberFormat="1" applyFont="1" applyBorder="1" applyAlignment="1">
      <alignment wrapText="1"/>
    </xf>
    <xf numFmtId="43" fontId="29" fillId="0" borderId="0" xfId="0" applyNumberFormat="1" applyFont="1"/>
    <xf numFmtId="170" fontId="29" fillId="0" borderId="0" xfId="0" applyNumberFormat="1" applyFont="1"/>
    <xf numFmtId="168" fontId="29" fillId="0" borderId="2" xfId="0" applyNumberFormat="1" applyFont="1" applyBorder="1"/>
    <xf numFmtId="0" fontId="29" fillId="2" borderId="2" xfId="0" applyFont="1" applyFill="1" applyBorder="1"/>
    <xf numFmtId="167" fontId="33" fillId="5" borderId="2" xfId="1" applyNumberFormat="1" applyFont="1" applyFill="1" applyBorder="1"/>
    <xf numFmtId="0" fontId="29" fillId="2" borderId="11" xfId="0" applyFont="1" applyFill="1" applyBorder="1"/>
    <xf numFmtId="167" fontId="33" fillId="0" borderId="2" xfId="1" applyNumberFormat="1" applyFont="1" applyFill="1" applyBorder="1"/>
    <xf numFmtId="0" fontId="29" fillId="0" borderId="3" xfId="0" applyFont="1" applyBorder="1"/>
    <xf numFmtId="168" fontId="29" fillId="0" borderId="3" xfId="0" applyNumberFormat="1" applyFont="1" applyBorder="1"/>
    <xf numFmtId="0" fontId="30" fillId="0" borderId="15" xfId="0" applyFont="1" applyBorder="1" applyAlignment="1">
      <alignment wrapText="1"/>
    </xf>
    <xf numFmtId="169" fontId="32" fillId="0" borderId="16" xfId="5" applyNumberFormat="1" applyFont="1" applyBorder="1"/>
    <xf numFmtId="0" fontId="32" fillId="0" borderId="16" xfId="0" applyFont="1" applyBorder="1"/>
    <xf numFmtId="167" fontId="32" fillId="0" borderId="16" xfId="1" applyNumberFormat="1" applyFont="1" applyBorder="1"/>
    <xf numFmtId="167" fontId="32" fillId="0" borderId="17" xfId="1" applyNumberFormat="1" applyFont="1" applyBorder="1"/>
    <xf numFmtId="0" fontId="29" fillId="0" borderId="10" xfId="0" applyFont="1" applyBorder="1"/>
    <xf numFmtId="168" fontId="29" fillId="0" borderId="10" xfId="0" applyNumberFormat="1" applyFont="1" applyBorder="1"/>
    <xf numFmtId="43" fontId="29" fillId="0" borderId="10" xfId="0" applyNumberFormat="1" applyFont="1" applyBorder="1"/>
    <xf numFmtId="0" fontId="28" fillId="0" borderId="0" xfId="0" applyFont="1" applyAlignment="1">
      <alignment horizontal="right"/>
    </xf>
    <xf numFmtId="167" fontId="29" fillId="0" borderId="0" xfId="1" applyNumberFormat="1" applyFont="1" applyFill="1"/>
    <xf numFmtId="168" fontId="29" fillId="0" borderId="0" xfId="0" applyNumberFormat="1" applyFont="1" applyBorder="1"/>
    <xf numFmtId="169" fontId="29" fillId="0" borderId="0" xfId="0" applyNumberFormat="1" applyFont="1"/>
    <xf numFmtId="165" fontId="29" fillId="0" borderId="0" xfId="5" applyFont="1"/>
    <xf numFmtId="164" fontId="29" fillId="0" borderId="0" xfId="0" applyNumberFormat="1" applyFont="1"/>
    <xf numFmtId="0" fontId="32" fillId="0" borderId="2" xfId="0" applyFont="1" applyBorder="1" applyAlignment="1">
      <alignment horizontal="center"/>
    </xf>
    <xf numFmtId="0" fontId="30" fillId="0" borderId="2" xfId="0" applyFont="1" applyBorder="1" applyAlignment="1">
      <alignment horizontal="center" wrapText="1"/>
    </xf>
    <xf numFmtId="167" fontId="29" fillId="0" borderId="0" xfId="0" applyNumberFormat="1" applyFont="1"/>
    <xf numFmtId="43" fontId="29" fillId="2" borderId="0" xfId="1" applyNumberFormat="1" applyFont="1" applyFill="1"/>
    <xf numFmtId="0" fontId="28" fillId="0" borderId="2" xfId="0" applyFont="1" applyFill="1" applyBorder="1" applyAlignment="1">
      <alignment horizontal="right"/>
    </xf>
    <xf numFmtId="0" fontId="28" fillId="0" borderId="2" xfId="0" applyFont="1" applyFill="1" applyBorder="1" applyAlignment="1">
      <alignment wrapText="1"/>
    </xf>
    <xf numFmtId="0" fontId="29" fillId="2" borderId="2" xfId="0" applyFont="1" applyFill="1" applyBorder="1" applyAlignment="1">
      <alignment horizontal="center"/>
    </xf>
    <xf numFmtId="167" fontId="29" fillId="2" borderId="2" xfId="1" applyNumberFormat="1" applyFont="1" applyFill="1" applyBorder="1"/>
    <xf numFmtId="0" fontId="29" fillId="2" borderId="9" xfId="0" applyFont="1" applyFill="1" applyBorder="1" applyAlignment="1">
      <alignment horizontal="center"/>
    </xf>
    <xf numFmtId="167" fontId="29" fillId="2" borderId="2" xfId="1" applyNumberFormat="1" applyFont="1" applyFill="1" applyBorder="1" applyAlignment="1">
      <alignment horizontal="center"/>
    </xf>
    <xf numFmtId="167" fontId="28" fillId="0" borderId="0" xfId="0" applyNumberFormat="1" applyFont="1" applyFill="1"/>
    <xf numFmtId="44" fontId="29" fillId="2" borderId="2" xfId="1" applyNumberFormat="1" applyFont="1" applyFill="1" applyBorder="1" applyAlignment="1">
      <alignment horizontal="center"/>
    </xf>
    <xf numFmtId="167" fontId="28" fillId="0" borderId="0" xfId="0" applyNumberFormat="1" applyFont="1" applyFill="1" applyBorder="1"/>
    <xf numFmtId="165" fontId="29" fillId="2" borderId="2" xfId="5" applyFont="1" applyFill="1" applyBorder="1"/>
    <xf numFmtId="43" fontId="29" fillId="2" borderId="2" xfId="0" applyNumberFormat="1" applyFont="1" applyFill="1" applyBorder="1"/>
    <xf numFmtId="0" fontId="29" fillId="0" borderId="2" xfId="0" applyFont="1" applyBorder="1" applyAlignment="1">
      <alignment horizontal="right"/>
    </xf>
    <xf numFmtId="0" fontId="28" fillId="4" borderId="2" xfId="0" applyFont="1" applyFill="1" applyBorder="1" applyAlignment="1">
      <alignment wrapText="1"/>
    </xf>
    <xf numFmtId="0" fontId="28" fillId="2" borderId="2" xfId="0" applyFont="1" applyFill="1" applyBorder="1" applyAlignment="1">
      <alignment wrapText="1"/>
    </xf>
    <xf numFmtId="0" fontId="29" fillId="2" borderId="2" xfId="0" applyFont="1" applyFill="1" applyBorder="1" applyAlignment="1">
      <alignment wrapText="1"/>
    </xf>
    <xf numFmtId="43" fontId="29" fillId="2" borderId="2" xfId="1" applyNumberFormat="1" applyFont="1" applyFill="1" applyBorder="1"/>
    <xf numFmtId="165" fontId="33" fillId="2" borderId="2" xfId="5" applyFont="1" applyFill="1" applyBorder="1"/>
    <xf numFmtId="43" fontId="29" fillId="0" borderId="0" xfId="1" applyNumberFormat="1" applyFont="1"/>
    <xf numFmtId="164" fontId="29" fillId="0" borderId="0" xfId="1" applyFont="1"/>
    <xf numFmtId="0" fontId="30" fillId="0" borderId="0" xfId="0" applyFont="1" applyBorder="1"/>
    <xf numFmtId="0" fontId="30" fillId="0" borderId="0" xfId="0" applyFont="1"/>
    <xf numFmtId="167" fontId="29" fillId="0" borderId="10" xfId="1" applyNumberFormat="1" applyFont="1" applyBorder="1"/>
    <xf numFmtId="0" fontId="30" fillId="0" borderId="0" xfId="0" applyFont="1" applyAlignment="1"/>
    <xf numFmtId="0" fontId="30" fillId="0" borderId="0" xfId="0" applyFont="1" applyAlignment="1">
      <alignment wrapText="1"/>
    </xf>
    <xf numFmtId="170" fontId="29" fillId="0" borderId="24" xfId="4" applyNumberFormat="1" applyFont="1" applyBorder="1"/>
    <xf numFmtId="164" fontId="29" fillId="0" borderId="0" xfId="1" applyFont="1" applyBorder="1"/>
    <xf numFmtId="9" fontId="33" fillId="0" borderId="0" xfId="4" applyFont="1" applyBorder="1"/>
    <xf numFmtId="0" fontId="33" fillId="0" borderId="0" xfId="0" applyFont="1"/>
    <xf numFmtId="9" fontId="29" fillId="0" borderId="0" xfId="4" applyFont="1" applyBorder="1"/>
    <xf numFmtId="0" fontId="27" fillId="0" borderId="0" xfId="0" applyFont="1" applyBorder="1"/>
    <xf numFmtId="164" fontId="33" fillId="0" borderId="0" xfId="1" applyFont="1" applyBorder="1"/>
    <xf numFmtId="0" fontId="34" fillId="0" borderId="0" xfId="0" applyFont="1" applyBorder="1"/>
    <xf numFmtId="0" fontId="30" fillId="0" borderId="2" xfId="0" applyFont="1" applyBorder="1" applyAlignment="1">
      <alignment horizontal="center"/>
    </xf>
    <xf numFmtId="0" fontId="28" fillId="2" borderId="2" xfId="0" applyFont="1" applyFill="1" applyBorder="1" applyAlignment="1">
      <alignment horizontal="left"/>
    </xf>
    <xf numFmtId="167" fontId="28" fillId="2" borderId="2" xfId="1" applyNumberFormat="1" applyFont="1" applyFill="1" applyBorder="1" applyAlignment="1">
      <alignment wrapText="1"/>
    </xf>
    <xf numFmtId="9" fontId="30" fillId="0" borderId="2" xfId="4" applyFont="1" applyBorder="1" applyAlignment="1">
      <alignment horizontal="center" wrapText="1"/>
    </xf>
    <xf numFmtId="0" fontId="32" fillId="0" borderId="2" xfId="0" applyFont="1" applyBorder="1" applyAlignment="1">
      <alignment horizontal="center" wrapText="1"/>
    </xf>
    <xf numFmtId="167" fontId="28" fillId="2" borderId="2" xfId="1" applyNumberFormat="1" applyFont="1" applyFill="1" applyBorder="1"/>
    <xf numFmtId="167" fontId="28" fillId="4" borderId="2" xfId="1" applyNumberFormat="1" applyFont="1" applyFill="1" applyBorder="1"/>
    <xf numFmtId="167" fontId="28" fillId="0" borderId="2" xfId="1" applyNumberFormat="1" applyFont="1" applyFill="1" applyBorder="1"/>
    <xf numFmtId="166" fontId="28" fillId="0" borderId="2" xfId="4" applyNumberFormat="1" applyFont="1" applyFill="1" applyBorder="1"/>
    <xf numFmtId="167" fontId="28" fillId="2" borderId="16" xfId="1" applyNumberFormat="1" applyFont="1" applyFill="1" applyBorder="1"/>
    <xf numFmtId="0" fontId="30" fillId="0" borderId="2" xfId="0" applyFont="1" applyBorder="1"/>
    <xf numFmtId="167" fontId="30" fillId="0" borderId="13" xfId="1" applyNumberFormat="1" applyFont="1" applyBorder="1"/>
    <xf numFmtId="167" fontId="28" fillId="4" borderId="16" xfId="1" applyNumberFormat="1" applyFont="1" applyFill="1" applyBorder="1"/>
    <xf numFmtId="167" fontId="28" fillId="0" borderId="16" xfId="1" applyNumberFormat="1" applyFont="1" applyFill="1" applyBorder="1"/>
    <xf numFmtId="166" fontId="28" fillId="0" borderId="16" xfId="4" applyNumberFormat="1" applyFont="1" applyFill="1" applyBorder="1"/>
    <xf numFmtId="167" fontId="30" fillId="4" borderId="13" xfId="1" applyNumberFormat="1" applyFont="1" applyFill="1" applyBorder="1"/>
    <xf numFmtId="164" fontId="30" fillId="0" borderId="13" xfId="1" applyFont="1" applyBorder="1"/>
    <xf numFmtId="164" fontId="30" fillId="0" borderId="13" xfId="1" applyFont="1" applyBorder="1" applyAlignment="1">
      <alignment horizontal="center"/>
    </xf>
    <xf numFmtId="0" fontId="29" fillId="0" borderId="0" xfId="0" applyFont="1" applyFill="1" applyBorder="1" applyAlignment="1">
      <alignment wrapText="1"/>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1" fillId="2" borderId="2" xfId="0" applyFont="1" applyFill="1" applyBorder="1" applyAlignment="1">
      <alignment horizontal="left" wrapText="1"/>
    </xf>
    <xf numFmtId="0" fontId="2" fillId="2" borderId="2" xfId="0" applyFont="1" applyFill="1" applyBorder="1" applyAlignment="1">
      <alignment horizontal="left" wrapText="1"/>
    </xf>
    <xf numFmtId="0" fontId="22" fillId="0" borderId="2" xfId="0" applyFont="1" applyBorder="1" applyAlignment="1">
      <alignment horizontal="left" vertical="center"/>
    </xf>
    <xf numFmtId="0" fontId="21" fillId="0" borderId="9" xfId="0" applyFont="1" applyBorder="1" applyAlignment="1">
      <alignment horizontal="center"/>
    </xf>
    <xf numFmtId="0" fontId="21" fillId="0" borderId="1" xfId="0" applyFont="1" applyBorder="1" applyAlignment="1">
      <alignment horizontal="center"/>
    </xf>
    <xf numFmtId="0" fontId="20" fillId="0" borderId="10" xfId="0" applyFont="1" applyBorder="1" applyAlignment="1">
      <alignment horizontal="left" vertical="center" wrapText="1"/>
    </xf>
    <xf numFmtId="0" fontId="20" fillId="0" borderId="0" xfId="0" applyFont="1" applyBorder="1" applyAlignment="1">
      <alignment horizontal="left" vertical="center" wrapText="1"/>
    </xf>
    <xf numFmtId="0" fontId="24" fillId="0" borderId="9" xfId="0" applyFont="1" applyBorder="1" applyAlignment="1">
      <alignment horizontal="left" wrapText="1"/>
    </xf>
    <xf numFmtId="0" fontId="24" fillId="0" borderId="23" xfId="0" applyFont="1" applyBorder="1" applyAlignment="1">
      <alignment horizontal="left" wrapText="1"/>
    </xf>
    <xf numFmtId="0" fontId="24" fillId="0" borderId="1" xfId="0" applyFont="1" applyBorder="1" applyAlignment="1">
      <alignment horizontal="left" wrapText="1"/>
    </xf>
    <xf numFmtId="0" fontId="24" fillId="0" borderId="2" xfId="0" applyFont="1" applyBorder="1" applyAlignment="1">
      <alignment horizontal="center"/>
    </xf>
    <xf numFmtId="0" fontId="22" fillId="0" borderId="2" xfId="0" applyFont="1" applyBorder="1" applyAlignment="1">
      <alignment horizontal="center"/>
    </xf>
    <xf numFmtId="0" fontId="22" fillId="0" borderId="9" xfId="0" applyFont="1" applyBorder="1" applyAlignment="1">
      <alignment horizontal="center"/>
    </xf>
    <xf numFmtId="0" fontId="22" fillId="0" borderId="23" xfId="0" applyFont="1" applyBorder="1" applyAlignment="1">
      <alignment horizontal="center"/>
    </xf>
    <xf numFmtId="0" fontId="22" fillId="0" borderId="1" xfId="0" applyFont="1" applyBorder="1" applyAlignment="1">
      <alignment horizontal="center"/>
    </xf>
    <xf numFmtId="0" fontId="21" fillId="2" borderId="9" xfId="0" applyFont="1" applyFill="1" applyBorder="1" applyAlignment="1">
      <alignment horizontal="left" wrapText="1"/>
    </xf>
    <xf numFmtId="0" fontId="21" fillId="2" borderId="23" xfId="0" applyFont="1" applyFill="1" applyBorder="1" applyAlignment="1">
      <alignment horizontal="left" wrapText="1"/>
    </xf>
    <xf numFmtId="0" fontId="21"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2" fillId="0" borderId="9" xfId="0" applyFont="1" applyBorder="1" applyAlignment="1">
      <alignment horizontal="left" wrapText="1"/>
    </xf>
    <xf numFmtId="0" fontId="32" fillId="0" borderId="23" xfId="0" applyFont="1" applyBorder="1" applyAlignment="1">
      <alignment horizontal="left" wrapText="1"/>
    </xf>
    <xf numFmtId="0" fontId="32" fillId="0" borderId="1" xfId="0" applyFont="1" applyBorder="1" applyAlignment="1">
      <alignment horizontal="left" wrapText="1"/>
    </xf>
    <xf numFmtId="0" fontId="30" fillId="0" borderId="9" xfId="0" applyFont="1" applyBorder="1" applyAlignment="1">
      <alignment horizontal="center"/>
    </xf>
    <xf numFmtId="0" fontId="30" fillId="0" borderId="23" xfId="0" applyFont="1" applyBorder="1" applyAlignment="1">
      <alignment horizontal="center"/>
    </xf>
    <xf numFmtId="0" fontId="30" fillId="0" borderId="1" xfId="0" applyFont="1" applyBorder="1" applyAlignment="1">
      <alignment horizontal="center"/>
    </xf>
    <xf numFmtId="0" fontId="29" fillId="2" borderId="2" xfId="0" applyFont="1" applyFill="1" applyBorder="1" applyAlignment="1">
      <alignment horizontal="left" wrapText="1"/>
    </xf>
    <xf numFmtId="0" fontId="29" fillId="2" borderId="9" xfId="0" applyFont="1" applyFill="1" applyBorder="1" applyAlignment="1">
      <alignment horizontal="left" wrapText="1"/>
    </xf>
    <xf numFmtId="0" fontId="29" fillId="2" borderId="23" xfId="0" applyFont="1" applyFill="1" applyBorder="1" applyAlignment="1">
      <alignment horizontal="left" wrapText="1"/>
    </xf>
    <xf numFmtId="0" fontId="29" fillId="2" borderId="1" xfId="0" applyFont="1" applyFill="1" applyBorder="1" applyAlignment="1">
      <alignment horizontal="left" wrapText="1"/>
    </xf>
    <xf numFmtId="0" fontId="30" fillId="0" borderId="2" xfId="0" applyFont="1" applyBorder="1" applyAlignment="1">
      <alignment horizontal="left" vertical="center"/>
    </xf>
    <xf numFmtId="0" fontId="29" fillId="0" borderId="9" xfId="0" applyFont="1" applyBorder="1" applyAlignment="1">
      <alignment horizontal="center"/>
    </xf>
    <xf numFmtId="0" fontId="29" fillId="0" borderId="1" xfId="0" applyFont="1" applyBorder="1" applyAlignment="1">
      <alignment horizontal="center"/>
    </xf>
    <xf numFmtId="0" fontId="28" fillId="0" borderId="10" xfId="0" applyFont="1" applyBorder="1" applyAlignment="1">
      <alignment horizontal="left" vertical="center" wrapText="1"/>
    </xf>
    <xf numFmtId="0" fontId="28" fillId="0" borderId="0" xfId="0" applyFont="1" applyBorder="1" applyAlignment="1">
      <alignment horizontal="left" vertical="center" wrapText="1"/>
    </xf>
    <xf numFmtId="0" fontId="32" fillId="0" borderId="2" xfId="0" applyFont="1" applyBorder="1" applyAlignment="1">
      <alignment horizontal="center"/>
    </xf>
    <xf numFmtId="0" fontId="30" fillId="0" borderId="2" xfId="0" applyFont="1" applyBorder="1" applyAlignment="1">
      <alignment horizontal="center"/>
    </xf>
    <xf numFmtId="41" fontId="20" fillId="0" borderId="2" xfId="1" applyNumberFormat="1" applyFont="1" applyFill="1" applyBorder="1"/>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CWH</a:t>
          </a:r>
          <a:r>
            <a:rPr lang="en-CA" sz="1100" baseline="0">
              <a:solidFill>
                <a:schemeClr val="dk1"/>
              </a:solidFill>
              <a:effectLst/>
              <a:latin typeface="+mn-lt"/>
              <a:ea typeface="+mn-ea"/>
              <a:cs typeface="+mn-cs"/>
            </a:rPr>
            <a:t> uses 1st Estimate GA rate each month for the billing purpose. When there is a final bill which span more than one load month, the billing system (North Star) would prorate the consumption and apply the particular GA rate for the particular billing load moth. This GA rate is used and applied consistently for all billing and unbilled revenue transactions for non-RPP Class B customers in each customer class.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98</xdr:row>
      <xdr:rowOff>123825</xdr:rowOff>
    </xdr:from>
    <xdr:to>
      <xdr:col>8</xdr:col>
      <xdr:colOff>0</xdr:colOff>
      <xdr:row>110</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All</a:t>
          </a:r>
          <a:r>
            <a:rPr lang="en-CA" sz="1100" baseline="0">
              <a:latin typeface="Arial" panose="020B0604020202020204" pitchFamily="34" charset="0"/>
              <a:cs typeface="Arial" panose="020B0604020202020204" pitchFamily="34" charset="0"/>
            </a:rPr>
            <a:t> of the adjustments are the matters of allocation between RPP and Non-RPP.</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2723A19A-DA06-4879-9980-9257F5BCB272}"/>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CWH</a:t>
          </a:r>
          <a:r>
            <a:rPr lang="en-CA" sz="1100" baseline="0">
              <a:solidFill>
                <a:schemeClr val="dk1"/>
              </a:solidFill>
              <a:effectLst/>
              <a:latin typeface="+mn-lt"/>
              <a:ea typeface="+mn-ea"/>
              <a:cs typeface="+mn-cs"/>
            </a:rPr>
            <a:t> uses 1st Estimate GA rate each month for the billing purpose. When there is a final bill which span more than one load month, the billing system (North Star) would prorate the consumption and apply the particular GA rate for the particular billing load moth. This GA rate is used and applied consistently for all billing and unbilled revenue transactions for non-RPP Class B customers in each customer class.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102</xdr:row>
      <xdr:rowOff>123825</xdr:rowOff>
    </xdr:from>
    <xdr:to>
      <xdr:col>8</xdr:col>
      <xdr:colOff>0</xdr:colOff>
      <xdr:row>114</xdr:row>
      <xdr:rowOff>0</xdr:rowOff>
    </xdr:to>
    <xdr:sp macro="" textlink="">
      <xdr:nvSpPr>
        <xdr:cNvPr id="3" name="TextBox 2">
          <a:extLst>
            <a:ext uri="{FF2B5EF4-FFF2-40B4-BE49-F238E27FC236}">
              <a16:creationId xmlns:a16="http://schemas.microsoft.com/office/drawing/2014/main" id="{974D7390-6523-4203-BE7F-7B66087F79A3}"/>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5295AB5-003B-41D1-9216-D83531C00FB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AA55EA4-AC7E-4D27-AD52-B2D0B1BECFEC}"/>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F4517AB6-5628-41E9-822F-2B4F03B01FA6}"/>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5DF00284-D784-48A6-AB3B-2DD08BA5B6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3574CEEB-7D10-4763-B5F4-2F283D89310D}"/>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CWH</a:t>
          </a:r>
          <a:r>
            <a:rPr lang="en-CA" sz="1100" baseline="0">
              <a:solidFill>
                <a:schemeClr val="dk1"/>
              </a:solidFill>
              <a:effectLst/>
              <a:latin typeface="+mn-lt"/>
              <a:ea typeface="+mn-ea"/>
              <a:cs typeface="+mn-cs"/>
            </a:rPr>
            <a:t> uses 1st Estimate GA rate each month for the billing purpose. When there is a final bill which span more than one load month, the billing system (North Star) would prorate the consumption and apply the particular GA rate for the particular billing load moth. This GA rate is used and applied consistently for all billing and unbilled revenue transactions for non-RPP Class B customers in each customer class.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101</xdr:row>
      <xdr:rowOff>123825</xdr:rowOff>
    </xdr:from>
    <xdr:to>
      <xdr:col>8</xdr:col>
      <xdr:colOff>0</xdr:colOff>
      <xdr:row>113</xdr:row>
      <xdr:rowOff>0</xdr:rowOff>
    </xdr:to>
    <xdr:sp macro="" textlink="">
      <xdr:nvSpPr>
        <xdr:cNvPr id="3" name="TextBox 2">
          <a:extLst>
            <a:ext uri="{FF2B5EF4-FFF2-40B4-BE49-F238E27FC236}">
              <a16:creationId xmlns:a16="http://schemas.microsoft.com/office/drawing/2014/main" id="{D8C64988-A520-4B7E-8296-08A6ED011812}"/>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3ABE774F-0419-4FCF-9643-4DCD4186538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9DBC850-8E3C-4D85-B8D6-77DA97051C9F}"/>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4BA27FC4-DE8C-4C90-A6DC-458BC91C6136}"/>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294BA3F1-E56D-4C39-9F3C-88874E1162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Z83"/>
  <sheetViews>
    <sheetView topLeftCell="A67" zoomScaleNormal="100" zoomScaleSheetLayoutView="85" workbookViewId="0">
      <selection activeCell="C6" sqref="C6"/>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1" spans="1:3" ht="15.75" x14ac:dyDescent="0.2">
      <c r="A11" s="43" t="s">
        <v>122</v>
      </c>
    </row>
    <row r="13" spans="1:3" ht="15.75" x14ac:dyDescent="0.2">
      <c r="A13" s="44" t="s">
        <v>31</v>
      </c>
    </row>
    <row r="14" spans="1:3" ht="34.5" customHeight="1" x14ac:dyDescent="0.2">
      <c r="A14" s="409" t="s">
        <v>158</v>
      </c>
      <c r="B14" s="409"/>
      <c r="C14" s="409"/>
    </row>
    <row r="16" spans="1:3" ht="15.75" x14ac:dyDescent="0.2">
      <c r="A16" s="44" t="s">
        <v>46</v>
      </c>
    </row>
    <row r="17" spans="1:26" x14ac:dyDescent="0.2">
      <c r="A17" s="42" t="s">
        <v>47</v>
      </c>
    </row>
    <row r="18" spans="1:26" ht="33" customHeight="1" x14ac:dyDescent="0.2">
      <c r="A18" s="410" t="s">
        <v>85</v>
      </c>
      <c r="B18" s="410"/>
      <c r="C18" s="410"/>
    </row>
    <row r="20" spans="1:26" x14ac:dyDescent="0.2">
      <c r="A20" s="42">
        <v>1</v>
      </c>
      <c r="B20" s="412" t="s">
        <v>144</v>
      </c>
      <c r="C20" s="412"/>
    </row>
    <row r="21" spans="1:26" x14ac:dyDescent="0.2">
      <c r="B21" s="128"/>
      <c r="C21" s="128"/>
    </row>
    <row r="23" spans="1:26" ht="31.5" customHeight="1" x14ac:dyDescent="0.2">
      <c r="A23" s="42">
        <v>2</v>
      </c>
      <c r="B23" s="409" t="s">
        <v>86</v>
      </c>
      <c r="C23" s="409"/>
    </row>
    <row r="24" spans="1:26" x14ac:dyDescent="0.2">
      <c r="B24" s="127"/>
      <c r="C24" s="127"/>
    </row>
    <row r="26" spans="1:26" x14ac:dyDescent="0.2">
      <c r="A26" s="42">
        <v>3</v>
      </c>
      <c r="B26" s="411" t="s">
        <v>109</v>
      </c>
      <c r="C26" s="411"/>
    </row>
    <row r="27" spans="1:26" ht="32.25" customHeight="1" x14ac:dyDescent="0.2">
      <c r="B27" s="409" t="s">
        <v>117</v>
      </c>
      <c r="C27" s="409"/>
    </row>
    <row r="28" spans="1:26" ht="63" customHeight="1" x14ac:dyDescent="0.2">
      <c r="B28" s="409" t="s">
        <v>131</v>
      </c>
      <c r="C28" s="40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409" t="s">
        <v>118</v>
      </c>
      <c r="C29" s="40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409" t="s">
        <v>159</v>
      </c>
      <c r="B33" s="409"/>
      <c r="C33" s="409"/>
    </row>
    <row r="34" spans="1:3" x14ac:dyDescent="0.2">
      <c r="B34" s="127"/>
      <c r="C34" s="127"/>
    </row>
    <row r="35" spans="1:3" x14ac:dyDescent="0.2">
      <c r="B35" s="84"/>
    </row>
    <row r="36" spans="1:3" x14ac:dyDescent="0.2">
      <c r="A36" s="42">
        <v>4</v>
      </c>
      <c r="B36" s="411" t="s">
        <v>145</v>
      </c>
      <c r="C36" s="411"/>
    </row>
    <row r="37" spans="1:3" ht="78.75" customHeight="1" x14ac:dyDescent="0.2">
      <c r="B37" s="409" t="s">
        <v>146</v>
      </c>
      <c r="C37" s="409"/>
    </row>
    <row r="38" spans="1:3" ht="65.25" customHeight="1" x14ac:dyDescent="0.2">
      <c r="B38" s="409" t="s">
        <v>124</v>
      </c>
      <c r="C38" s="409"/>
    </row>
    <row r="39" spans="1:3" ht="31.5" customHeight="1" x14ac:dyDescent="0.2">
      <c r="B39" s="409" t="s">
        <v>123</v>
      </c>
      <c r="C39" s="409"/>
    </row>
    <row r="40" spans="1:3" ht="30" customHeight="1" x14ac:dyDescent="0.2">
      <c r="B40" s="409" t="s">
        <v>125</v>
      </c>
      <c r="C40" s="409"/>
    </row>
    <row r="41" spans="1:3" x14ac:dyDescent="0.2">
      <c r="B41" s="127"/>
      <c r="C41" s="127"/>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409" t="s">
        <v>138</v>
      </c>
      <c r="C49" s="409"/>
    </row>
    <row r="51" spans="2:3" ht="30" customHeight="1" x14ac:dyDescent="0.2">
      <c r="B51" s="409" t="s">
        <v>120</v>
      </c>
      <c r="C51" s="409"/>
    </row>
    <row r="52" spans="2:3" ht="30" customHeight="1" x14ac:dyDescent="0.2">
      <c r="B52" s="409" t="s">
        <v>88</v>
      </c>
      <c r="C52" s="409"/>
    </row>
    <row r="53" spans="2:3" x14ac:dyDescent="0.2">
      <c r="B53" s="127"/>
      <c r="C53" s="127"/>
    </row>
    <row r="54" spans="2:3" x14ac:dyDescent="0.2">
      <c r="B54" s="130" t="s">
        <v>89</v>
      </c>
    </row>
    <row r="55" spans="2:3" x14ac:dyDescent="0.2">
      <c r="B55" s="91" t="s">
        <v>90</v>
      </c>
      <c r="C55" s="41" t="s">
        <v>91</v>
      </c>
    </row>
    <row r="56" spans="2:3" ht="45" x14ac:dyDescent="0.2">
      <c r="B56" s="91"/>
      <c r="C56" s="41" t="s">
        <v>160</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7"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7" t="s">
        <v>148</v>
      </c>
    </row>
    <row r="69" spans="1:3" ht="30" x14ac:dyDescent="0.2">
      <c r="B69" s="92"/>
      <c r="C69" s="127" t="s">
        <v>149</v>
      </c>
    </row>
    <row r="70" spans="1:3" x14ac:dyDescent="0.2">
      <c r="B70" s="92" t="s">
        <v>106</v>
      </c>
      <c r="C70" s="40" t="s">
        <v>105</v>
      </c>
    </row>
    <row r="71" spans="1:3" ht="30" x14ac:dyDescent="0.2">
      <c r="B71" s="92"/>
      <c r="C71" s="127" t="s">
        <v>107</v>
      </c>
    </row>
    <row r="72" spans="1:3" x14ac:dyDescent="0.2">
      <c r="B72" s="92" t="s">
        <v>150</v>
      </c>
      <c r="C72" s="127" t="s">
        <v>140</v>
      </c>
    </row>
    <row r="73" spans="1:3" ht="45" x14ac:dyDescent="0.2">
      <c r="B73" s="92"/>
      <c r="C73" s="127" t="s">
        <v>152</v>
      </c>
    </row>
    <row r="74" spans="1:3" x14ac:dyDescent="0.2">
      <c r="B74" s="92" t="s">
        <v>151</v>
      </c>
      <c r="C74" s="127" t="s">
        <v>153</v>
      </c>
    </row>
    <row r="75" spans="1:3" ht="30" x14ac:dyDescent="0.2">
      <c r="B75" s="92"/>
      <c r="C75" s="127" t="s">
        <v>127</v>
      </c>
    </row>
    <row r="76" spans="1:3" x14ac:dyDescent="0.2">
      <c r="B76" s="92"/>
      <c r="C76" s="127"/>
    </row>
    <row r="77" spans="1:3" x14ac:dyDescent="0.2">
      <c r="A77" s="42">
        <v>6</v>
      </c>
      <c r="B77" s="131" t="s">
        <v>155</v>
      </c>
      <c r="C77" s="127"/>
    </row>
    <row r="78" spans="1:3" ht="59.25" customHeight="1" x14ac:dyDescent="0.2">
      <c r="B78" s="410" t="s">
        <v>156</v>
      </c>
      <c r="C78" s="410"/>
    </row>
    <row r="79" spans="1:3" x14ac:dyDescent="0.2">
      <c r="B79" s="86"/>
      <c r="C79" s="127"/>
    </row>
    <row r="81" spans="1:3" ht="30.75" customHeight="1" x14ac:dyDescent="0.2">
      <c r="A81" s="42">
        <v>7</v>
      </c>
      <c r="B81" s="409" t="s">
        <v>157</v>
      </c>
      <c r="C81" s="409"/>
    </row>
    <row r="82" spans="1:3" x14ac:dyDescent="0.2">
      <c r="B82" s="127"/>
      <c r="C82" s="127"/>
    </row>
    <row r="83" spans="1:3" ht="15.75" customHeight="1" x14ac:dyDescent="0.2">
      <c r="B83" s="412" t="s">
        <v>108</v>
      </c>
      <c r="C83" s="41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81" fitToHeight="2"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AA106"/>
  <sheetViews>
    <sheetView tabSelected="1" topLeftCell="A86" zoomScaleNormal="100" zoomScaleSheetLayoutView="100" workbookViewId="0">
      <selection activeCell="E64" sqref="E64:I64"/>
    </sheetView>
  </sheetViews>
  <sheetFormatPr defaultColWidth="9.140625" defaultRowHeight="14.25" x14ac:dyDescent="0.2"/>
  <cols>
    <col min="1" max="1" width="10.28515625" style="150" customWidth="1"/>
    <col min="2" max="2" width="53.85546875" style="150" customWidth="1"/>
    <col min="3" max="3" width="28.140625" style="150" customWidth="1"/>
    <col min="4" max="4" width="23.140625" style="150" customWidth="1"/>
    <col min="5" max="5" width="19.140625" style="150" customWidth="1"/>
    <col min="6" max="6" width="24.42578125" style="150" customWidth="1"/>
    <col min="7" max="7" width="15.85546875" style="150" customWidth="1"/>
    <col min="8" max="8" width="18.140625" style="150" customWidth="1"/>
    <col min="9" max="9" width="17.7109375" style="150" customWidth="1"/>
    <col min="10" max="10" width="17.28515625" style="150" customWidth="1"/>
    <col min="11" max="11" width="18.140625" style="150" customWidth="1"/>
    <col min="12" max="12" width="10.7109375" style="150" customWidth="1"/>
    <col min="13" max="13" width="10.28515625" style="150" customWidth="1"/>
    <col min="14" max="14" width="11.85546875" style="150" customWidth="1"/>
    <col min="15" max="15" width="10.7109375" style="150" customWidth="1"/>
    <col min="16" max="16" width="10.28515625" style="150" customWidth="1"/>
    <col min="17" max="17" width="10.7109375" style="150" customWidth="1"/>
    <col min="18" max="18" width="16.5703125" style="150" bestFit="1" customWidth="1"/>
    <col min="19" max="19" width="15.7109375" style="150" bestFit="1" customWidth="1"/>
    <col min="20" max="20" width="16.85546875" style="150" bestFit="1" customWidth="1"/>
    <col min="21" max="21" width="10.85546875" style="150" customWidth="1"/>
    <col min="22" max="22" width="15.7109375" style="150" bestFit="1" customWidth="1"/>
    <col min="23" max="25" width="14.5703125" style="150" bestFit="1" customWidth="1"/>
    <col min="26" max="26" width="15.28515625" style="150" bestFit="1" customWidth="1"/>
    <col min="27" max="27" width="12.28515625" style="150" bestFit="1" customWidth="1"/>
    <col min="28" max="16384" width="9.140625" style="150"/>
  </cols>
  <sheetData>
    <row r="12" spans="1:24" ht="15" x14ac:dyDescent="0.25">
      <c r="A12" s="148" t="s">
        <v>48</v>
      </c>
      <c r="B12" s="149"/>
      <c r="C12" s="148"/>
    </row>
    <row r="13" spans="1:24" x14ac:dyDescent="0.2">
      <c r="A13" s="149"/>
      <c r="B13" s="149"/>
      <c r="C13" s="149"/>
    </row>
    <row r="14" spans="1:24" ht="15" x14ac:dyDescent="0.2">
      <c r="A14" s="149"/>
      <c r="B14" s="149" t="s">
        <v>32</v>
      </c>
      <c r="C14" s="151"/>
      <c r="D14" s="149"/>
      <c r="E14" s="149"/>
      <c r="F14" s="149"/>
      <c r="X14" s="150">
        <v>2014</v>
      </c>
    </row>
    <row r="15" spans="1:24" ht="15" x14ac:dyDescent="0.2">
      <c r="A15" s="149"/>
      <c r="B15" s="149" t="s">
        <v>60</v>
      </c>
      <c r="C15" s="152"/>
      <c r="D15" s="149"/>
      <c r="E15" s="149"/>
      <c r="F15" s="149"/>
    </row>
    <row r="16" spans="1:24" ht="15" x14ac:dyDescent="0.2">
      <c r="A16" s="149"/>
      <c r="B16" s="153"/>
      <c r="C16" s="153"/>
      <c r="D16" s="149"/>
      <c r="E16" s="149"/>
      <c r="F16" s="149"/>
      <c r="X16" s="150">
        <v>2015</v>
      </c>
    </row>
    <row r="17" spans="1:24" ht="15" x14ac:dyDescent="0.2">
      <c r="A17" s="149" t="s">
        <v>33</v>
      </c>
      <c r="B17" s="153" t="s">
        <v>132</v>
      </c>
      <c r="C17" s="154">
        <v>2016</v>
      </c>
      <c r="D17" s="149"/>
      <c r="E17" s="149"/>
      <c r="F17" s="149"/>
      <c r="X17" s="150">
        <v>2016</v>
      </c>
    </row>
    <row r="18" spans="1:24" ht="15" x14ac:dyDescent="0.2">
      <c r="A18" s="149"/>
      <c r="B18" s="153"/>
      <c r="C18" s="153"/>
      <c r="D18" s="149"/>
      <c r="E18" s="149"/>
      <c r="F18" s="149"/>
    </row>
    <row r="19" spans="1:24" ht="15" x14ac:dyDescent="0.2">
      <c r="A19" s="149"/>
      <c r="B19" s="153"/>
      <c r="C19" s="153"/>
      <c r="D19" s="149"/>
      <c r="E19" s="149"/>
      <c r="F19" s="149"/>
    </row>
    <row r="20" spans="1:24" ht="15" x14ac:dyDescent="0.2">
      <c r="A20" s="149" t="s">
        <v>34</v>
      </c>
      <c r="B20" s="155" t="s">
        <v>82</v>
      </c>
      <c r="C20" s="156"/>
      <c r="D20" s="156"/>
      <c r="E20" s="156"/>
      <c r="F20" s="156"/>
      <c r="I20" s="157"/>
      <c r="J20" s="157"/>
      <c r="K20" s="157"/>
      <c r="L20" s="157"/>
      <c r="M20" s="157"/>
      <c r="N20" s="157"/>
      <c r="O20" s="157"/>
      <c r="P20" s="157"/>
      <c r="Q20" s="157"/>
      <c r="R20" s="157"/>
      <c r="S20" s="157"/>
    </row>
    <row r="21" spans="1:24" ht="15" x14ac:dyDescent="0.2">
      <c r="A21" s="149"/>
      <c r="B21" s="415" t="s">
        <v>25</v>
      </c>
      <c r="C21" s="415"/>
      <c r="D21" s="154">
        <v>2016</v>
      </c>
      <c r="E21" s="416"/>
      <c r="F21" s="417"/>
      <c r="G21" s="157"/>
      <c r="H21" s="157"/>
      <c r="I21" s="157"/>
      <c r="J21" s="157"/>
      <c r="K21" s="157"/>
      <c r="L21" s="157"/>
      <c r="M21" s="157"/>
      <c r="N21" s="157"/>
      <c r="O21" s="157"/>
      <c r="P21" s="157"/>
      <c r="Q21" s="157"/>
    </row>
    <row r="22" spans="1:24" ht="15" thickBot="1" x14ac:dyDescent="0.25">
      <c r="A22" s="149"/>
      <c r="B22" s="158" t="s">
        <v>3</v>
      </c>
      <c r="C22" s="158" t="s">
        <v>2</v>
      </c>
      <c r="D22" s="159">
        <f>D23+D24</f>
        <v>138233652</v>
      </c>
      <c r="E22" s="160" t="s">
        <v>0</v>
      </c>
      <c r="F22" s="161">
        <v>1</v>
      </c>
      <c r="G22" s="157"/>
      <c r="H22" s="157"/>
      <c r="I22" s="157"/>
      <c r="J22" s="157"/>
      <c r="K22" s="157"/>
      <c r="L22" s="157"/>
      <c r="M22" s="157"/>
      <c r="N22" s="157"/>
      <c r="O22" s="157"/>
      <c r="P22" s="157"/>
      <c r="Q22" s="157"/>
    </row>
    <row r="23" spans="1:24" x14ac:dyDescent="0.2">
      <c r="B23" s="158" t="s">
        <v>7</v>
      </c>
      <c r="C23" s="158" t="s">
        <v>1</v>
      </c>
      <c r="D23" s="162">
        <f>62866986</f>
        <v>62866986</v>
      </c>
      <c r="E23" s="160" t="s">
        <v>0</v>
      </c>
      <c r="F23" s="163">
        <f>IFERROR(D23/$D$22,0)</f>
        <v>0.45478785440755048</v>
      </c>
    </row>
    <row r="24" spans="1:24" ht="15" thickBot="1" x14ac:dyDescent="0.25">
      <c r="B24" s="158" t="s">
        <v>8</v>
      </c>
      <c r="C24" s="158" t="s">
        <v>6</v>
      </c>
      <c r="D24" s="159">
        <f>D25+D26</f>
        <v>75366666</v>
      </c>
      <c r="E24" s="160" t="s">
        <v>0</v>
      </c>
      <c r="F24" s="163">
        <f>IFERROR(D24/$D$22,0)</f>
        <v>0.54521214559244946</v>
      </c>
    </row>
    <row r="25" spans="1:24" x14ac:dyDescent="0.2">
      <c r="B25" s="158" t="s">
        <v>9</v>
      </c>
      <c r="C25" s="158" t="s">
        <v>4</v>
      </c>
      <c r="D25" s="164">
        <v>0</v>
      </c>
      <c r="E25" s="160" t="s">
        <v>0</v>
      </c>
      <c r="F25" s="163">
        <f>IFERROR(D25/$D$22,0)</f>
        <v>0</v>
      </c>
    </row>
    <row r="26" spans="1:24" ht="15" x14ac:dyDescent="0.2">
      <c r="B26" s="158" t="s">
        <v>210</v>
      </c>
      <c r="C26" s="158" t="s">
        <v>5</v>
      </c>
      <c r="D26" s="165">
        <f>62027687.32-2977020.32+16315999</f>
        <v>75366666</v>
      </c>
      <c r="E26" s="160" t="s">
        <v>0</v>
      </c>
      <c r="F26" s="163">
        <f>IFERROR(D26/$D$22,0)</f>
        <v>0.54521214559244946</v>
      </c>
      <c r="G26" s="166"/>
      <c r="H26" s="166"/>
    </row>
    <row r="27" spans="1:24" ht="34.5" customHeight="1" x14ac:dyDescent="0.2">
      <c r="B27" s="418" t="s">
        <v>77</v>
      </c>
      <c r="C27" s="418"/>
      <c r="D27" s="418"/>
      <c r="E27" s="418"/>
      <c r="F27" s="418"/>
      <c r="G27" s="419"/>
      <c r="H27" s="419"/>
    </row>
    <row r="28" spans="1:24" x14ac:dyDescent="0.2">
      <c r="D28" s="167"/>
      <c r="E28" s="168"/>
      <c r="F28" s="168"/>
      <c r="G28" s="168"/>
    </row>
    <row r="29" spans="1:24" ht="15" x14ac:dyDescent="0.25">
      <c r="A29" s="150" t="s">
        <v>35</v>
      </c>
      <c r="B29" s="169" t="s">
        <v>41</v>
      </c>
    </row>
    <row r="30" spans="1:24" ht="15" x14ac:dyDescent="0.25">
      <c r="B30" s="169"/>
    </row>
    <row r="31" spans="1:24" ht="15" x14ac:dyDescent="0.25">
      <c r="B31" s="170" t="s">
        <v>22</v>
      </c>
      <c r="C31" s="171" t="s">
        <v>161</v>
      </c>
      <c r="E31" s="157"/>
      <c r="F31" s="168"/>
      <c r="G31" s="168"/>
      <c r="H31" s="168"/>
      <c r="I31" s="168"/>
      <c r="J31" s="168"/>
      <c r="K31" s="168"/>
    </row>
    <row r="32" spans="1:24" x14ac:dyDescent="0.2">
      <c r="E32" s="157"/>
      <c r="F32" s="168"/>
      <c r="G32" s="168"/>
      <c r="H32" s="168"/>
      <c r="I32" s="168"/>
      <c r="J32" s="168"/>
      <c r="K32" s="168"/>
    </row>
    <row r="33" spans="1:27" ht="15" x14ac:dyDescent="0.25">
      <c r="B33" s="170" t="s">
        <v>42</v>
      </c>
    </row>
    <row r="34" spans="1:27" ht="15" customHeight="1" x14ac:dyDescent="0.25">
      <c r="B34" s="172"/>
      <c r="C34" s="172"/>
      <c r="D34" s="172"/>
      <c r="E34" s="172"/>
      <c r="F34" s="172"/>
      <c r="G34" s="172"/>
      <c r="H34" s="172"/>
    </row>
    <row r="35" spans="1:27" ht="15" customHeight="1" x14ac:dyDescent="0.25">
      <c r="B35" s="172"/>
      <c r="C35" s="172"/>
      <c r="D35" s="172"/>
      <c r="E35" s="172"/>
      <c r="F35" s="172"/>
      <c r="G35" s="172"/>
      <c r="H35" s="172"/>
    </row>
    <row r="36" spans="1:27" ht="15" customHeight="1" x14ac:dyDescent="0.25">
      <c r="B36" s="172"/>
      <c r="C36" s="172"/>
      <c r="D36" s="172"/>
      <c r="E36" s="172"/>
      <c r="F36" s="172"/>
      <c r="G36" s="172"/>
      <c r="H36" s="172"/>
    </row>
    <row r="37" spans="1:27" ht="15" customHeight="1" x14ac:dyDescent="0.25">
      <c r="B37" s="172"/>
      <c r="C37" s="172"/>
      <c r="D37" s="172"/>
      <c r="E37" s="172"/>
      <c r="F37" s="172"/>
      <c r="G37" s="172"/>
      <c r="H37" s="172"/>
    </row>
    <row r="38" spans="1:27" ht="14.25" customHeight="1" x14ac:dyDescent="0.25">
      <c r="B38" s="172"/>
      <c r="C38" s="172"/>
      <c r="D38" s="172"/>
      <c r="E38" s="172"/>
      <c r="F38" s="172"/>
      <c r="G38" s="172"/>
      <c r="H38" s="172"/>
    </row>
    <row r="39" spans="1:27" ht="14.25" customHeight="1" x14ac:dyDescent="0.25">
      <c r="B39" s="172"/>
      <c r="C39" s="172"/>
      <c r="D39" s="172"/>
      <c r="E39" s="172"/>
      <c r="F39" s="172"/>
      <c r="G39" s="172"/>
      <c r="H39" s="172"/>
    </row>
    <row r="40" spans="1:27" s="168" customFormat="1" ht="14.25" customHeight="1" x14ac:dyDescent="0.25">
      <c r="B40" s="172"/>
      <c r="C40" s="172"/>
      <c r="D40" s="172"/>
      <c r="E40" s="172"/>
      <c r="F40" s="172"/>
      <c r="G40" s="172"/>
      <c r="H40" s="172"/>
    </row>
    <row r="41" spans="1:27" s="168" customFormat="1" ht="14.25" customHeight="1" x14ac:dyDescent="0.25">
      <c r="B41" s="172"/>
      <c r="C41" s="172"/>
      <c r="D41" s="172"/>
      <c r="E41" s="172"/>
      <c r="F41" s="172"/>
      <c r="G41" s="172"/>
      <c r="H41" s="172"/>
    </row>
    <row r="43" spans="1:27" ht="15" x14ac:dyDescent="0.25">
      <c r="A43" s="150" t="s">
        <v>36</v>
      </c>
      <c r="B43" s="148" t="s">
        <v>145</v>
      </c>
      <c r="C43" s="169"/>
    </row>
    <row r="44" spans="1:27" ht="15.75" thickBot="1" x14ac:dyDescent="0.3">
      <c r="B44" s="170" t="s">
        <v>25</v>
      </c>
      <c r="C44" s="173"/>
      <c r="D44" s="157"/>
      <c r="E44" s="157"/>
      <c r="F44" s="174"/>
      <c r="G44" s="175"/>
      <c r="H44" s="175"/>
      <c r="I44" s="175"/>
      <c r="J44" s="175"/>
      <c r="K44" s="175"/>
      <c r="N44" s="169" t="s">
        <v>29</v>
      </c>
    </row>
    <row r="45" spans="1:27" s="176" customFormat="1" ht="80.25" customHeight="1" thickBot="1" x14ac:dyDescent="0.3">
      <c r="B45" s="177" t="s">
        <v>39</v>
      </c>
      <c r="C45" s="178" t="s">
        <v>143</v>
      </c>
      <c r="D45" s="179" t="s">
        <v>83</v>
      </c>
      <c r="E45" s="180" t="s">
        <v>84</v>
      </c>
      <c r="F45" s="181" t="s">
        <v>130</v>
      </c>
      <c r="G45" s="182" t="s">
        <v>49</v>
      </c>
      <c r="H45" s="182" t="s">
        <v>23</v>
      </c>
      <c r="I45" s="182" t="s">
        <v>50</v>
      </c>
      <c r="J45" s="182" t="s">
        <v>76</v>
      </c>
      <c r="K45" s="183" t="s">
        <v>78</v>
      </c>
      <c r="N45" s="184"/>
      <c r="O45" s="423">
        <v>2016</v>
      </c>
      <c r="P45" s="423"/>
      <c r="Q45" s="423"/>
    </row>
    <row r="46" spans="1:27" s="176" customFormat="1" ht="90" x14ac:dyDescent="0.25">
      <c r="B46" s="185"/>
      <c r="C46" s="186" t="s">
        <v>40</v>
      </c>
      <c r="D46" s="186" t="s">
        <v>38</v>
      </c>
      <c r="E46" s="187" t="s">
        <v>53</v>
      </c>
      <c r="F46" s="187" t="s">
        <v>54</v>
      </c>
      <c r="G46" s="187" t="s">
        <v>55</v>
      </c>
      <c r="H46" s="188" t="s">
        <v>56</v>
      </c>
      <c r="I46" s="187" t="s">
        <v>57</v>
      </c>
      <c r="J46" s="188" t="s">
        <v>58</v>
      </c>
      <c r="K46" s="189" t="s">
        <v>59</v>
      </c>
      <c r="N46" s="190" t="s">
        <v>30</v>
      </c>
      <c r="O46" s="191" t="s">
        <v>26</v>
      </c>
      <c r="P46" s="191" t="s">
        <v>27</v>
      </c>
      <c r="Q46" s="191" t="s">
        <v>28</v>
      </c>
      <c r="R46" s="176" t="s">
        <v>182</v>
      </c>
      <c r="S46" s="176" t="s">
        <v>173</v>
      </c>
      <c r="T46" s="176" t="s">
        <v>183</v>
      </c>
      <c r="V46" s="176" t="s">
        <v>184</v>
      </c>
      <c r="W46" s="176" t="s">
        <v>185</v>
      </c>
      <c r="X46" s="176" t="s">
        <v>174</v>
      </c>
      <c r="Y46" s="9" t="s">
        <v>215</v>
      </c>
      <c r="Z46" s="176" t="s">
        <v>176</v>
      </c>
      <c r="AA46" s="176" t="s">
        <v>181</v>
      </c>
    </row>
    <row r="47" spans="1:27" x14ac:dyDescent="0.2">
      <c r="B47" s="192" t="s">
        <v>10</v>
      </c>
      <c r="C47" s="193">
        <f>(280+14+305+15+189536+9420+4636+230+13072+650+13874+690)+(43632+2169+12486+621+41961+2085+107937+5365+80132+3982+33795+1679+41653+2070+21629+1075+3181+158+447+22+10378+516+20646+1026)+622+(1864+93)+(22000+1093+69960+3477+131160+6519+66000+3280)+487125+1928257+1439000+1336842+52701+(1097+55)</f>
        <v>6222512</v>
      </c>
      <c r="D47" s="193">
        <f>(280+14+305+15+189536+9420+4636+230+13072+650+13874+690)+(43632+2169+12486+621+41961+2085+107936+5365+80132+3982+33795+1679+41653+2070+21629+1075+3181+158+447+22+10378+516+20646+1026)+622+(1864+93)+(22000+1093+69960+3477+131160+6519+66000+3280)+487125+1928257+1439000+1336842+52701+(1097+55)</f>
        <v>6222511</v>
      </c>
      <c r="E47" s="194">
        <f>+C48</f>
        <v>6936271</v>
      </c>
      <c r="F47" s="195">
        <f>C47-D47+E47</f>
        <v>6936272</v>
      </c>
      <c r="G47" s="196">
        <f>+O47</f>
        <v>8.4229999999999999E-2</v>
      </c>
      <c r="H47" s="197">
        <f>F47*G47</f>
        <v>584242.19056000002</v>
      </c>
      <c r="I47" s="196">
        <f>+Q47</f>
        <v>9.1789999999999997E-2</v>
      </c>
      <c r="J47" s="198">
        <f>F47*I47</f>
        <v>636680.40688000002</v>
      </c>
      <c r="K47" s="199">
        <f>J47-H47</f>
        <v>52438.216320000007</v>
      </c>
      <c r="N47" s="184" t="s">
        <v>10</v>
      </c>
      <c r="O47" s="200">
        <v>8.4229999999999999E-2</v>
      </c>
      <c r="P47" s="200">
        <v>9.214E-2</v>
      </c>
      <c r="Q47" s="200">
        <v>9.1789999999999997E-2</v>
      </c>
      <c r="R47" s="201">
        <f>381301.84/Q47</f>
        <v>4154067.327595599</v>
      </c>
      <c r="S47" s="201">
        <v>9020711.2400000002</v>
      </c>
      <c r="T47" s="201">
        <f>+R47+S47</f>
        <v>13174778.567595599</v>
      </c>
      <c r="U47" s="202">
        <v>0.52617999999999998</v>
      </c>
      <c r="V47" s="201">
        <f>ROUND(+T47*U47,2)</f>
        <v>6932304.9900000002</v>
      </c>
      <c r="W47" s="201">
        <f>ROUND(+V47*Q47,2)</f>
        <v>636316.28</v>
      </c>
      <c r="X47" s="201">
        <f>200633.4+435682.87</f>
        <v>636316.27</v>
      </c>
      <c r="Y47" s="201">
        <f>+W47-X47</f>
        <v>1.0000000009313226E-2</v>
      </c>
      <c r="Z47" s="201">
        <f>+V47-F47</f>
        <v>-3967.0099999997765</v>
      </c>
      <c r="AA47" s="150">
        <f>ROUND(+Z47*Q47,2)</f>
        <v>-364.13</v>
      </c>
    </row>
    <row r="48" spans="1:27" x14ac:dyDescent="0.2">
      <c r="B48" s="192" t="s">
        <v>11</v>
      </c>
      <c r="C48" s="193">
        <f>(266+13+286+14+196106+9746+6631+330+13967+694+16206+805)+(48852+2428+12534+623+53443+2657+106103+5273+84486+4199+40715+2023+38058+1891+22424+1114+2892+144+539+27+10740+534+19402+964)+550+(1864+93)+(23680+1177+90600+4503+158520+7878+84800+4215)+522499+2045775+1524893+1693704+63239+(1097+55)</f>
        <v>6936271</v>
      </c>
      <c r="D48" s="193">
        <f>+C48</f>
        <v>6936271</v>
      </c>
      <c r="E48" s="194">
        <f t="shared" ref="E48:E57" si="0">+C49</f>
        <v>6600737</v>
      </c>
      <c r="F48" s="195">
        <f>C48-D48+E48</f>
        <v>6600737</v>
      </c>
      <c r="G48" s="196">
        <f t="shared" ref="G48:G58" si="1">+O48</f>
        <v>0.10384</v>
      </c>
      <c r="H48" s="197">
        <f t="shared" ref="H48:H58" si="2">F48*G48</f>
        <v>685420.53008000006</v>
      </c>
      <c r="I48" s="196">
        <f t="shared" ref="I48:I58" si="3">+Q48</f>
        <v>9.851E-2</v>
      </c>
      <c r="J48" s="198">
        <f t="shared" ref="J48:J58" si="4">F48*I48</f>
        <v>650238.60187000001</v>
      </c>
      <c r="K48" s="199">
        <f t="shared" ref="K48:K58" si="5">J48-H48</f>
        <v>-35181.928210000042</v>
      </c>
      <c r="N48" s="184" t="s">
        <v>11</v>
      </c>
      <c r="O48" s="203">
        <v>0.10384</v>
      </c>
      <c r="P48" s="203">
        <v>9.6780000000000005E-2</v>
      </c>
      <c r="Q48" s="203">
        <v>9.851E-2</v>
      </c>
      <c r="R48" s="201">
        <f>391709.02/Q48</f>
        <v>3976337.6306973915</v>
      </c>
      <c r="S48" s="201">
        <v>8308721.5800000001</v>
      </c>
      <c r="T48" s="201">
        <f t="shared" ref="T48:T57" si="6">+R48+S48</f>
        <v>12285059.210697392</v>
      </c>
      <c r="U48" s="202">
        <v>0.53664999999999996</v>
      </c>
      <c r="V48" s="201">
        <f t="shared" ref="V48:V57" si="7">ROUND(+T48*U48,2)</f>
        <v>6592777.0300000003</v>
      </c>
      <c r="W48" s="201">
        <f t="shared" ref="W48:W58" si="8">ROUND(+V48*Q48,2)</f>
        <v>649454.47</v>
      </c>
      <c r="X48" s="201">
        <f>210210.65+439243.82</f>
        <v>649454.47</v>
      </c>
      <c r="Y48" s="201">
        <f t="shared" ref="Y48:Y57" si="9">+W48-X48</f>
        <v>0</v>
      </c>
      <c r="Z48" s="201">
        <f t="shared" ref="Z48:Z57" si="10">+V48-F48</f>
        <v>-7959.9699999997392</v>
      </c>
      <c r="AA48" s="150">
        <f t="shared" ref="AA48:AA57" si="11">ROUND(+Z48*Q48,2)</f>
        <v>-784.14</v>
      </c>
    </row>
    <row r="49" spans="1:27" x14ac:dyDescent="0.2">
      <c r="B49" s="192" t="s">
        <v>12</v>
      </c>
      <c r="C49" s="193">
        <f>(250+12+249+12+179694+8931+5745+286+12627+628+14505+721)+(49346+2453+11878+590+51080+2538+67728+3366+73535+3655+36565+1817+35729+1775+21397+1063+2574+128+491+24+11260+560+19159+952)+517+(1864+93)+(23280+1157+80520+4002+142200+7067+72000+3578)+496970+1962953+1507494+1613481+59160+(1027+51)</f>
        <v>6600737</v>
      </c>
      <c r="D49" s="193">
        <f t="shared" ref="D49:D58" si="12">+C49</f>
        <v>6600737</v>
      </c>
      <c r="E49" s="194">
        <f t="shared" si="0"/>
        <v>6858004</v>
      </c>
      <c r="F49" s="195">
        <f t="shared" ref="F49:F58" si="13">C49-D49+E49</f>
        <v>6858004</v>
      </c>
      <c r="G49" s="196">
        <f t="shared" si="1"/>
        <v>9.0219999999999995E-2</v>
      </c>
      <c r="H49" s="197">
        <f t="shared" si="2"/>
        <v>618729.12087999994</v>
      </c>
      <c r="I49" s="196">
        <f t="shared" si="3"/>
        <v>0.1061</v>
      </c>
      <c r="J49" s="198">
        <f t="shared" si="4"/>
        <v>727634.22439999995</v>
      </c>
      <c r="K49" s="199">
        <f t="shared" si="5"/>
        <v>108905.10352</v>
      </c>
      <c r="N49" s="184" t="s">
        <v>12</v>
      </c>
      <c r="O49" s="203">
        <v>9.0219999999999995E-2</v>
      </c>
      <c r="P49" s="203">
        <v>0.10299</v>
      </c>
      <c r="Q49" s="203">
        <v>0.1061</v>
      </c>
      <c r="R49" s="201">
        <f>421926.65/Q49</f>
        <v>3976688.5014137607</v>
      </c>
      <c r="S49" s="201">
        <v>8323279.3700000001</v>
      </c>
      <c r="T49" s="201">
        <f t="shared" si="6"/>
        <v>12299967.87141376</v>
      </c>
      <c r="U49" s="202">
        <v>0.55686999999999998</v>
      </c>
      <c r="V49" s="201">
        <f t="shared" si="7"/>
        <v>6849483.1100000003</v>
      </c>
      <c r="W49" s="201">
        <f t="shared" si="8"/>
        <v>726730.16</v>
      </c>
      <c r="X49" s="201">
        <f>234958.29+491771.86</f>
        <v>726730.15</v>
      </c>
      <c r="Y49" s="201">
        <f>+W49-X49</f>
        <v>1.0000000009313226E-2</v>
      </c>
      <c r="Z49" s="201">
        <f t="shared" si="10"/>
        <v>-8520.8899999996647</v>
      </c>
      <c r="AA49" s="150">
        <f t="shared" si="11"/>
        <v>-904.07</v>
      </c>
    </row>
    <row r="50" spans="1:27" x14ac:dyDescent="0.2">
      <c r="B50" s="192" t="s">
        <v>13</v>
      </c>
      <c r="C50" s="193">
        <f>(254+13+238+12+167869+8343+4930+245+12268+610+13365+664)+(49556+2463+13350+663+45242+2249+70863+3522+74270+3691+32781+1630+35084+1744+21377+1062+2412+120+391+19+10260+510+20793+1033)+607+(1864+93)+(22960+1141+68280+3394+131400+6531+71200+3539)+499153+2039445+1564653+1775457+63239+(1097+55)</f>
        <v>6858004</v>
      </c>
      <c r="D50" s="193">
        <f t="shared" si="12"/>
        <v>6858004</v>
      </c>
      <c r="E50" s="194">
        <f t="shared" si="0"/>
        <v>6509389</v>
      </c>
      <c r="F50" s="195">
        <f t="shared" si="13"/>
        <v>6509389</v>
      </c>
      <c r="G50" s="196">
        <f t="shared" si="1"/>
        <v>0.12114999999999999</v>
      </c>
      <c r="H50" s="197">
        <f t="shared" si="2"/>
        <v>788612.47734999994</v>
      </c>
      <c r="I50" s="196">
        <f t="shared" si="3"/>
        <v>0.11132</v>
      </c>
      <c r="J50" s="198">
        <f t="shared" si="4"/>
        <v>724625.18348000001</v>
      </c>
      <c r="K50" s="199">
        <f t="shared" si="5"/>
        <v>-63987.293869999936</v>
      </c>
      <c r="N50" s="184" t="s">
        <v>13</v>
      </c>
      <c r="O50" s="203">
        <v>0.12114999999999999</v>
      </c>
      <c r="P50" s="203">
        <v>0.11176999999999999</v>
      </c>
      <c r="Q50" s="203">
        <v>0.11132</v>
      </c>
      <c r="R50" s="201">
        <f>411618.51/Q50</f>
        <v>3697615.0736615164</v>
      </c>
      <c r="S50" s="201">
        <v>7759415.4100000001</v>
      </c>
      <c r="T50" s="201">
        <f t="shared" si="6"/>
        <v>11457030.483661518</v>
      </c>
      <c r="U50" s="202">
        <v>0.56667000000000001</v>
      </c>
      <c r="V50" s="201">
        <f t="shared" si="7"/>
        <v>6492355.46</v>
      </c>
      <c r="W50" s="201">
        <f t="shared" si="8"/>
        <v>722729.01</v>
      </c>
      <c r="X50" s="201">
        <f>233251.86+489477.15</f>
        <v>722729.01</v>
      </c>
      <c r="Y50" s="201">
        <f t="shared" si="9"/>
        <v>0</v>
      </c>
      <c r="Z50" s="201">
        <f t="shared" si="10"/>
        <v>-17033.540000000037</v>
      </c>
      <c r="AA50" s="150">
        <f t="shared" si="11"/>
        <v>-1896.17</v>
      </c>
    </row>
    <row r="51" spans="1:27" x14ac:dyDescent="0.2">
      <c r="B51" s="192" t="s">
        <v>14</v>
      </c>
      <c r="C51" s="193">
        <f>(247+12+198+10+152936+7601+3831+190+12046+598+12578+625)+(43595+2167+13169+654+54616+2715+67711+3365+71949+3576+28606+1421+31954+1588+20476+1018+2040+101+364+18+20298+1009)+512+(1864+93)+(19440+966+57960+2881+115680+5749+62400+3101)+493211+1949599+1505955+1678185+47396+(1062+53)</f>
        <v>6509389</v>
      </c>
      <c r="D51" s="193">
        <f t="shared" si="12"/>
        <v>6509389</v>
      </c>
      <c r="E51" s="194">
        <f t="shared" si="0"/>
        <v>6282327</v>
      </c>
      <c r="F51" s="195">
        <f t="shared" si="13"/>
        <v>6282327</v>
      </c>
      <c r="G51" s="196">
        <f t="shared" si="1"/>
        <v>0.10405</v>
      </c>
      <c r="H51" s="197">
        <f t="shared" si="2"/>
        <v>653676.12435000006</v>
      </c>
      <c r="I51" s="196">
        <f t="shared" si="3"/>
        <v>0.10749</v>
      </c>
      <c r="J51" s="198">
        <f t="shared" si="4"/>
        <v>675287.32923000003</v>
      </c>
      <c r="K51" s="199">
        <f t="shared" si="5"/>
        <v>21611.204879999976</v>
      </c>
      <c r="N51" s="184" t="s">
        <v>14</v>
      </c>
      <c r="O51" s="203">
        <v>0.10405</v>
      </c>
      <c r="P51" s="203">
        <v>0.11493</v>
      </c>
      <c r="Q51" s="203">
        <v>0.10749</v>
      </c>
      <c r="R51" s="201">
        <f>409192.38/Q51</f>
        <v>3806794.8646385712</v>
      </c>
      <c r="S51" s="201">
        <v>7308206.1900000004</v>
      </c>
      <c r="T51" s="201">
        <f t="shared" si="6"/>
        <v>11115001.054638572</v>
      </c>
      <c r="U51" s="202">
        <v>0.56583000000000006</v>
      </c>
      <c r="V51" s="201">
        <f t="shared" si="7"/>
        <v>6289201.0499999998</v>
      </c>
      <c r="W51" s="201">
        <f t="shared" si="8"/>
        <v>676026.22</v>
      </c>
      <c r="X51" s="201">
        <f>231533.32+444492.89</f>
        <v>676026.21</v>
      </c>
      <c r="Y51" s="201">
        <f t="shared" si="9"/>
        <v>1.0000000009313226E-2</v>
      </c>
      <c r="Z51" s="201">
        <f t="shared" si="10"/>
        <v>6874.0499999998137</v>
      </c>
      <c r="AA51" s="150">
        <f t="shared" si="11"/>
        <v>738.89</v>
      </c>
    </row>
    <row r="52" spans="1:27" x14ac:dyDescent="0.2">
      <c r="B52" s="192" t="s">
        <v>15</v>
      </c>
      <c r="C52" s="193">
        <f>(361+18+179+9+144426+7178+2178+108+12696+631+11349+564)+(38127+1895+15209+756+45641+2268+72668+3612+77115+3833+19993+994+34650+1722+22644+1125+1937+96+286+14+23545+1170)+373+(1864+93)+(18800+934+44520+2213+87960+4372+48000+2386)+492184+1915773+1652076+1412146+48484+(1097+55)</f>
        <v>6282327</v>
      </c>
      <c r="D52" s="193">
        <f t="shared" si="12"/>
        <v>6282327</v>
      </c>
      <c r="E52" s="194">
        <f t="shared" si="0"/>
        <v>6638094</v>
      </c>
      <c r="F52" s="195">
        <f t="shared" si="13"/>
        <v>6638094</v>
      </c>
      <c r="G52" s="196">
        <f t="shared" si="1"/>
        <v>0.11650000000000001</v>
      </c>
      <c r="H52" s="197">
        <f t="shared" si="2"/>
        <v>773337.951</v>
      </c>
      <c r="I52" s="196">
        <f t="shared" si="3"/>
        <v>9.5449999999999993E-2</v>
      </c>
      <c r="J52" s="198">
        <f t="shared" si="4"/>
        <v>633606.0723</v>
      </c>
      <c r="K52" s="199">
        <f t="shared" si="5"/>
        <v>-139731.8787</v>
      </c>
      <c r="N52" s="184" t="s">
        <v>15</v>
      </c>
      <c r="O52" s="203">
        <v>0.11650000000000001</v>
      </c>
      <c r="P52" s="203">
        <v>9.3600000000000003E-2</v>
      </c>
      <c r="Q52" s="203">
        <v>9.5449999999999993E-2</v>
      </c>
      <c r="R52" s="201">
        <f>383580.71/Q52</f>
        <v>4018655.9455212159</v>
      </c>
      <c r="S52" s="201">
        <v>7670871.4900000002</v>
      </c>
      <c r="T52" s="201">
        <f t="shared" si="6"/>
        <v>11689527.435521215</v>
      </c>
      <c r="U52" s="202">
        <v>0.56698000000000004</v>
      </c>
      <c r="V52" s="201">
        <f t="shared" si="7"/>
        <v>6627728.2699999996</v>
      </c>
      <c r="W52" s="201">
        <f t="shared" si="8"/>
        <v>632616.66</v>
      </c>
      <c r="X52" s="201">
        <f>217482.59+415134.07</f>
        <v>632616.66</v>
      </c>
      <c r="Y52" s="201">
        <f t="shared" si="9"/>
        <v>0</v>
      </c>
      <c r="Z52" s="201">
        <f t="shared" si="10"/>
        <v>-10365.730000000447</v>
      </c>
      <c r="AA52" s="150">
        <f t="shared" si="11"/>
        <v>-989.41</v>
      </c>
    </row>
    <row r="53" spans="1:27" x14ac:dyDescent="0.2">
      <c r="B53" s="192" t="s">
        <v>16</v>
      </c>
      <c r="C53" s="204">
        <f>(408+20+160+8+148747+7392+1551+77+13266+660+11044+549)+(22138+1100+15210+756+57401+2853+78732+3913+78769+3915+16729+832+36959+1837+25326+1259+1814+90+204+10+24859+1234)+327+(1864+93)+(19520+970+39360+1956+68640+3411+42000+2087)+495521+1898667+1771917+1683904+46920+(1062+53)</f>
        <v>6638094</v>
      </c>
      <c r="D53" s="193">
        <f t="shared" si="12"/>
        <v>6638094</v>
      </c>
      <c r="E53" s="194">
        <f t="shared" si="0"/>
        <v>6392659</v>
      </c>
      <c r="F53" s="195">
        <f t="shared" si="13"/>
        <v>6392659</v>
      </c>
      <c r="G53" s="196">
        <f t="shared" si="1"/>
        <v>7.6670000000000002E-2</v>
      </c>
      <c r="H53" s="197">
        <f t="shared" si="2"/>
        <v>490125.16553</v>
      </c>
      <c r="I53" s="196">
        <f t="shared" si="3"/>
        <v>8.3059999999999995E-2</v>
      </c>
      <c r="J53" s="198">
        <f t="shared" si="4"/>
        <v>530974.25653999997</v>
      </c>
      <c r="K53" s="199">
        <f t="shared" si="5"/>
        <v>40849.091009999975</v>
      </c>
      <c r="N53" s="184" t="s">
        <v>16</v>
      </c>
      <c r="O53" s="203">
        <v>7.6670000000000002E-2</v>
      </c>
      <c r="P53" s="203">
        <v>8.412E-2</v>
      </c>
      <c r="Q53" s="203">
        <v>8.3059999999999995E-2</v>
      </c>
      <c r="R53" s="201">
        <f>350583.1/Q53</f>
        <v>4220841.5603178423</v>
      </c>
      <c r="S53" s="201">
        <v>8262106.8499999996</v>
      </c>
      <c r="T53" s="201">
        <f t="shared" si="6"/>
        <v>12482948.410317842</v>
      </c>
      <c r="U53" s="202">
        <v>0.51302000000000003</v>
      </c>
      <c r="V53" s="201">
        <f t="shared" si="7"/>
        <v>6404002.1900000004</v>
      </c>
      <c r="W53" s="201">
        <f t="shared" si="8"/>
        <v>531916.42000000004</v>
      </c>
      <c r="X53" s="201">
        <f>179856.14+352060.28</f>
        <v>531916.42000000004</v>
      </c>
      <c r="Y53" s="201">
        <f t="shared" si="9"/>
        <v>0</v>
      </c>
      <c r="Z53" s="201">
        <f t="shared" si="10"/>
        <v>11343.19000000041</v>
      </c>
      <c r="AA53" s="150">
        <f t="shared" si="11"/>
        <v>942.17</v>
      </c>
    </row>
    <row r="54" spans="1:27" x14ac:dyDescent="0.2">
      <c r="B54" s="192" t="s">
        <v>17</v>
      </c>
      <c r="C54" s="204">
        <f>(559+28+174+9+174920+8694+6585+327+15583+774+12945+643)+(23557+1171+16981+844+41538+2064+93974+4671+85663+4257+17609+875+42439+2109+28974+1440+1761+88+186+9+27274+1356)+500+(1864+93)+(22400+1113+43200+2147+76920+3823+44800+2227)+453198+1838834+1706479+1536563+37265+(1097+55)</f>
        <v>6392659</v>
      </c>
      <c r="D54" s="193">
        <f t="shared" si="12"/>
        <v>6392659</v>
      </c>
      <c r="E54" s="194">
        <f t="shared" si="0"/>
        <v>6762054</v>
      </c>
      <c r="F54" s="195">
        <f t="shared" si="13"/>
        <v>6762054</v>
      </c>
      <c r="G54" s="196">
        <f t="shared" si="1"/>
        <v>8.5690000000000002E-2</v>
      </c>
      <c r="H54" s="197">
        <f t="shared" si="2"/>
        <v>579440.40726000001</v>
      </c>
      <c r="I54" s="196">
        <f t="shared" si="3"/>
        <v>7.1029999999999996E-2</v>
      </c>
      <c r="J54" s="198">
        <f t="shared" si="4"/>
        <v>480308.69561999995</v>
      </c>
      <c r="K54" s="199">
        <f t="shared" si="5"/>
        <v>-99131.711640000052</v>
      </c>
      <c r="N54" s="184" t="s">
        <v>17</v>
      </c>
      <c r="O54" s="203">
        <v>8.5690000000000002E-2</v>
      </c>
      <c r="P54" s="203">
        <v>7.0499999999999993E-2</v>
      </c>
      <c r="Q54" s="203">
        <v>7.1029999999999996E-2</v>
      </c>
      <c r="R54" s="201">
        <f>328786.28/Q54</f>
        <v>4628836.8295086594</v>
      </c>
      <c r="S54" s="201">
        <v>8442638.8499999996</v>
      </c>
      <c r="T54" s="201">
        <f t="shared" si="6"/>
        <v>13071475.67950866</v>
      </c>
      <c r="U54" s="202">
        <v>0.51809000000000005</v>
      </c>
      <c r="V54" s="201">
        <f t="shared" si="7"/>
        <v>6772200.8300000001</v>
      </c>
      <c r="W54" s="201">
        <f t="shared" si="8"/>
        <v>481029.42</v>
      </c>
      <c r="X54" s="201">
        <f>170340.88+310688.54</f>
        <v>481029.42</v>
      </c>
      <c r="Y54" s="201">
        <f t="shared" si="9"/>
        <v>0</v>
      </c>
      <c r="Z54" s="201">
        <f t="shared" si="10"/>
        <v>10146.830000000075</v>
      </c>
      <c r="AA54" s="150">
        <f t="shared" si="11"/>
        <v>720.73</v>
      </c>
    </row>
    <row r="55" spans="1:27" x14ac:dyDescent="0.2">
      <c r="B55" s="192" t="s">
        <v>18</v>
      </c>
      <c r="C55" s="204">
        <f>(193+10+177332+8814+6892+342+13813+687+12743+633)+(22795+1133+6464+321+16229+807+45177+2246+98127+4877+86556+4302+17813+886+44068+2190+29316+1457+1875+93+194+10+27207+1352)+387+(1864+93)+(23760+1181+44280+2201+81120+4032+44400+2207)+483345+2061022+1997916+1339250+36890+(1097+55)</f>
        <v>6762054</v>
      </c>
      <c r="D55" s="193">
        <f t="shared" si="12"/>
        <v>6762054</v>
      </c>
      <c r="E55" s="194">
        <f t="shared" si="0"/>
        <v>6660450</v>
      </c>
      <c r="F55" s="195">
        <f t="shared" si="13"/>
        <v>6660450</v>
      </c>
      <c r="G55" s="196">
        <f t="shared" si="1"/>
        <v>7.0599999999999996E-2</v>
      </c>
      <c r="H55" s="197">
        <f t="shared" si="2"/>
        <v>470227.76999999996</v>
      </c>
      <c r="I55" s="196">
        <f t="shared" si="3"/>
        <v>9.5310000000000006E-2</v>
      </c>
      <c r="J55" s="198">
        <f t="shared" si="4"/>
        <v>634807.48950000003</v>
      </c>
      <c r="K55" s="199">
        <f t="shared" si="5"/>
        <v>164579.71950000006</v>
      </c>
      <c r="N55" s="184" t="s">
        <v>18</v>
      </c>
      <c r="O55" s="203">
        <v>7.0599999999999996E-2</v>
      </c>
      <c r="P55" s="203">
        <v>9.1480000000000006E-2</v>
      </c>
      <c r="Q55" s="203">
        <v>9.5310000000000006E-2</v>
      </c>
      <c r="R55" s="201">
        <f>383151.67/Q55</f>
        <v>4020057.3916692892</v>
      </c>
      <c r="S55" s="201">
        <v>7696107.5499999998</v>
      </c>
      <c r="T55" s="201">
        <f t="shared" si="6"/>
        <v>11716164.941669289</v>
      </c>
      <c r="U55" s="202">
        <v>0.56901000000000002</v>
      </c>
      <c r="V55" s="201">
        <f t="shared" si="7"/>
        <v>6666615.0099999998</v>
      </c>
      <c r="W55" s="201">
        <f t="shared" si="8"/>
        <v>635395.07999999996</v>
      </c>
      <c r="X55" s="201">
        <f>218017.13+417377.94</f>
        <v>635395.07000000007</v>
      </c>
      <c r="Y55" s="201">
        <f t="shared" si="9"/>
        <v>9.9999998928979039E-3</v>
      </c>
      <c r="Z55" s="201">
        <f t="shared" si="10"/>
        <v>6165.0099999997765</v>
      </c>
      <c r="AA55" s="150">
        <f t="shared" si="11"/>
        <v>587.59</v>
      </c>
    </row>
    <row r="56" spans="1:27" x14ac:dyDescent="0.2">
      <c r="B56" s="192" t="s">
        <v>19</v>
      </c>
      <c r="C56" s="204">
        <f>(213+11+130561+6489+4904+244+10577+526+10009+498)+(19933+991+5545+276+14911+741+56003+2783+76928+3823+65912+3276+16395+815+31973+1589+28926+1437+2101+104+231+11+24476+1216)+411+(1864+93)+(20480+1018+38760+1926+72840+3620+42400+2107)+475975+2030412+1799182+1608119+35700+(1062+53)</f>
        <v>6660450</v>
      </c>
      <c r="D56" s="193">
        <f t="shared" si="12"/>
        <v>6660450</v>
      </c>
      <c r="E56" s="194">
        <f t="shared" si="0"/>
        <v>6598448</v>
      </c>
      <c r="F56" s="195">
        <f t="shared" si="13"/>
        <v>6598448</v>
      </c>
      <c r="G56" s="196">
        <f t="shared" si="1"/>
        <v>9.7199999999999995E-2</v>
      </c>
      <c r="H56" s="197">
        <f t="shared" si="2"/>
        <v>641369.14559999993</v>
      </c>
      <c r="I56" s="196">
        <f t="shared" si="3"/>
        <v>0.11226</v>
      </c>
      <c r="J56" s="198">
        <f t="shared" si="4"/>
        <v>740741.77248000004</v>
      </c>
      <c r="K56" s="199">
        <f t="shared" si="5"/>
        <v>99372.626880000113</v>
      </c>
      <c r="N56" s="184" t="s">
        <v>19</v>
      </c>
      <c r="O56" s="203">
        <v>9.7199999999999995E-2</v>
      </c>
      <c r="P56" s="203">
        <v>0.1178</v>
      </c>
      <c r="Q56" s="203">
        <v>0.11226</v>
      </c>
      <c r="R56" s="201">
        <f>428195.22/Q56</f>
        <v>3814316.9428113308</v>
      </c>
      <c r="S56" s="201">
        <v>7702321.4299999997</v>
      </c>
      <c r="T56" s="201">
        <f t="shared" si="6"/>
        <v>11516638.37281133</v>
      </c>
      <c r="U56" s="202">
        <v>0.57330999999999999</v>
      </c>
      <c r="V56" s="201">
        <f t="shared" si="7"/>
        <v>6602603.9500000002</v>
      </c>
      <c r="W56" s="201">
        <f t="shared" si="8"/>
        <v>741208.32</v>
      </c>
      <c r="X56" s="201">
        <f>245488.6+495719.72</f>
        <v>741208.32</v>
      </c>
      <c r="Y56" s="201">
        <f t="shared" si="9"/>
        <v>0</v>
      </c>
      <c r="Z56" s="201">
        <f t="shared" si="10"/>
        <v>4155.9500000001863</v>
      </c>
      <c r="AA56" s="150">
        <f t="shared" si="11"/>
        <v>466.55</v>
      </c>
    </row>
    <row r="57" spans="1:27" x14ac:dyDescent="0.2">
      <c r="B57" s="192" t="s">
        <v>20</v>
      </c>
      <c r="C57" s="204">
        <f>(254+13+123638+6145+5321+265+9881+491+9769+485)+(19196+954+4561+227+13711+681+55458+2756+72999+3628+56651+2815+20528+1020+30376+1509+26995+1341+2476+123+322+16+22396+1113)+489+(1864+93)+(20880+1038+47640+2368+92400+4592+54400+2704)+481035+2000469+1640336+1696684+52190+(1097+55)</f>
        <v>6598448</v>
      </c>
      <c r="D57" s="193">
        <f t="shared" si="12"/>
        <v>6598448</v>
      </c>
      <c r="E57" s="194">
        <f t="shared" si="0"/>
        <v>6695063</v>
      </c>
      <c r="F57" s="195">
        <f t="shared" si="13"/>
        <v>6695063</v>
      </c>
      <c r="G57" s="196">
        <f t="shared" si="1"/>
        <v>0.12271</v>
      </c>
      <c r="H57" s="197">
        <f>F57*G57</f>
        <v>821551.18073000002</v>
      </c>
      <c r="I57" s="196">
        <f t="shared" si="3"/>
        <v>0.11108999999999999</v>
      </c>
      <c r="J57" s="198">
        <f t="shared" si="4"/>
        <v>743754.54866999993</v>
      </c>
      <c r="K57" s="199">
        <f t="shared" si="5"/>
        <v>-77796.632060000091</v>
      </c>
      <c r="N57" s="184" t="s">
        <v>20</v>
      </c>
      <c r="O57" s="203">
        <v>0.12271</v>
      </c>
      <c r="P57" s="203">
        <v>0.115</v>
      </c>
      <c r="Q57" s="203">
        <v>0.11108999999999999</v>
      </c>
      <c r="R57" s="201">
        <f>413288.4/Q57</f>
        <v>3720302.457466919</v>
      </c>
      <c r="S57" s="201">
        <v>8113601.3099999996</v>
      </c>
      <c r="T57" s="201">
        <f t="shared" si="6"/>
        <v>11833903.767466918</v>
      </c>
      <c r="U57" s="202">
        <v>0.56596999999999997</v>
      </c>
      <c r="V57" s="201">
        <f t="shared" si="7"/>
        <v>6697634.5199999996</v>
      </c>
      <c r="W57" s="201">
        <f t="shared" si="8"/>
        <v>744040.22</v>
      </c>
      <c r="X57" s="201">
        <f>233908.84+510131.38</f>
        <v>744040.22</v>
      </c>
      <c r="Y57" s="201">
        <f t="shared" si="9"/>
        <v>0</v>
      </c>
      <c r="Z57" s="201">
        <f t="shared" si="10"/>
        <v>2571.519999999553</v>
      </c>
      <c r="AA57" s="150">
        <f t="shared" si="11"/>
        <v>285.67</v>
      </c>
    </row>
    <row r="58" spans="1:27" x14ac:dyDescent="0.2">
      <c r="B58" s="192" t="s">
        <v>21</v>
      </c>
      <c r="C58" s="205">
        <f>(269+13+124660+6195+5693+283+10654+530+10198+507)+(21205+1054+4074+202+12750+634+63531+3157+71100+3534+55524+2760+28288+1406+32046+1593+28146+1399+2724+135+9837+489+20467+1017)+1388+(1864+93)+(21360+1062+57720+2869+102720+5105+61600+3062)+493758+2000505+1580062+1783707+50999+(1062+53)</f>
        <v>6695063</v>
      </c>
      <c r="D58" s="193">
        <f t="shared" si="12"/>
        <v>6695063</v>
      </c>
      <c r="E58" s="206">
        <f>(293+15+150452+7477+8846+440+13122+652+13208+657)+(27141+1349+4116+205+13289+660+77552+3855+78134+3883+60030+2983+38581+1917+42006+2087+34188+1699+2698+134+9263+460+21937+1090)+2181+(1864+93)+(24880+1237+79680+3960+124800+6203+68000+3380)+486389+1918918+1343511+1435493+52701+(1097+55)</f>
        <v>6178861</v>
      </c>
      <c r="F58" s="195">
        <f t="shared" si="13"/>
        <v>6178861</v>
      </c>
      <c r="G58" s="196">
        <f t="shared" si="1"/>
        <v>0.10594000000000001</v>
      </c>
      <c r="H58" s="15">
        <f t="shared" si="2"/>
        <v>654588.53434000001</v>
      </c>
      <c r="I58" s="196">
        <f t="shared" si="3"/>
        <v>8.7080000000000005E-2</v>
      </c>
      <c r="J58" s="198">
        <f t="shared" si="4"/>
        <v>538055.21588000003</v>
      </c>
      <c r="K58" s="199">
        <f t="shared" si="5"/>
        <v>-116533.31845999998</v>
      </c>
      <c r="N58" s="207" t="s">
        <v>21</v>
      </c>
      <c r="O58" s="208">
        <v>0.10594000000000001</v>
      </c>
      <c r="P58" s="208">
        <v>7.8719999999999998E-2</v>
      </c>
      <c r="Q58" s="208">
        <v>8.7080000000000005E-2</v>
      </c>
      <c r="R58" s="201">
        <f>332999.19/Q58</f>
        <v>3824060.5190629303</v>
      </c>
      <c r="S58" s="201">
        <v>8670017.1199999992</v>
      </c>
      <c r="T58" s="201">
        <f>+R58+S58</f>
        <v>12494077.63906293</v>
      </c>
      <c r="U58" s="202">
        <v>0.49558999999999997</v>
      </c>
      <c r="V58" s="201">
        <f>ROUND(+T58*U58,2)</f>
        <v>6191939.9400000004</v>
      </c>
      <c r="W58" s="201">
        <f t="shared" si="8"/>
        <v>539194.13</v>
      </c>
      <c r="X58" s="201">
        <f>165031.07+374163.06</f>
        <v>539194.13</v>
      </c>
      <c r="Y58" s="201">
        <f>+W58-X58</f>
        <v>0</v>
      </c>
      <c r="Z58" s="201">
        <f>+V58-F58</f>
        <v>13078.94000000041</v>
      </c>
      <c r="AA58" s="150">
        <f>ROUND(+Z58*Q58,2)</f>
        <v>1138.9100000000001</v>
      </c>
    </row>
    <row r="59" spans="1:27" ht="30.75" thickBot="1" x14ac:dyDescent="0.3">
      <c r="B59" s="209" t="s">
        <v>135</v>
      </c>
      <c r="C59" s="210">
        <f>SUM(C47:C58)</f>
        <v>79156008</v>
      </c>
      <c r="D59" s="210">
        <f>SUM(D47:D58)</f>
        <v>79156007</v>
      </c>
      <c r="E59" s="210">
        <f>SUM(E47:E58)</f>
        <v>79112357</v>
      </c>
      <c r="F59" s="210">
        <f>SUM(F47:F58)</f>
        <v>79112358</v>
      </c>
      <c r="G59" s="211"/>
      <c r="H59" s="212">
        <f>SUM(H47:H58)</f>
        <v>7761320.5976799987</v>
      </c>
      <c r="I59" s="211"/>
      <c r="J59" s="212">
        <f>SUM(J47:J58)</f>
        <v>7716713.7968500005</v>
      </c>
      <c r="K59" s="213">
        <f>SUM(K47:K58)</f>
        <v>-44606.800829999964</v>
      </c>
      <c r="N59" s="214"/>
      <c r="O59" s="215"/>
      <c r="P59" s="215"/>
      <c r="Q59" s="215"/>
      <c r="R59" s="216">
        <f>SUM(R47:R58)</f>
        <v>47858575.044365026</v>
      </c>
      <c r="S59" s="216">
        <f>SUM(S47:S58)</f>
        <v>97277998.390000015</v>
      </c>
      <c r="T59" s="216">
        <f>SUM(T47:T58)</f>
        <v>145136573.43436503</v>
      </c>
      <c r="V59" s="216">
        <f>SUM(V47:V58)</f>
        <v>79118846.349999994</v>
      </c>
      <c r="W59" s="216">
        <f t="shared" ref="W59:X59" si="14">SUM(W47:W58)</f>
        <v>7716656.3899999997</v>
      </c>
      <c r="X59" s="216">
        <f t="shared" si="14"/>
        <v>7716656.3500000006</v>
      </c>
      <c r="Y59" s="216">
        <f>SUM(Y47:Y58)</f>
        <v>3.9999999920837581E-2</v>
      </c>
      <c r="Z59" s="216">
        <f>SUM(Z47:Z58)</f>
        <v>6488.3500000005588</v>
      </c>
      <c r="AA59" s="216">
        <f>SUM(AA47:AA58)</f>
        <v>-57.410000000000309</v>
      </c>
    </row>
    <row r="60" spans="1:27" x14ac:dyDescent="0.2">
      <c r="G60" s="149"/>
      <c r="H60" s="149"/>
      <c r="I60" s="149"/>
      <c r="J60" s="217"/>
      <c r="K60" s="218"/>
    </row>
    <row r="62" spans="1:27" ht="15" x14ac:dyDescent="0.25">
      <c r="A62" s="150" t="s">
        <v>147</v>
      </c>
      <c r="B62" s="148" t="s">
        <v>139</v>
      </c>
      <c r="C62" s="170"/>
      <c r="K62" s="222"/>
      <c r="N62" s="166"/>
      <c r="O62" s="220"/>
      <c r="P62" s="220"/>
      <c r="Q62" s="220"/>
      <c r="R62" s="220"/>
      <c r="S62" s="220"/>
      <c r="T62" s="220"/>
      <c r="U62" s="220"/>
      <c r="V62" s="220"/>
      <c r="W62" s="220"/>
    </row>
    <row r="63" spans="1:27" ht="15" x14ac:dyDescent="0.25">
      <c r="B63" s="169"/>
      <c r="C63" s="170"/>
      <c r="K63" s="223"/>
      <c r="N63" s="166"/>
      <c r="O63" s="166"/>
      <c r="P63" s="166"/>
      <c r="Q63" s="166"/>
      <c r="R63" s="166"/>
      <c r="S63" s="166"/>
      <c r="T63" s="166"/>
      <c r="U63" s="166"/>
      <c r="V63" s="166"/>
      <c r="W63" s="166"/>
    </row>
    <row r="64" spans="1:27" ht="45" x14ac:dyDescent="0.25">
      <c r="A64" s="184"/>
      <c r="B64" s="224" t="s">
        <v>45</v>
      </c>
      <c r="C64" s="225" t="s">
        <v>67</v>
      </c>
      <c r="D64" s="225" t="s">
        <v>121</v>
      </c>
      <c r="E64" s="424" t="s">
        <v>44</v>
      </c>
      <c r="F64" s="424"/>
      <c r="G64" s="424"/>
      <c r="H64" s="424"/>
      <c r="I64" s="424"/>
      <c r="K64" s="226"/>
      <c r="O64" s="166"/>
      <c r="P64" s="166"/>
      <c r="Q64" s="166"/>
      <c r="R64" s="166"/>
      <c r="S64" s="166"/>
      <c r="T64" s="166"/>
      <c r="U64" s="166"/>
      <c r="V64" s="166"/>
      <c r="W64" s="166"/>
      <c r="X64" s="166"/>
    </row>
    <row r="65" spans="1:24" ht="30.75" customHeight="1" x14ac:dyDescent="0.25">
      <c r="A65" s="420" t="s">
        <v>136</v>
      </c>
      <c r="B65" s="421"/>
      <c r="C65" s="422"/>
      <c r="D65" s="240">
        <v>-34466.699999999997</v>
      </c>
      <c r="E65" s="425"/>
      <c r="F65" s="426"/>
      <c r="G65" s="426"/>
      <c r="H65" s="426"/>
      <c r="I65" s="427"/>
      <c r="K65" s="226"/>
      <c r="O65" s="166"/>
      <c r="P65" s="166"/>
      <c r="Q65" s="166"/>
      <c r="R65" s="166"/>
      <c r="S65" s="166"/>
      <c r="T65" s="166"/>
      <c r="U65" s="166"/>
      <c r="V65" s="166"/>
      <c r="W65" s="166"/>
      <c r="X65" s="166"/>
    </row>
    <row r="66" spans="1:24" ht="28.5" customHeight="1" x14ac:dyDescent="0.2">
      <c r="A66" s="227" t="s">
        <v>51</v>
      </c>
      <c r="B66" s="228" t="s">
        <v>62</v>
      </c>
      <c r="C66" s="229" t="s">
        <v>162</v>
      </c>
      <c r="D66" s="230"/>
      <c r="E66" s="413" t="s">
        <v>190</v>
      </c>
      <c r="F66" s="413"/>
      <c r="G66" s="413"/>
      <c r="H66" s="413"/>
      <c r="I66" s="413"/>
      <c r="K66" s="226"/>
      <c r="O66" s="166"/>
      <c r="P66" s="166"/>
      <c r="Q66" s="166"/>
      <c r="R66" s="166"/>
      <c r="S66" s="166"/>
      <c r="T66" s="166"/>
      <c r="U66" s="166"/>
      <c r="V66" s="166"/>
      <c r="W66" s="166"/>
      <c r="X66" s="166"/>
    </row>
    <row r="67" spans="1:24" ht="28.5" customHeight="1" x14ac:dyDescent="0.2">
      <c r="A67" s="227" t="s">
        <v>52</v>
      </c>
      <c r="B67" s="228" t="s">
        <v>79</v>
      </c>
      <c r="C67" s="231" t="s">
        <v>162</v>
      </c>
      <c r="D67" s="232"/>
      <c r="E67" s="413" t="s">
        <v>191</v>
      </c>
      <c r="F67" s="413"/>
      <c r="G67" s="413"/>
      <c r="H67" s="413"/>
      <c r="I67" s="413"/>
      <c r="J67" s="157"/>
      <c r="K67" s="233"/>
      <c r="L67" s="157"/>
      <c r="M67" s="157"/>
      <c r="N67" s="157"/>
      <c r="O67" s="157"/>
      <c r="P67" s="157"/>
      <c r="Q67" s="157"/>
    </row>
    <row r="68" spans="1:24" ht="28.5" customHeight="1" x14ac:dyDescent="0.2">
      <c r="A68" s="227" t="s">
        <v>65</v>
      </c>
      <c r="B68" s="228" t="s">
        <v>64</v>
      </c>
      <c r="C68" s="229" t="s">
        <v>162</v>
      </c>
      <c r="D68" s="232"/>
      <c r="E68" s="413" t="s">
        <v>170</v>
      </c>
      <c r="F68" s="413"/>
      <c r="G68" s="413"/>
      <c r="H68" s="413"/>
      <c r="I68" s="413"/>
      <c r="J68" s="157"/>
      <c r="K68" s="233"/>
      <c r="L68" s="157"/>
      <c r="M68" s="157"/>
      <c r="N68" s="157"/>
      <c r="O68" s="157"/>
      <c r="P68" s="157"/>
      <c r="Q68" s="157"/>
    </row>
    <row r="69" spans="1:24" ht="28.5" x14ac:dyDescent="0.2">
      <c r="A69" s="227" t="s">
        <v>66</v>
      </c>
      <c r="B69" s="228" t="s">
        <v>63</v>
      </c>
      <c r="C69" s="231" t="s">
        <v>162</v>
      </c>
      <c r="D69" s="232"/>
      <c r="E69" s="413" t="s">
        <v>171</v>
      </c>
      <c r="F69" s="413"/>
      <c r="G69" s="413"/>
      <c r="H69" s="413"/>
      <c r="I69" s="413"/>
      <c r="J69" s="157"/>
      <c r="K69" s="234"/>
      <c r="L69" s="157"/>
      <c r="M69" s="157"/>
      <c r="N69" s="157"/>
      <c r="O69" s="157"/>
      <c r="P69" s="157"/>
      <c r="Q69" s="157"/>
    </row>
    <row r="70" spans="1:24" ht="86.25" customHeight="1" x14ac:dyDescent="0.2">
      <c r="A70" s="227" t="s">
        <v>69</v>
      </c>
      <c r="B70" s="228" t="s">
        <v>71</v>
      </c>
      <c r="C70" s="229" t="s">
        <v>163</v>
      </c>
      <c r="D70" s="235">
        <f>2374.12+1189.55+1778.43</f>
        <v>5342.1</v>
      </c>
      <c r="E70" s="414" t="s">
        <v>216</v>
      </c>
      <c r="F70" s="413"/>
      <c r="G70" s="413"/>
      <c r="H70" s="413"/>
      <c r="I70" s="413"/>
      <c r="J70" s="157"/>
      <c r="K70" s="234"/>
      <c r="L70" s="157"/>
      <c r="M70" s="157"/>
      <c r="N70" s="157"/>
      <c r="O70" s="157"/>
      <c r="P70" s="157"/>
      <c r="Q70" s="157"/>
    </row>
    <row r="71" spans="1:24" ht="28.5" customHeight="1" x14ac:dyDescent="0.2">
      <c r="A71" s="227" t="s">
        <v>70</v>
      </c>
      <c r="B71" s="228" t="s">
        <v>72</v>
      </c>
      <c r="C71" s="229" t="s">
        <v>162</v>
      </c>
      <c r="D71" s="235"/>
      <c r="E71" s="428" t="s">
        <v>194</v>
      </c>
      <c r="F71" s="429"/>
      <c r="G71" s="429"/>
      <c r="H71" s="429"/>
      <c r="I71" s="430"/>
      <c r="J71" s="157"/>
      <c r="K71" s="234"/>
      <c r="L71" s="157"/>
      <c r="M71" s="157"/>
      <c r="N71" s="157"/>
      <c r="O71" s="157"/>
      <c r="P71" s="157"/>
      <c r="Q71" s="157"/>
    </row>
    <row r="72" spans="1:24" ht="33.75" customHeight="1" x14ac:dyDescent="0.2">
      <c r="A72" s="227">
        <v>4</v>
      </c>
      <c r="B72" s="228" t="s">
        <v>68</v>
      </c>
      <c r="C72" s="229" t="s">
        <v>162</v>
      </c>
      <c r="D72" s="230"/>
      <c r="E72" s="413" t="s">
        <v>165</v>
      </c>
      <c r="F72" s="413"/>
      <c r="G72" s="413"/>
      <c r="H72" s="413"/>
      <c r="I72" s="413"/>
      <c r="J72" s="157"/>
      <c r="K72" s="234"/>
      <c r="L72" s="157"/>
      <c r="M72" s="157"/>
      <c r="N72" s="157"/>
      <c r="O72" s="157"/>
      <c r="P72" s="157"/>
      <c r="Q72" s="157"/>
    </row>
    <row r="73" spans="1:24" ht="42.75" x14ac:dyDescent="0.2">
      <c r="A73" s="227">
        <v>5</v>
      </c>
      <c r="B73" s="228" t="s">
        <v>81</v>
      </c>
      <c r="C73" s="229" t="s">
        <v>163</v>
      </c>
      <c r="D73" s="230"/>
      <c r="E73" s="414" t="s">
        <v>211</v>
      </c>
      <c r="F73" s="414"/>
      <c r="G73" s="414"/>
      <c r="H73" s="414"/>
      <c r="I73" s="414"/>
      <c r="J73" s="157"/>
      <c r="K73" s="234"/>
      <c r="L73" s="157"/>
      <c r="M73" s="157"/>
      <c r="N73" s="157"/>
      <c r="O73" s="157"/>
      <c r="P73" s="157"/>
      <c r="Q73" s="157"/>
    </row>
    <row r="74" spans="1:24" ht="28.5" x14ac:dyDescent="0.2">
      <c r="A74" s="236">
        <v>6</v>
      </c>
      <c r="B74" s="237" t="s">
        <v>140</v>
      </c>
      <c r="C74" s="229" t="s">
        <v>162</v>
      </c>
      <c r="D74" s="230"/>
      <c r="E74" s="413" t="s">
        <v>80</v>
      </c>
      <c r="F74" s="413"/>
      <c r="G74" s="413"/>
      <c r="H74" s="413"/>
      <c r="I74" s="413"/>
      <c r="K74" s="166"/>
    </row>
    <row r="75" spans="1:24" x14ac:dyDescent="0.2">
      <c r="A75" s="236">
        <v>7</v>
      </c>
      <c r="B75" s="238" t="s">
        <v>167</v>
      </c>
      <c r="C75" s="229" t="s">
        <v>163</v>
      </c>
      <c r="D75" s="240">
        <f>-3222.29-12424.57</f>
        <v>-15646.86</v>
      </c>
      <c r="E75" s="413" t="s">
        <v>166</v>
      </c>
      <c r="F75" s="413"/>
      <c r="G75" s="413"/>
      <c r="H75" s="413"/>
      <c r="I75" s="413"/>
    </row>
    <row r="76" spans="1:24" ht="45.75" customHeight="1" x14ac:dyDescent="0.2">
      <c r="A76" s="236">
        <f>+A75+1</f>
        <v>8</v>
      </c>
      <c r="B76" s="239" t="s">
        <v>209</v>
      </c>
      <c r="C76" s="229" t="s">
        <v>163</v>
      </c>
      <c r="D76" s="240">
        <f>-AA59</f>
        <v>57.410000000000309</v>
      </c>
      <c r="E76" s="413" t="s">
        <v>196</v>
      </c>
      <c r="F76" s="413"/>
      <c r="G76" s="413"/>
      <c r="H76" s="413"/>
      <c r="I76" s="413"/>
    </row>
    <row r="77" spans="1:24" ht="75" customHeight="1" x14ac:dyDescent="0.2">
      <c r="A77" s="236">
        <f t="shared" ref="A77:A81" si="15">+A76+1</f>
        <v>9</v>
      </c>
      <c r="B77" s="239" t="s">
        <v>199</v>
      </c>
      <c r="C77" s="229" t="s">
        <v>163</v>
      </c>
      <c r="D77" s="240">
        <v>85.74</v>
      </c>
      <c r="E77" s="414" t="s">
        <v>217</v>
      </c>
      <c r="F77" s="413"/>
      <c r="G77" s="413"/>
      <c r="H77" s="413"/>
      <c r="I77" s="413"/>
    </row>
    <row r="78" spans="1:24" ht="59.25" customHeight="1" x14ac:dyDescent="0.2">
      <c r="A78" s="236">
        <f t="shared" si="15"/>
        <v>10</v>
      </c>
      <c r="B78" s="239" t="s">
        <v>209</v>
      </c>
      <c r="C78" s="229" t="s">
        <v>163</v>
      </c>
      <c r="D78" s="240">
        <v>-3.73</v>
      </c>
      <c r="E78" s="414" t="s">
        <v>218</v>
      </c>
      <c r="F78" s="413"/>
      <c r="G78" s="413"/>
      <c r="H78" s="413"/>
      <c r="I78" s="413"/>
    </row>
    <row r="79" spans="1:24" ht="75" customHeight="1" x14ac:dyDescent="0.2">
      <c r="A79" s="236">
        <f t="shared" si="15"/>
        <v>11</v>
      </c>
      <c r="B79" s="239" t="s">
        <v>209</v>
      </c>
      <c r="C79" s="229" t="s">
        <v>163</v>
      </c>
      <c r="D79" s="240">
        <f>-1.55-0.52-3.52</f>
        <v>-5.59</v>
      </c>
      <c r="E79" s="414" t="s">
        <v>219</v>
      </c>
      <c r="F79" s="413"/>
      <c r="G79" s="413"/>
      <c r="H79" s="413"/>
      <c r="I79" s="413"/>
    </row>
    <row r="80" spans="1:24" ht="75" customHeight="1" x14ac:dyDescent="0.2">
      <c r="A80" s="236">
        <f t="shared" si="15"/>
        <v>12</v>
      </c>
      <c r="B80" s="239" t="s">
        <v>209</v>
      </c>
      <c r="C80" s="229" t="s">
        <v>163</v>
      </c>
      <c r="D80" s="240">
        <v>-1.78</v>
      </c>
      <c r="E80" s="414" t="s">
        <v>214</v>
      </c>
      <c r="F80" s="413"/>
      <c r="G80" s="413"/>
      <c r="H80" s="413"/>
      <c r="I80" s="413"/>
    </row>
    <row r="81" spans="1:19" ht="75" customHeight="1" x14ac:dyDescent="0.2">
      <c r="A81" s="236">
        <f t="shared" si="15"/>
        <v>13</v>
      </c>
      <c r="B81" s="239" t="s">
        <v>199</v>
      </c>
      <c r="C81" s="229"/>
      <c r="D81" s="240">
        <f>16.55+15.53</f>
        <v>32.08</v>
      </c>
      <c r="E81" s="414" t="s">
        <v>213</v>
      </c>
      <c r="F81" s="413"/>
      <c r="G81" s="413"/>
      <c r="H81" s="413"/>
      <c r="I81" s="413"/>
    </row>
    <row r="82" spans="1:19" ht="15" x14ac:dyDescent="0.25">
      <c r="A82" s="150" t="s">
        <v>154</v>
      </c>
      <c r="B82" s="170" t="s">
        <v>133</v>
      </c>
      <c r="C82" s="170"/>
      <c r="D82" s="275">
        <f>SUM(D65:D81)</f>
        <v>-44607.329999999994</v>
      </c>
      <c r="E82" s="241"/>
      <c r="F82" s="241"/>
      <c r="G82" s="241"/>
      <c r="H82" s="241"/>
    </row>
    <row r="83" spans="1:19" ht="15" x14ac:dyDescent="0.25">
      <c r="B83" s="242" t="s">
        <v>134</v>
      </c>
      <c r="C83" s="243"/>
      <c r="D83" s="275">
        <f>K59</f>
        <v>-44606.800829999964</v>
      </c>
      <c r="E83" s="241"/>
      <c r="F83" s="241"/>
      <c r="G83" s="241"/>
      <c r="H83" s="241"/>
    </row>
    <row r="84" spans="1:19" ht="15" x14ac:dyDescent="0.25">
      <c r="B84" s="243" t="s">
        <v>24</v>
      </c>
      <c r="C84" s="243"/>
      <c r="D84" s="244">
        <f>D82-D83</f>
        <v>-0.52917000003071735</v>
      </c>
    </row>
    <row r="85" spans="1:19" ht="15.75" thickBot="1" x14ac:dyDescent="0.3">
      <c r="B85" s="245" t="s">
        <v>73</v>
      </c>
      <c r="C85" s="246"/>
      <c r="D85" s="247">
        <f>IF(ISERROR(D84/J59),0,D84/J59)</f>
        <v>-6.8574527183673319E-8</v>
      </c>
      <c r="E85" s="248" t="str">
        <f>IF(AND(D85&lt;0.01,D85&gt;-0.01),"","Unresolved differences of greater than + or - 1% should be explained")</f>
        <v/>
      </c>
      <c r="G85" s="157"/>
      <c r="H85" s="168"/>
      <c r="I85" s="168"/>
      <c r="J85" s="168"/>
      <c r="K85" s="168"/>
      <c r="L85" s="168"/>
    </row>
    <row r="86" spans="1:19" ht="15.75" thickTop="1" x14ac:dyDescent="0.25">
      <c r="B86" s="170"/>
      <c r="C86" s="249"/>
      <c r="D86" s="250"/>
      <c r="G86" s="157"/>
    </row>
    <row r="87" spans="1:19" ht="15" x14ac:dyDescent="0.25">
      <c r="B87" s="170"/>
      <c r="C87" s="249"/>
      <c r="D87" s="251"/>
    </row>
    <row r="88" spans="1:19" ht="15" x14ac:dyDescent="0.25">
      <c r="A88" s="150" t="s">
        <v>75</v>
      </c>
      <c r="B88" s="252" t="s">
        <v>141</v>
      </c>
      <c r="C88" s="253"/>
      <c r="D88" s="250"/>
    </row>
    <row r="89" spans="1:19" ht="15" x14ac:dyDescent="0.25">
      <c r="B89" s="254"/>
      <c r="C89" s="253"/>
      <c r="D89" s="250"/>
    </row>
    <row r="90" spans="1:19" ht="75" x14ac:dyDescent="0.25">
      <c r="B90" s="255" t="s">
        <v>25</v>
      </c>
      <c r="C90" s="225" t="s">
        <v>128</v>
      </c>
      <c r="D90" s="225" t="s">
        <v>137</v>
      </c>
      <c r="E90" s="225" t="s">
        <v>142</v>
      </c>
      <c r="F90" s="256" t="s">
        <v>133</v>
      </c>
      <c r="G90" s="225" t="s">
        <v>24</v>
      </c>
      <c r="H90" s="257" t="s">
        <v>129</v>
      </c>
      <c r="I90" s="225" t="s">
        <v>73</v>
      </c>
      <c r="J90" s="157"/>
      <c r="K90" s="157"/>
      <c r="L90" s="168"/>
      <c r="M90" s="168"/>
      <c r="N90" s="168"/>
      <c r="O90" s="168"/>
      <c r="P90" s="168"/>
      <c r="Q90" s="168"/>
      <c r="R90" s="168"/>
      <c r="S90" s="168"/>
    </row>
    <row r="91" spans="1:19" x14ac:dyDescent="0.2">
      <c r="B91" s="277">
        <v>2014</v>
      </c>
      <c r="C91" s="258">
        <f>+'GA Analysis 2014'!K59</f>
        <v>243981.61307999969</v>
      </c>
      <c r="D91" s="258">
        <f>+'GA Analysis 2014'!D65</f>
        <v>189497.38</v>
      </c>
      <c r="E91" s="259">
        <f>+'GA Analysis 2014'!D70+'GA Analysis 2014'!D75</f>
        <v>47178.229999999996</v>
      </c>
      <c r="F91" s="260"/>
      <c r="G91" s="261">
        <f>E91-F91</f>
        <v>47178.229999999996</v>
      </c>
      <c r="H91" s="259">
        <f>+'GA Analysis 2014'!J59</f>
        <v>4685174.99438</v>
      </c>
      <c r="I91" s="262">
        <f>IF(ISERROR(G91/H91),0,G91/H91)</f>
        <v>1.006968364182589E-2</v>
      </c>
      <c r="J91" s="157"/>
      <c r="K91" s="157"/>
      <c r="L91" s="168"/>
      <c r="M91" s="168"/>
      <c r="N91" s="168"/>
      <c r="O91" s="168"/>
      <c r="P91" s="168"/>
      <c r="Q91" s="168"/>
      <c r="R91" s="168"/>
      <c r="S91" s="168"/>
    </row>
    <row r="92" spans="1:19" x14ac:dyDescent="0.2">
      <c r="B92" s="277">
        <v>2015</v>
      </c>
      <c r="C92" s="258">
        <f>+'GA Analysis 2015'!K59</f>
        <v>154127.81118999992</v>
      </c>
      <c r="D92" s="258">
        <f>+'GA Analysis 2015'!D65</f>
        <v>153183.23000000004</v>
      </c>
      <c r="E92" s="240">
        <f>+'GA Analysis 2015'!D75+'GA Analysis 2015'!D76</f>
        <v>-18188.95</v>
      </c>
      <c r="F92" s="260"/>
      <c r="G92" s="464">
        <f t="shared" ref="G92:G94" si="16">E92-F92</f>
        <v>-18188.95</v>
      </c>
      <c r="H92" s="259">
        <f>+'GA Analysis 2015'!J59</f>
        <v>6333605.926119999</v>
      </c>
      <c r="I92" s="262">
        <f>IF(ISERROR(G92/H92),0,G92/H92)</f>
        <v>-2.8718158679541732E-3</v>
      </c>
      <c r="J92" s="157"/>
      <c r="K92" s="157"/>
      <c r="L92" s="168"/>
      <c r="M92" s="168"/>
      <c r="N92" s="168"/>
      <c r="O92" s="168"/>
      <c r="P92" s="168"/>
      <c r="Q92" s="168"/>
      <c r="R92" s="168"/>
      <c r="S92" s="168"/>
    </row>
    <row r="93" spans="1:19" x14ac:dyDescent="0.2">
      <c r="B93" s="277">
        <v>2016</v>
      </c>
      <c r="C93" s="240">
        <f>+K59</f>
        <v>-44606.800829999964</v>
      </c>
      <c r="D93" s="240">
        <f>+D65</f>
        <v>-34466.699999999997</v>
      </c>
      <c r="E93" s="240">
        <f>+D70+D75</f>
        <v>-10304.76</v>
      </c>
      <c r="F93" s="260"/>
      <c r="G93" s="464">
        <f t="shared" si="16"/>
        <v>-10304.76</v>
      </c>
      <c r="H93" s="259">
        <f>+J59</f>
        <v>7716713.7968500005</v>
      </c>
      <c r="I93" s="262">
        <f>IF(ISERROR(G93/H93),0,G93/H93)</f>
        <v>-1.3353819088387667E-3</v>
      </c>
      <c r="J93" s="157"/>
      <c r="K93" s="157"/>
      <c r="L93" s="168"/>
      <c r="M93" s="168"/>
      <c r="N93" s="168"/>
      <c r="O93" s="168"/>
      <c r="P93" s="168"/>
      <c r="Q93" s="168"/>
      <c r="R93" s="168"/>
      <c r="S93" s="168"/>
    </row>
    <row r="94" spans="1:19" ht="15" thickBot="1" x14ac:dyDescent="0.25">
      <c r="B94" s="277"/>
      <c r="C94" s="263"/>
      <c r="D94" s="263"/>
      <c r="E94" s="263"/>
      <c r="F94" s="264"/>
      <c r="G94" s="265">
        <f t="shared" si="16"/>
        <v>0</v>
      </c>
      <c r="H94" s="263"/>
      <c r="I94" s="266">
        <f>IF(ISERROR(G94/H94),0,G94/H94)</f>
        <v>0</v>
      </c>
      <c r="J94" s="157"/>
      <c r="K94" s="157"/>
      <c r="L94" s="168"/>
      <c r="M94" s="168"/>
      <c r="N94" s="168"/>
      <c r="O94" s="168"/>
      <c r="P94" s="168"/>
      <c r="Q94" s="168"/>
      <c r="R94" s="168"/>
      <c r="S94" s="168"/>
    </row>
    <row r="95" spans="1:19" ht="15.75" thickBot="1" x14ac:dyDescent="0.3">
      <c r="B95" s="267" t="s">
        <v>74</v>
      </c>
      <c r="C95" s="268">
        <f t="shared" ref="C95:H95" si="17">SUM(C91:C94)</f>
        <v>353502.62343999965</v>
      </c>
      <c r="D95" s="268">
        <f t="shared" si="17"/>
        <v>308213.91000000003</v>
      </c>
      <c r="E95" s="268">
        <f t="shared" si="17"/>
        <v>18684.519999999997</v>
      </c>
      <c r="F95" s="269">
        <f t="shared" si="17"/>
        <v>0</v>
      </c>
      <c r="G95" s="268">
        <f t="shared" si="17"/>
        <v>18684.519999999997</v>
      </c>
      <c r="H95" s="270">
        <f t="shared" si="17"/>
        <v>18735494.717349999</v>
      </c>
      <c r="I95" s="271" t="s">
        <v>80</v>
      </c>
      <c r="J95" s="157"/>
      <c r="K95" s="157"/>
      <c r="L95" s="168"/>
      <c r="M95" s="168"/>
      <c r="N95" s="168"/>
      <c r="O95" s="168"/>
      <c r="P95" s="168"/>
      <c r="Q95" s="168"/>
      <c r="R95" s="168"/>
      <c r="S95" s="168"/>
    </row>
    <row r="96" spans="1:19" x14ac:dyDescent="0.2">
      <c r="B96" s="149"/>
      <c r="C96" s="149"/>
      <c r="D96" s="149"/>
      <c r="E96" s="149"/>
      <c r="F96" s="149"/>
      <c r="G96" s="149"/>
      <c r="J96" s="157"/>
      <c r="K96" s="157"/>
      <c r="L96" s="168"/>
      <c r="M96" s="168"/>
      <c r="N96" s="168"/>
      <c r="O96" s="168"/>
      <c r="P96" s="168"/>
      <c r="Q96" s="168"/>
      <c r="R96" s="168"/>
      <c r="S96" s="168"/>
    </row>
    <row r="97" spans="2:19" x14ac:dyDescent="0.2">
      <c r="J97" s="157"/>
      <c r="K97" s="157"/>
      <c r="L97" s="168"/>
      <c r="M97" s="168"/>
      <c r="N97" s="168"/>
      <c r="O97" s="168"/>
      <c r="P97" s="168"/>
      <c r="Q97" s="168"/>
      <c r="R97" s="168"/>
      <c r="S97" s="168"/>
    </row>
    <row r="98" spans="2:19" ht="15" x14ac:dyDescent="0.25">
      <c r="B98" s="169" t="s">
        <v>37</v>
      </c>
      <c r="J98" s="157"/>
      <c r="K98" s="157"/>
    </row>
    <row r="99" spans="2:19" x14ac:dyDescent="0.2">
      <c r="B99" s="272"/>
      <c r="C99" s="272"/>
      <c r="D99" s="272"/>
      <c r="E99" s="272"/>
      <c r="F99" s="272"/>
      <c r="G99" s="272"/>
      <c r="H99" s="272"/>
      <c r="J99" s="157"/>
      <c r="K99" s="157"/>
    </row>
    <row r="100" spans="2:19" x14ac:dyDescent="0.2">
      <c r="B100" s="272"/>
      <c r="C100" s="272"/>
      <c r="D100" s="272"/>
      <c r="E100" s="272"/>
      <c r="F100" s="272"/>
      <c r="G100" s="272"/>
      <c r="H100" s="272"/>
      <c r="J100" s="157"/>
      <c r="K100" s="157"/>
    </row>
    <row r="101" spans="2:19" x14ac:dyDescent="0.2">
      <c r="B101" s="272"/>
      <c r="C101" s="272"/>
      <c r="D101" s="272"/>
      <c r="E101" s="272"/>
      <c r="F101" s="272"/>
      <c r="G101" s="272"/>
      <c r="H101" s="272"/>
    </row>
    <row r="102" spans="2:19" x14ac:dyDescent="0.2">
      <c r="B102" s="272"/>
      <c r="C102" s="272"/>
      <c r="D102" s="272"/>
      <c r="E102" s="272"/>
      <c r="F102" s="272"/>
      <c r="G102" s="272"/>
      <c r="H102" s="272"/>
    </row>
    <row r="103" spans="2:19" x14ac:dyDescent="0.2">
      <c r="B103" s="272"/>
      <c r="C103" s="272"/>
      <c r="D103" s="272"/>
      <c r="E103" s="272"/>
      <c r="F103" s="272"/>
      <c r="G103" s="272"/>
      <c r="H103" s="272"/>
    </row>
    <row r="104" spans="2:19" x14ac:dyDescent="0.2">
      <c r="B104" s="272"/>
      <c r="C104" s="272"/>
      <c r="D104" s="272"/>
      <c r="E104" s="272"/>
      <c r="F104" s="272"/>
      <c r="G104" s="272"/>
      <c r="H104" s="272"/>
    </row>
    <row r="105" spans="2:19" x14ac:dyDescent="0.2">
      <c r="B105" s="272"/>
      <c r="C105" s="272"/>
      <c r="D105" s="272"/>
      <c r="E105" s="272"/>
      <c r="F105" s="272"/>
      <c r="G105" s="272"/>
      <c r="H105" s="272"/>
    </row>
    <row r="106" spans="2:19" x14ac:dyDescent="0.2">
      <c r="B106" s="272"/>
      <c r="C106" s="272"/>
      <c r="D106" s="272"/>
      <c r="E106" s="272"/>
      <c r="F106" s="272"/>
      <c r="G106" s="272"/>
      <c r="H106" s="272"/>
    </row>
  </sheetData>
  <mergeCells count="23">
    <mergeCell ref="E81:I81"/>
    <mergeCell ref="O45:Q45"/>
    <mergeCell ref="E64:I64"/>
    <mergeCell ref="E66:I66"/>
    <mergeCell ref="E67:I67"/>
    <mergeCell ref="E68:I68"/>
    <mergeCell ref="E65:I65"/>
    <mergeCell ref="E70:I70"/>
    <mergeCell ref="E80:I80"/>
    <mergeCell ref="E77:I77"/>
    <mergeCell ref="E79:I79"/>
    <mergeCell ref="E71:I71"/>
    <mergeCell ref="E72:I72"/>
    <mergeCell ref="E73:I73"/>
    <mergeCell ref="E74:I74"/>
    <mergeCell ref="E75:I75"/>
    <mergeCell ref="E76:I76"/>
    <mergeCell ref="E78:I78"/>
    <mergeCell ref="B21:C21"/>
    <mergeCell ref="E21:F21"/>
    <mergeCell ref="B27:H27"/>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AD110"/>
  <sheetViews>
    <sheetView topLeftCell="C59" zoomScaleNormal="100" zoomScaleSheetLayoutView="100" workbookViewId="0">
      <selection activeCell="E77" sqref="E77:I7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5.7109375" style="1" bestFit="1" customWidth="1"/>
    <col min="22" max="23" width="16.85546875" style="1" bestFit="1" customWidth="1"/>
    <col min="24" max="24" width="9.140625" style="1"/>
    <col min="25" max="25" width="15.7109375" style="1" bestFit="1" customWidth="1"/>
    <col min="26" max="29" width="14.5703125" style="1" bestFit="1" customWidth="1"/>
    <col min="30" max="30" width="13.5703125" style="1" bestFit="1" customWidth="1"/>
    <col min="31" max="16384" width="9.140625" style="1"/>
  </cols>
  <sheetData>
    <row r="12" spans="1:21" ht="15" x14ac:dyDescent="0.25">
      <c r="A12" s="47" t="s">
        <v>48</v>
      </c>
      <c r="B12" s="4"/>
      <c r="C12" s="47"/>
    </row>
    <row r="13" spans="1:21" x14ac:dyDescent="0.2">
      <c r="A13" s="4"/>
      <c r="B13" s="4"/>
      <c r="C13" s="4"/>
    </row>
    <row r="14" spans="1:21" ht="15" x14ac:dyDescent="0.2">
      <c r="A14" s="4"/>
      <c r="B14" s="4" t="s">
        <v>32</v>
      </c>
      <c r="C14" s="23"/>
      <c r="D14" s="4"/>
      <c r="E14" s="4"/>
      <c r="F14" s="4"/>
      <c r="U14" s="1">
        <v>2014</v>
      </c>
    </row>
    <row r="15" spans="1:21" ht="15" x14ac:dyDescent="0.2">
      <c r="A15" s="4"/>
      <c r="B15" s="4" t="s">
        <v>60</v>
      </c>
      <c r="C15" s="55"/>
      <c r="D15" s="4"/>
      <c r="E15" s="4"/>
      <c r="F15" s="4"/>
    </row>
    <row r="16" spans="1:21" ht="15" x14ac:dyDescent="0.2">
      <c r="A16" s="4"/>
      <c r="B16" s="14"/>
      <c r="C16" s="14"/>
      <c r="D16" s="4"/>
      <c r="E16" s="4"/>
      <c r="F16" s="4"/>
      <c r="U16" s="1">
        <v>2015</v>
      </c>
    </row>
    <row r="17" spans="1:21" ht="15" x14ac:dyDescent="0.2">
      <c r="A17" s="4" t="s">
        <v>33</v>
      </c>
      <c r="B17" s="14" t="s">
        <v>132</v>
      </c>
      <c r="C17" s="24">
        <v>2015</v>
      </c>
      <c r="D17" s="4"/>
      <c r="E17" s="4"/>
      <c r="F17" s="4"/>
      <c r="U17" s="1">
        <v>2016</v>
      </c>
    </row>
    <row r="18" spans="1:21" ht="15" x14ac:dyDescent="0.2">
      <c r="A18" s="4"/>
      <c r="B18" s="14"/>
      <c r="C18" s="14"/>
      <c r="D18" s="4"/>
      <c r="E18" s="4"/>
      <c r="F18" s="4"/>
    </row>
    <row r="19" spans="1:21" ht="15" x14ac:dyDescent="0.2">
      <c r="A19" s="4"/>
      <c r="B19" s="14"/>
      <c r="C19" s="14"/>
      <c r="D19" s="4"/>
      <c r="E19" s="4"/>
      <c r="F19" s="4"/>
    </row>
    <row r="20" spans="1:21" ht="15" x14ac:dyDescent="0.2">
      <c r="A20" s="4" t="s">
        <v>34</v>
      </c>
      <c r="B20" s="22" t="s">
        <v>82</v>
      </c>
      <c r="C20" s="21"/>
      <c r="D20" s="21"/>
      <c r="E20" s="21"/>
      <c r="F20" s="21"/>
      <c r="I20" s="78"/>
      <c r="J20" s="78"/>
      <c r="K20" s="78"/>
      <c r="L20" s="78"/>
      <c r="M20" s="78"/>
      <c r="N20" s="78"/>
      <c r="O20" s="78"/>
      <c r="P20" s="78"/>
      <c r="Q20" s="78"/>
      <c r="R20" s="78"/>
      <c r="S20" s="78"/>
    </row>
    <row r="21" spans="1:21" ht="15" x14ac:dyDescent="0.2">
      <c r="A21" s="4"/>
      <c r="B21" s="432" t="s">
        <v>25</v>
      </c>
      <c r="C21" s="432"/>
      <c r="D21" s="24">
        <v>2015</v>
      </c>
      <c r="E21" s="433"/>
      <c r="F21" s="434"/>
      <c r="G21" s="78"/>
      <c r="H21" s="78"/>
      <c r="I21" s="78"/>
      <c r="J21" s="78"/>
      <c r="K21" s="78"/>
      <c r="L21" s="78"/>
      <c r="M21" s="78"/>
      <c r="N21" s="78"/>
      <c r="O21" s="78"/>
      <c r="P21" s="78"/>
      <c r="Q21" s="78"/>
    </row>
    <row r="22" spans="1:21" ht="15" thickBot="1" x14ac:dyDescent="0.25">
      <c r="A22" s="4"/>
      <c r="B22" s="5" t="s">
        <v>3</v>
      </c>
      <c r="C22" s="5" t="s">
        <v>2</v>
      </c>
      <c r="D22" s="112">
        <f>D23+D24</f>
        <v>137828054.54999998</v>
      </c>
      <c r="E22" s="6" t="s">
        <v>0</v>
      </c>
      <c r="F22" s="7">
        <v>1</v>
      </c>
      <c r="G22" s="78"/>
      <c r="H22" s="78"/>
      <c r="I22" s="78"/>
      <c r="J22" s="78"/>
      <c r="K22" s="78"/>
      <c r="L22" s="78"/>
      <c r="M22" s="78"/>
      <c r="N22" s="78"/>
      <c r="O22" s="78"/>
      <c r="P22" s="78"/>
      <c r="Q22" s="78"/>
    </row>
    <row r="23" spans="1:21" x14ac:dyDescent="0.2">
      <c r="B23" s="5" t="s">
        <v>7</v>
      </c>
      <c r="C23" s="5" t="s">
        <v>1</v>
      </c>
      <c r="D23" s="134">
        <v>60823284.600000001</v>
      </c>
      <c r="E23" s="6" t="s">
        <v>0</v>
      </c>
      <c r="F23" s="8">
        <f>IFERROR(D23/$D$22,0)</f>
        <v>0.44129828864365994</v>
      </c>
    </row>
    <row r="24" spans="1:21" ht="15" thickBot="1" x14ac:dyDescent="0.25">
      <c r="B24" s="5" t="s">
        <v>8</v>
      </c>
      <c r="C24" s="5" t="s">
        <v>6</v>
      </c>
      <c r="D24" s="112">
        <f>D25+D26</f>
        <v>77004769.949999988</v>
      </c>
      <c r="E24" s="6" t="s">
        <v>0</v>
      </c>
      <c r="F24" s="8">
        <f>IFERROR(D24/$D$22,0)</f>
        <v>0.55870171135634006</v>
      </c>
    </row>
    <row r="25" spans="1:21" x14ac:dyDescent="0.2">
      <c r="B25" s="5" t="s">
        <v>9</v>
      </c>
      <c r="C25" s="5" t="s">
        <v>4</v>
      </c>
      <c r="D25" s="113">
        <v>0</v>
      </c>
      <c r="E25" s="6" t="s">
        <v>0</v>
      </c>
      <c r="F25" s="8">
        <f>IFERROR(D25/$D$22,0)</f>
        <v>0</v>
      </c>
    </row>
    <row r="26" spans="1:21" x14ac:dyDescent="0.2">
      <c r="B26" s="5" t="s">
        <v>61</v>
      </c>
      <c r="C26" s="5" t="s">
        <v>5</v>
      </c>
      <c r="D26" s="135">
        <f>63289435.6+16912985-3197650.65</f>
        <v>77004769.949999988</v>
      </c>
      <c r="E26" s="6" t="s">
        <v>0</v>
      </c>
      <c r="F26" s="8">
        <f>IFERROR(D26/$D$22,0)</f>
        <v>0.55870171135634006</v>
      </c>
      <c r="G26" s="29"/>
      <c r="H26" s="29"/>
    </row>
    <row r="27" spans="1:21" ht="34.5" customHeight="1" x14ac:dyDescent="0.2">
      <c r="B27" s="435" t="s">
        <v>77</v>
      </c>
      <c r="C27" s="435"/>
      <c r="D27" s="435"/>
      <c r="E27" s="435"/>
      <c r="F27" s="435"/>
      <c r="G27" s="436"/>
      <c r="H27" s="436"/>
    </row>
    <row r="28" spans="1:21" x14ac:dyDescent="0.2">
      <c r="D28" s="114"/>
      <c r="E28" s="35"/>
      <c r="F28" s="35"/>
      <c r="G28" s="35"/>
    </row>
    <row r="29" spans="1:21" ht="15" x14ac:dyDescent="0.25">
      <c r="A29" s="1" t="s">
        <v>35</v>
      </c>
      <c r="B29" s="3" t="s">
        <v>41</v>
      </c>
    </row>
    <row r="30" spans="1:21" ht="15" x14ac:dyDescent="0.25">
      <c r="B30" s="3"/>
    </row>
    <row r="31" spans="1:21" ht="15" x14ac:dyDescent="0.25">
      <c r="B31" s="2" t="s">
        <v>22</v>
      </c>
      <c r="C31" s="52" t="s">
        <v>161</v>
      </c>
      <c r="E31" s="78"/>
      <c r="F31" s="35"/>
      <c r="G31" s="35"/>
      <c r="H31" s="35"/>
      <c r="I31" s="35"/>
      <c r="J31" s="35"/>
      <c r="K31" s="35"/>
    </row>
    <row r="32" spans="1:21" x14ac:dyDescent="0.2">
      <c r="E32" s="78"/>
      <c r="F32" s="35"/>
      <c r="G32" s="35"/>
      <c r="H32" s="35"/>
      <c r="I32" s="35"/>
      <c r="J32" s="35"/>
      <c r="K32" s="35"/>
    </row>
    <row r="33" spans="1:30" ht="15" x14ac:dyDescent="0.25">
      <c r="B33" s="2" t="s">
        <v>42</v>
      </c>
    </row>
    <row r="34" spans="1:30" ht="15" customHeight="1" x14ac:dyDescent="0.25">
      <c r="B34" s="36"/>
      <c r="C34" s="36"/>
      <c r="D34" s="36"/>
      <c r="E34" s="36"/>
      <c r="F34" s="36"/>
      <c r="G34" s="36"/>
      <c r="H34" s="36"/>
    </row>
    <row r="35" spans="1:30" ht="15" customHeight="1" x14ac:dyDescent="0.25">
      <c r="B35" s="36"/>
      <c r="C35" s="36"/>
      <c r="D35" s="36"/>
      <c r="E35" s="36"/>
      <c r="F35" s="36"/>
      <c r="G35" s="36"/>
      <c r="H35" s="36"/>
    </row>
    <row r="36" spans="1:30" ht="15" customHeight="1" x14ac:dyDescent="0.25">
      <c r="B36" s="36"/>
      <c r="C36" s="36"/>
      <c r="D36" s="36"/>
      <c r="E36" s="36"/>
      <c r="F36" s="36"/>
      <c r="G36" s="36"/>
      <c r="H36" s="36"/>
    </row>
    <row r="37" spans="1:30" ht="15" customHeight="1" x14ac:dyDescent="0.25">
      <c r="B37" s="36"/>
      <c r="C37" s="36"/>
      <c r="D37" s="36"/>
      <c r="E37" s="36"/>
      <c r="F37" s="36"/>
      <c r="G37" s="36"/>
      <c r="H37" s="36"/>
    </row>
    <row r="38" spans="1:30" ht="14.25" customHeight="1" x14ac:dyDescent="0.25">
      <c r="B38" s="36"/>
      <c r="C38" s="36"/>
      <c r="D38" s="36"/>
      <c r="E38" s="36"/>
      <c r="F38" s="36"/>
      <c r="G38" s="36"/>
      <c r="H38" s="36"/>
    </row>
    <row r="39" spans="1:30" ht="14.25" customHeight="1" x14ac:dyDescent="0.25">
      <c r="B39" s="36"/>
      <c r="C39" s="36"/>
      <c r="D39" s="36"/>
      <c r="E39" s="36"/>
      <c r="F39" s="36"/>
      <c r="G39" s="36"/>
      <c r="H39" s="36"/>
    </row>
    <row r="40" spans="1:30" s="35" customFormat="1" ht="14.25" customHeight="1" x14ac:dyDescent="0.25">
      <c r="B40" s="36"/>
      <c r="C40" s="36"/>
      <c r="D40" s="36"/>
      <c r="E40" s="36"/>
      <c r="F40" s="36"/>
      <c r="G40" s="36"/>
      <c r="H40" s="36"/>
    </row>
    <row r="41" spans="1:30" s="35" customFormat="1" ht="14.25" customHeight="1" x14ac:dyDescent="0.25">
      <c r="B41" s="36"/>
      <c r="C41" s="36"/>
      <c r="D41" s="36"/>
      <c r="E41" s="36"/>
      <c r="F41" s="36"/>
      <c r="G41" s="36"/>
      <c r="H41" s="36"/>
    </row>
    <row r="43" spans="1:30" ht="15" x14ac:dyDescent="0.25">
      <c r="A43" s="1" t="s">
        <v>36</v>
      </c>
      <c r="B43" s="47" t="s">
        <v>145</v>
      </c>
      <c r="C43" s="3"/>
    </row>
    <row r="44" spans="1:30" ht="15.75" thickBot="1" x14ac:dyDescent="0.3">
      <c r="B44" s="2" t="s">
        <v>25</v>
      </c>
      <c r="C44" s="93"/>
      <c r="D44" s="78"/>
      <c r="E44" s="78"/>
      <c r="F44" s="79"/>
      <c r="G44" s="33"/>
      <c r="H44" s="33"/>
      <c r="I44" s="33"/>
      <c r="J44" s="33"/>
      <c r="K44" s="33"/>
      <c r="N44" s="3" t="s">
        <v>29</v>
      </c>
    </row>
    <row r="45" spans="1:30" s="9" customFormat="1" ht="80.25" customHeight="1" thickBot="1" x14ac:dyDescent="0.3">
      <c r="B45" s="50" t="s">
        <v>39</v>
      </c>
      <c r="C45" s="61" t="s">
        <v>143</v>
      </c>
      <c r="D45" s="80" t="s">
        <v>83</v>
      </c>
      <c r="E45" s="81" t="s">
        <v>84</v>
      </c>
      <c r="F45" s="66" t="s">
        <v>130</v>
      </c>
      <c r="G45" s="26" t="s">
        <v>49</v>
      </c>
      <c r="H45" s="26" t="s">
        <v>23</v>
      </c>
      <c r="I45" s="26" t="s">
        <v>50</v>
      </c>
      <c r="J45" s="26" t="s">
        <v>76</v>
      </c>
      <c r="K45" s="67" t="s">
        <v>78</v>
      </c>
      <c r="N45" s="11"/>
      <c r="O45" s="431">
        <v>2016</v>
      </c>
      <c r="P45" s="431"/>
      <c r="Q45" s="431"/>
      <c r="R45" s="431">
        <v>2015</v>
      </c>
      <c r="S45" s="431"/>
      <c r="T45" s="431"/>
    </row>
    <row r="46" spans="1:30" s="9" customFormat="1" ht="75" x14ac:dyDescent="0.25">
      <c r="B46" s="12"/>
      <c r="C46" s="62" t="s">
        <v>40</v>
      </c>
      <c r="D46" s="62" t="s">
        <v>38</v>
      </c>
      <c r="E46" s="63" t="s">
        <v>53</v>
      </c>
      <c r="F46" s="63" t="s">
        <v>54</v>
      </c>
      <c r="G46" s="63" t="s">
        <v>55</v>
      </c>
      <c r="H46" s="64" t="s">
        <v>56</v>
      </c>
      <c r="I46" s="63" t="s">
        <v>57</v>
      </c>
      <c r="J46" s="64" t="s">
        <v>58</v>
      </c>
      <c r="K46" s="65" t="s">
        <v>59</v>
      </c>
      <c r="N46" s="18" t="s">
        <v>30</v>
      </c>
      <c r="O46" s="97" t="s">
        <v>26</v>
      </c>
      <c r="P46" s="97" t="s">
        <v>27</v>
      </c>
      <c r="Q46" s="97" t="s">
        <v>28</v>
      </c>
      <c r="R46" s="97" t="s">
        <v>26</v>
      </c>
      <c r="S46" s="97" t="s">
        <v>27</v>
      </c>
      <c r="T46" s="97" t="s">
        <v>28</v>
      </c>
      <c r="U46" s="9" t="s">
        <v>182</v>
      </c>
      <c r="V46" s="9" t="s">
        <v>173</v>
      </c>
      <c r="W46" s="9" t="s">
        <v>183</v>
      </c>
      <c r="Y46" s="9" t="s">
        <v>184</v>
      </c>
      <c r="Z46" s="9" t="s">
        <v>185</v>
      </c>
      <c r="AA46" s="9" t="s">
        <v>174</v>
      </c>
      <c r="AB46" s="9" t="s">
        <v>215</v>
      </c>
      <c r="AC46" s="9" t="s">
        <v>176</v>
      </c>
      <c r="AD46" s="9" t="s">
        <v>181</v>
      </c>
    </row>
    <row r="47" spans="1:30" x14ac:dyDescent="0.2">
      <c r="B47" s="13" t="s">
        <v>10</v>
      </c>
      <c r="C47" s="136">
        <f>+(1645+5882+339+245295+13153+17764)+(28958+87780+89052+70286+3556+420+12577+39181+48207+576)+846+1957+13888+(471530+23435+12764+92625+74823+131884+44927+77258)+(1741812+256303+200949)+1382633+1445551+106782+1152</f>
        <v>6745790</v>
      </c>
      <c r="D47" s="136">
        <f>+(1567+78+5604+278+323+16+233681+11614+12530+623+16923+841)+(45924+2283+549+27+27587+1371+83624+4156+84835+4217+37325+1856+66958+3328+3388+168+400+20+11982+595)+(809+37)+(1864+93)+(13230+658)+(471530+23435+42800+2127+62400+3101+12160+604)+(25840+1284+71280+3543+125640+6244+73600+3658)+(1659343+82469+191434+9515+244168+12135)+(1317170+65463)+(1377109+68442)+(101727+5055)+(1097+55)</f>
        <v>6745790</v>
      </c>
      <c r="E47" s="60">
        <f>+C48</f>
        <v>7488161</v>
      </c>
      <c r="F47" s="51">
        <f>C47-D47+E47</f>
        <v>7488161</v>
      </c>
      <c r="G47" s="106">
        <f>+R47</f>
        <v>5.5490000000000005E-2</v>
      </c>
      <c r="H47" s="15">
        <f>F47*G47</f>
        <v>415518.05389000004</v>
      </c>
      <c r="I47" s="106">
        <f>+T47</f>
        <v>5.0680000000000003E-2</v>
      </c>
      <c r="J47" s="17">
        <f>F47*I47</f>
        <v>379499.99948</v>
      </c>
      <c r="K47" s="16">
        <f>J47-H47</f>
        <v>-36018.054410000041</v>
      </c>
      <c r="N47" s="11" t="s">
        <v>10</v>
      </c>
      <c r="O47" s="19">
        <v>8.4229999999999999E-2</v>
      </c>
      <c r="P47" s="19">
        <v>9.214E-2</v>
      </c>
      <c r="Q47" s="19">
        <v>9.1789999999999997E-2</v>
      </c>
      <c r="R47" s="19">
        <v>5.5490000000000005E-2</v>
      </c>
      <c r="S47" s="19">
        <v>6.1609999999999998E-2</v>
      </c>
      <c r="T47" s="19">
        <v>5.0680000000000003E-2</v>
      </c>
      <c r="U47" s="140">
        <f>223861.51/T47</f>
        <v>4417156.8666140493</v>
      </c>
      <c r="V47" s="140">
        <v>9570373.3900000006</v>
      </c>
      <c r="W47" s="140">
        <f>+U47+V47</f>
        <v>13987530.25661405</v>
      </c>
      <c r="X47" s="144">
        <v>0.53447999999999996</v>
      </c>
      <c r="Y47" s="140">
        <f>ROUND(+W47*X47,2)</f>
        <v>7476055.1699999999</v>
      </c>
      <c r="Z47" s="140">
        <f t="shared" ref="Z47:Z58" si="0">+Y47*T47</f>
        <v>378886.47601560003</v>
      </c>
      <c r="AA47" s="140">
        <f>119649.5+259236.97</f>
        <v>378886.47</v>
      </c>
      <c r="AB47" s="140">
        <f>+Z47-AA47</f>
        <v>6.0156000545248389E-3</v>
      </c>
      <c r="AC47" s="140">
        <f>+Y47-F47</f>
        <v>-12105.830000000075</v>
      </c>
      <c r="AD47" s="1">
        <f t="shared" ref="AD47:AD58" si="1">ROUND(+AC47*T47,2)</f>
        <v>-613.52</v>
      </c>
    </row>
    <row r="48" spans="1:30" x14ac:dyDescent="0.2">
      <c r="B48" s="13" t="s">
        <v>11</v>
      </c>
      <c r="C48" s="136">
        <f>+(1584+6082+320+253138+12956+19264)+(33726+87480+89890+83508+3398+504+10999+45440+56368+612+7909)+540+1957+13888+(520055+25847+13688+101191+91702+142717+50050+95313)+(1910585+270773+197962)+1515618+1693806+128139+1152</f>
        <v>7488161</v>
      </c>
      <c r="D48" s="136">
        <f>+C48</f>
        <v>7488161</v>
      </c>
      <c r="E48" s="60">
        <f t="shared" ref="E48:E57" si="2">+C49</f>
        <v>7041744</v>
      </c>
      <c r="F48" s="51">
        <f>C48-D48+E48</f>
        <v>7041744</v>
      </c>
      <c r="G48" s="106">
        <f t="shared" ref="G48:G58" si="3">+R48</f>
        <v>6.9809999999999997E-2</v>
      </c>
      <c r="H48" s="15">
        <f t="shared" ref="H48:H57" si="4">F48*G48</f>
        <v>491584.14863999997</v>
      </c>
      <c r="I48" s="106">
        <f t="shared" ref="I48:I57" si="5">+T48</f>
        <v>3.9609999999999999E-2</v>
      </c>
      <c r="J48" s="17">
        <f t="shared" ref="J48:J58" si="6">F48*I48</f>
        <v>278923.47983999999</v>
      </c>
      <c r="K48" s="16">
        <f t="shared" ref="K48:K58" si="7">J48-H48</f>
        <v>-212660.66879999998</v>
      </c>
      <c r="N48" s="11" t="s">
        <v>11</v>
      </c>
      <c r="O48" s="20">
        <v>0.10384</v>
      </c>
      <c r="P48" s="20">
        <v>9.6780000000000005E-2</v>
      </c>
      <c r="Q48" s="20">
        <v>9.851E-2</v>
      </c>
      <c r="R48" s="20">
        <v>6.9809999999999997E-2</v>
      </c>
      <c r="S48" s="20">
        <v>4.095E-2</v>
      </c>
      <c r="T48" s="20">
        <v>3.9609999999999999E-2</v>
      </c>
      <c r="U48" s="140">
        <f>157713.14/T48</f>
        <v>3981649.5834385259</v>
      </c>
      <c r="V48" s="140">
        <v>9146816.8100000005</v>
      </c>
      <c r="W48" s="140">
        <f t="shared" ref="W48:W57" si="8">+U48+V48</f>
        <v>13128466.393438525</v>
      </c>
      <c r="X48" s="144">
        <v>0.53444999999999998</v>
      </c>
      <c r="Y48" s="140">
        <f t="shared" ref="Y48:Y57" si="9">ROUND(+W48*X48,2)</f>
        <v>7016508.8600000003</v>
      </c>
      <c r="Z48" s="140">
        <f t="shared" si="0"/>
        <v>277923.91594460001</v>
      </c>
      <c r="AA48" s="140">
        <f>84289.79+193634.13</f>
        <v>277923.92</v>
      </c>
      <c r="AB48" s="140">
        <f t="shared" ref="AB48:AB57" si="10">+Z48-AA48</f>
        <v>-4.0553999715484679E-3</v>
      </c>
      <c r="AC48" s="140">
        <f t="shared" ref="AC48:AC58" si="11">+Y48-F48</f>
        <v>-25235.139999999665</v>
      </c>
      <c r="AD48" s="1">
        <f t="shared" si="1"/>
        <v>-999.56</v>
      </c>
    </row>
    <row r="49" spans="1:30" x14ac:dyDescent="0.2">
      <c r="B49" s="13" t="s">
        <v>12</v>
      </c>
      <c r="C49" s="136">
        <f>+(1368+4344+263+226649+11359+18622)+(32311+78628+70134+83841+2649+492+12638+44588+52113+20463)+464+1957+12911+(492701+24487+11841+93591+86789+138434+44717+89434)+(1782313+250147+197869)+1328070+1708779+115738+1040</f>
        <v>7041744</v>
      </c>
      <c r="D49" s="136">
        <f t="shared" ref="D49:D57" si="12">+C49</f>
        <v>7041744</v>
      </c>
      <c r="E49" s="60">
        <f>+C50</f>
        <v>7485497</v>
      </c>
      <c r="F49" s="51">
        <f t="shared" ref="F49:F58" si="13">C49-D49+E49</f>
        <v>7485497</v>
      </c>
      <c r="G49" s="106">
        <f t="shared" si="3"/>
        <v>3.6040000000000003E-2</v>
      </c>
      <c r="H49" s="15">
        <f>F49*G49</f>
        <v>269777.31187999999</v>
      </c>
      <c r="I49" s="106">
        <f t="shared" si="5"/>
        <v>6.2899999999999998E-2</v>
      </c>
      <c r="J49" s="17">
        <f t="shared" si="6"/>
        <v>470837.76129999995</v>
      </c>
      <c r="K49" s="16">
        <f t="shared" si="7"/>
        <v>201060.44941999996</v>
      </c>
      <c r="N49" s="11" t="s">
        <v>12</v>
      </c>
      <c r="O49" s="20">
        <v>9.0219999999999995E-2</v>
      </c>
      <c r="P49" s="20">
        <v>0.10299</v>
      </c>
      <c r="Q49" s="20">
        <v>0.1061</v>
      </c>
      <c r="R49" s="20">
        <v>3.6040000000000003E-2</v>
      </c>
      <c r="S49" s="20">
        <v>5.74E-2</v>
      </c>
      <c r="T49" s="20">
        <v>6.2899999999999998E-2</v>
      </c>
      <c r="U49" s="140">
        <f>263423.64/T49</f>
        <v>4187975.1987281404</v>
      </c>
      <c r="V49" s="140">
        <v>9014222.7300000004</v>
      </c>
      <c r="W49" s="140">
        <f t="shared" si="8"/>
        <v>13202197.928728141</v>
      </c>
      <c r="X49" s="144">
        <v>0.56430999999999998</v>
      </c>
      <c r="Y49" s="140">
        <f t="shared" si="9"/>
        <v>7450132.3099999996</v>
      </c>
      <c r="Z49" s="140">
        <f t="shared" si="0"/>
        <v>468613.32229899993</v>
      </c>
      <c r="AA49" s="140">
        <f>148652.59+319960.73</f>
        <v>468613.31999999995</v>
      </c>
      <c r="AB49" s="140">
        <f t="shared" si="10"/>
        <v>2.2989999852143228E-3</v>
      </c>
      <c r="AC49" s="140">
        <f t="shared" si="11"/>
        <v>-35364.69000000041</v>
      </c>
      <c r="AD49" s="1">
        <f t="shared" si="1"/>
        <v>-2224.44</v>
      </c>
    </row>
    <row r="50" spans="1:30" x14ac:dyDescent="0.2">
      <c r="B50" s="13" t="s">
        <v>13</v>
      </c>
      <c r="C50" s="136">
        <f>+(1252+4259+261+213432+10383+17249)+(29513+80537+71641+83689+2779+422+10521+40905+50538+23501)+439+1957+14265+(518887+25789+12596+99973+74571+131380+47278+74739)+(1870533+271585+242818)+1511415+1817099+128139+1152</f>
        <v>7485497</v>
      </c>
      <c r="D50" s="136">
        <f>+C50</f>
        <v>7485497</v>
      </c>
      <c r="E50" s="60">
        <f>+C51</f>
        <v>6732206</v>
      </c>
      <c r="F50" s="51">
        <f t="shared" si="13"/>
        <v>6732206</v>
      </c>
      <c r="G50" s="106">
        <f t="shared" si="3"/>
        <v>6.7049999999999998E-2</v>
      </c>
      <c r="H50" s="15">
        <f t="shared" si="4"/>
        <v>451394.41229999997</v>
      </c>
      <c r="I50" s="106">
        <f t="shared" si="5"/>
        <v>9.5590000000000008E-2</v>
      </c>
      <c r="J50" s="17">
        <f t="shared" si="6"/>
        <v>643531.57154000003</v>
      </c>
      <c r="K50" s="16">
        <f t="shared" si="7"/>
        <v>192137.15924000007</v>
      </c>
      <c r="N50" s="11" t="s">
        <v>13</v>
      </c>
      <c r="O50" s="20">
        <v>0.12114999999999999</v>
      </c>
      <c r="P50" s="20">
        <v>0.11176999999999999</v>
      </c>
      <c r="Q50" s="20">
        <v>0.11132</v>
      </c>
      <c r="R50" s="20">
        <v>6.7049999999999998E-2</v>
      </c>
      <c r="S50" s="20">
        <v>9.2679999999999998E-2</v>
      </c>
      <c r="T50" s="20">
        <v>9.5590000000000008E-2</v>
      </c>
      <c r="U50" s="140">
        <f>359557.7/T50</f>
        <v>3761457.2654043306</v>
      </c>
      <c r="V50" s="140">
        <v>7648036.4299999997</v>
      </c>
      <c r="W50" s="140">
        <f t="shared" si="8"/>
        <v>11409493.69540433</v>
      </c>
      <c r="X50" s="144">
        <v>0.58699999999999997</v>
      </c>
      <c r="Y50" s="140">
        <f t="shared" si="9"/>
        <v>6697372.7999999998</v>
      </c>
      <c r="Z50" s="140">
        <f t="shared" si="0"/>
        <v>640201.86595200002</v>
      </c>
      <c r="AA50" s="140">
        <f>211060.37+429141.49</f>
        <v>640201.86</v>
      </c>
      <c r="AB50" s="140">
        <f t="shared" si="10"/>
        <v>5.9520000359043479E-3</v>
      </c>
      <c r="AC50" s="140">
        <f t="shared" si="11"/>
        <v>-34833.200000000186</v>
      </c>
      <c r="AD50" s="1">
        <f t="shared" si="1"/>
        <v>-3329.71</v>
      </c>
    </row>
    <row r="51" spans="1:30" x14ac:dyDescent="0.2">
      <c r="B51" s="13" t="s">
        <v>14</v>
      </c>
      <c r="C51" s="136">
        <f>+(1043+3140+223+174905+12933+12547)+(24064+74830+65223+84584+2415+292+8230+29762+41578+19593+14864)+503+1957+14014+(456600+22693+12428+95523+54542+106943+38503+58363)+(1584566+269646+222125)+1510096+1616328+96035+1115</f>
        <v>6732206</v>
      </c>
      <c r="D51" s="136">
        <f t="shared" si="12"/>
        <v>6732206</v>
      </c>
      <c r="E51" s="60">
        <f t="shared" si="2"/>
        <v>6408328</v>
      </c>
      <c r="F51" s="51">
        <f t="shared" si="13"/>
        <v>6408328</v>
      </c>
      <c r="G51" s="106">
        <f t="shared" si="3"/>
        <v>9.4159999999999994E-2</v>
      </c>
      <c r="H51" s="15">
        <f t="shared" si="4"/>
        <v>603408.16447999992</v>
      </c>
      <c r="I51" s="106">
        <f t="shared" si="5"/>
        <v>9.6680000000000002E-2</v>
      </c>
      <c r="J51" s="17">
        <f t="shared" si="6"/>
        <v>619557.15104000003</v>
      </c>
      <c r="K51" s="16">
        <f t="shared" si="7"/>
        <v>16148.986560000107</v>
      </c>
      <c r="N51" s="11" t="s">
        <v>14</v>
      </c>
      <c r="O51" s="20">
        <v>0.10405</v>
      </c>
      <c r="P51" s="20">
        <v>0.11493</v>
      </c>
      <c r="Q51" s="20">
        <v>0.10749</v>
      </c>
      <c r="R51" s="20">
        <v>9.4159999999999994E-2</v>
      </c>
      <c r="S51" s="20">
        <v>9.7299999999999998E-2</v>
      </c>
      <c r="T51" s="20">
        <v>9.6680000000000002E-2</v>
      </c>
      <c r="U51" s="140">
        <f>379373.36/T51</f>
        <v>3924010.7571369465</v>
      </c>
      <c r="V51" s="140">
        <v>7037691.4100000001</v>
      </c>
      <c r="W51" s="140">
        <f t="shared" si="8"/>
        <v>10961702.167136947</v>
      </c>
      <c r="X51" s="144">
        <v>0.58167999999999997</v>
      </c>
      <c r="Y51" s="140">
        <f t="shared" si="9"/>
        <v>6376202.9199999999</v>
      </c>
      <c r="Z51" s="140">
        <f t="shared" si="0"/>
        <v>616451.29830559995</v>
      </c>
      <c r="AA51" s="140">
        <f>220673.9+395777.4</f>
        <v>616451.30000000005</v>
      </c>
      <c r="AB51" s="140">
        <f t="shared" si="10"/>
        <v>-1.6944000963121653E-3</v>
      </c>
      <c r="AC51" s="140">
        <f t="shared" si="11"/>
        <v>-32125.080000000075</v>
      </c>
      <c r="AD51" s="1">
        <f t="shared" si="1"/>
        <v>-3105.85</v>
      </c>
    </row>
    <row r="52" spans="1:30" x14ac:dyDescent="0.2">
      <c r="B52" s="13" t="s">
        <v>15</v>
      </c>
      <c r="C52" s="136">
        <f>+(1110+2613+204+176850+11317+10977)+(19936+82181+75307+74602+2223+199+5922+19798+35310+24064+14108)+325+1957+15997+(451055+22417+12093+90862+41190+78098+44045+47446)+(1600615+281227+193135)+1693303+1178451+98239+1152</f>
        <v>6408328</v>
      </c>
      <c r="D52" s="136">
        <f t="shared" si="12"/>
        <v>6408328</v>
      </c>
      <c r="E52" s="60">
        <f t="shared" si="2"/>
        <v>6588009</v>
      </c>
      <c r="F52" s="51">
        <f t="shared" si="13"/>
        <v>6588009</v>
      </c>
      <c r="G52" s="106">
        <f t="shared" si="3"/>
        <v>9.2280000000000001E-2</v>
      </c>
      <c r="H52" s="15">
        <f t="shared" si="4"/>
        <v>607941.47051999997</v>
      </c>
      <c r="I52" s="106">
        <f t="shared" si="5"/>
        <v>9.5400000000000013E-2</v>
      </c>
      <c r="J52" s="17">
        <f t="shared" si="6"/>
        <v>628496.05860000011</v>
      </c>
      <c r="K52" s="16">
        <f t="shared" si="7"/>
        <v>20554.588080000132</v>
      </c>
      <c r="N52" s="11" t="s">
        <v>15</v>
      </c>
      <c r="O52" s="20">
        <v>0.11650000000000001</v>
      </c>
      <c r="P52" s="20">
        <v>9.3600000000000003E-2</v>
      </c>
      <c r="Q52" s="20">
        <v>9.5449999999999993E-2</v>
      </c>
      <c r="R52" s="20">
        <v>9.2280000000000001E-2</v>
      </c>
      <c r="S52" s="20">
        <v>9.7680000000000003E-2</v>
      </c>
      <c r="T52" s="20">
        <v>9.5400000000000013E-2</v>
      </c>
      <c r="U52" s="140">
        <f>375857.26/T52</f>
        <v>3939803.5639412994</v>
      </c>
      <c r="V52" s="140">
        <v>7202399.1699999999</v>
      </c>
      <c r="W52" s="140">
        <f t="shared" si="8"/>
        <v>11142202.7339413</v>
      </c>
      <c r="X52" s="144">
        <v>0.58677000000000001</v>
      </c>
      <c r="Y52" s="140">
        <f t="shared" si="9"/>
        <v>6537910.2999999998</v>
      </c>
      <c r="Z52" s="140">
        <f t="shared" si="0"/>
        <v>623716.64262000006</v>
      </c>
      <c r="AA52" s="140">
        <f>220541.76+403174.88</f>
        <v>623716.64</v>
      </c>
      <c r="AB52" s="140">
        <f t="shared" si="10"/>
        <v>2.6200000429525971E-3</v>
      </c>
      <c r="AC52" s="140">
        <f t="shared" si="11"/>
        <v>-50098.700000000186</v>
      </c>
      <c r="AD52" s="1">
        <f t="shared" si="1"/>
        <v>-4779.42</v>
      </c>
    </row>
    <row r="53" spans="1:30" x14ac:dyDescent="0.2">
      <c r="B53" s="13" t="s">
        <v>16</v>
      </c>
      <c r="C53" s="10">
        <f>+(1338+2158+182+175608+10871+10881)+(18175+83179+76833+76641+1879+155+6108+18265+34408+24793+16879)+292+1957+15934+(466694+23194+13016+95522+39427+70918+43752+43668)+(1559651+289426+179581)+1705956+1384815+94738+1115</f>
        <v>6588009</v>
      </c>
      <c r="D53" s="136">
        <f t="shared" si="12"/>
        <v>6588009</v>
      </c>
      <c r="E53" s="60">
        <f t="shared" si="2"/>
        <v>6742824</v>
      </c>
      <c r="F53" s="51">
        <f t="shared" si="13"/>
        <v>6742824</v>
      </c>
      <c r="G53" s="106">
        <f t="shared" si="3"/>
        <v>8.8880000000000001E-2</v>
      </c>
      <c r="H53" s="15">
        <f t="shared" si="4"/>
        <v>599302.19712000003</v>
      </c>
      <c r="I53" s="106">
        <f t="shared" si="5"/>
        <v>7.8829999999999997E-2</v>
      </c>
      <c r="J53" s="17">
        <f t="shared" si="6"/>
        <v>531536.81591999996</v>
      </c>
      <c r="K53" s="16">
        <f t="shared" si="7"/>
        <v>-67765.381200000062</v>
      </c>
      <c r="N53" s="11" t="s">
        <v>16</v>
      </c>
      <c r="O53" s="20">
        <v>7.6670000000000002E-2</v>
      </c>
      <c r="P53" s="20">
        <v>8.412E-2</v>
      </c>
      <c r="Q53" s="20">
        <v>8.3059999999999995E-2</v>
      </c>
      <c r="R53" s="20">
        <v>8.8880000000000001E-2</v>
      </c>
      <c r="S53" s="20">
        <v>8.4129999999999996E-2</v>
      </c>
      <c r="T53" s="20">
        <v>7.8829999999999997E-2</v>
      </c>
      <c r="U53" s="140">
        <f>336120.78/T53</f>
        <v>4263868.831663073</v>
      </c>
      <c r="V53" s="140">
        <v>7755908.4199999999</v>
      </c>
      <c r="W53" s="140">
        <f t="shared" si="8"/>
        <v>12019777.251663074</v>
      </c>
      <c r="X53" s="144">
        <v>0.55347999999999997</v>
      </c>
      <c r="Y53" s="140">
        <f t="shared" si="9"/>
        <v>6652706.3099999996</v>
      </c>
      <c r="Z53" s="140">
        <f t="shared" si="0"/>
        <v>524432.83841729991</v>
      </c>
      <c r="AA53" s="140">
        <f>186036.13+338396.71</f>
        <v>524432.84000000008</v>
      </c>
      <c r="AB53" s="140">
        <f t="shared" si="10"/>
        <v>-1.5827001770958304E-3</v>
      </c>
      <c r="AC53" s="140">
        <f t="shared" si="11"/>
        <v>-90117.69000000041</v>
      </c>
      <c r="AD53" s="1">
        <f t="shared" si="1"/>
        <v>-7103.98</v>
      </c>
    </row>
    <row r="54" spans="1:30" x14ac:dyDescent="0.2">
      <c r="B54" s="13" t="s">
        <v>17</v>
      </c>
      <c r="C54" s="10">
        <f>+(1776+2568+187+212951+11712+11776)+(11135+96520+86856+85152+1982+193+7012+21058+38947+25823+18139)+343+1957+16911+(455078+22617+5710+97328+42324+77594+46817+45347)+(1511924+317258+188379)+1728298+1480192+69808+1152</f>
        <v>6742824</v>
      </c>
      <c r="D54" s="136">
        <f t="shared" si="12"/>
        <v>6742824</v>
      </c>
      <c r="E54" s="60">
        <f t="shared" si="2"/>
        <v>6284016</v>
      </c>
      <c r="F54" s="51">
        <f t="shared" si="13"/>
        <v>6284016</v>
      </c>
      <c r="G54" s="106">
        <f t="shared" si="3"/>
        <v>8.8050000000000003E-2</v>
      </c>
      <c r="H54" s="15">
        <f t="shared" si="4"/>
        <v>553307.60880000005</v>
      </c>
      <c r="I54" s="106">
        <f t="shared" si="5"/>
        <v>8.0099999999999991E-2</v>
      </c>
      <c r="J54" s="17">
        <f t="shared" si="6"/>
        <v>503349.68159999995</v>
      </c>
      <c r="K54" s="16">
        <f t="shared" si="7"/>
        <v>-49957.927200000093</v>
      </c>
      <c r="N54" s="11" t="s">
        <v>17</v>
      </c>
      <c r="O54" s="20">
        <v>8.5690000000000002E-2</v>
      </c>
      <c r="P54" s="20">
        <v>7.0499999999999993E-2</v>
      </c>
      <c r="Q54" s="20">
        <v>7.1029999999999996E-2</v>
      </c>
      <c r="R54" s="20">
        <v>8.8050000000000003E-2</v>
      </c>
      <c r="S54" s="20">
        <v>7.3550000000000004E-2</v>
      </c>
      <c r="T54" s="20">
        <v>8.0099999999999991E-2</v>
      </c>
      <c r="U54" s="140">
        <f>324682.44/T54</f>
        <v>4053463.6704119854</v>
      </c>
      <c r="V54" s="140">
        <v>7320593.5</v>
      </c>
      <c r="W54" s="140">
        <f t="shared" si="8"/>
        <v>11374057.170411985</v>
      </c>
      <c r="X54" s="144">
        <v>0.55079</v>
      </c>
      <c r="Y54" s="140">
        <f t="shared" si="9"/>
        <v>6264716.9500000002</v>
      </c>
      <c r="Z54" s="140">
        <f t="shared" si="0"/>
        <v>501803.82769499999</v>
      </c>
      <c r="AA54" s="140">
        <f>178831.84+322971.99</f>
        <v>501803.82999999996</v>
      </c>
      <c r="AB54" s="140">
        <f t="shared" si="10"/>
        <v>-2.3049999726936221E-3</v>
      </c>
      <c r="AC54" s="140">
        <f t="shared" si="11"/>
        <v>-19299.049999999814</v>
      </c>
      <c r="AD54" s="1">
        <f t="shared" si="1"/>
        <v>-1545.85</v>
      </c>
    </row>
    <row r="55" spans="1:30" x14ac:dyDescent="0.2">
      <c r="B55" s="13" t="s">
        <v>18</v>
      </c>
      <c r="C55" s="10">
        <f>+(1485+2120+212+190476+11801+11075+1321)+(18445+92117+83446+52818+2204+242+6151+19626+36875+25409+44718)+357+1957+16218+(444497+22092+4367+95397+43080+77090+45557+46187+25193)+(1517340+311665+169997)+1679065+1119038+63226+1152</f>
        <v>6284016</v>
      </c>
      <c r="D55" s="136">
        <f t="shared" si="12"/>
        <v>6284016</v>
      </c>
      <c r="E55" s="60">
        <f t="shared" si="2"/>
        <v>6725449</v>
      </c>
      <c r="F55" s="51">
        <f t="shared" si="13"/>
        <v>6725449</v>
      </c>
      <c r="G55" s="106">
        <f t="shared" si="3"/>
        <v>8.270000000000001E-2</v>
      </c>
      <c r="H55" s="15">
        <f t="shared" si="4"/>
        <v>556194.63230000006</v>
      </c>
      <c r="I55" s="106">
        <f t="shared" si="5"/>
        <v>6.7030000000000006E-2</v>
      </c>
      <c r="J55" s="17">
        <f t="shared" si="6"/>
        <v>450806.84647000005</v>
      </c>
      <c r="K55" s="16">
        <f t="shared" si="7"/>
        <v>-105387.78583000001</v>
      </c>
      <c r="N55" s="11" t="s">
        <v>18</v>
      </c>
      <c r="O55" s="20">
        <v>7.0599999999999996E-2</v>
      </c>
      <c r="P55" s="20">
        <v>9.1480000000000006E-2</v>
      </c>
      <c r="Q55" s="20">
        <v>9.5310000000000006E-2</v>
      </c>
      <c r="R55" s="20">
        <v>8.270000000000001E-2</v>
      </c>
      <c r="S55" s="20">
        <v>7.1910000000000002E-2</v>
      </c>
      <c r="T55" s="20">
        <v>6.7030000000000006E-2</v>
      </c>
      <c r="U55" s="140">
        <f>271462.17/T55</f>
        <v>4049860.8085931665</v>
      </c>
      <c r="V55" s="140">
        <v>7747309.25</v>
      </c>
      <c r="W55" s="140">
        <f t="shared" si="8"/>
        <v>11797170.058593167</v>
      </c>
      <c r="X55" s="144">
        <v>0.56793000000000005</v>
      </c>
      <c r="Y55" s="140">
        <f t="shared" si="9"/>
        <v>6699966.79</v>
      </c>
      <c r="Z55" s="140">
        <f t="shared" si="0"/>
        <v>449098.77393370005</v>
      </c>
      <c r="AA55" s="140">
        <f>154171.51+294927.26</f>
        <v>449098.77</v>
      </c>
      <c r="AB55" s="140">
        <f t="shared" si="10"/>
        <v>3.9337000343948603E-3</v>
      </c>
      <c r="AC55" s="140">
        <f t="shared" si="11"/>
        <v>-25482.209999999963</v>
      </c>
      <c r="AD55" s="1">
        <f t="shared" si="1"/>
        <v>-1708.07</v>
      </c>
    </row>
    <row r="56" spans="1:30" x14ac:dyDescent="0.2">
      <c r="B56" s="13" t="s">
        <v>19</v>
      </c>
      <c r="C56" s="10">
        <f>+(1479+2163+234+180251+11504+10768+2033)+(47079+87340+86441+50533+2451+233+5899+19450+35855+23866+25189+15305)+400+1957+16375+(334240+16611+97244+41568+78224+42954+44507+23681)+(1643665+305798+187557)+1714368+1514150+52962+1115</f>
        <v>6725449</v>
      </c>
      <c r="D56" s="136">
        <f t="shared" si="12"/>
        <v>6725449</v>
      </c>
      <c r="E56" s="60">
        <f t="shared" si="2"/>
        <v>6532758</v>
      </c>
      <c r="F56" s="51">
        <f t="shared" si="13"/>
        <v>6532758</v>
      </c>
      <c r="G56" s="106">
        <f t="shared" si="3"/>
        <v>6.3710000000000003E-2</v>
      </c>
      <c r="H56" s="15">
        <f t="shared" si="4"/>
        <v>416202.01218000002</v>
      </c>
      <c r="I56" s="106">
        <f t="shared" si="5"/>
        <v>7.5439999999999993E-2</v>
      </c>
      <c r="J56" s="17">
        <f t="shared" si="6"/>
        <v>492831.26351999998</v>
      </c>
      <c r="K56" s="16">
        <f t="shared" si="7"/>
        <v>76629.251339999959</v>
      </c>
      <c r="N56" s="11" t="s">
        <v>19</v>
      </c>
      <c r="O56" s="20">
        <v>9.7199999999999995E-2</v>
      </c>
      <c r="P56" s="20">
        <v>0.1178</v>
      </c>
      <c r="Q56" s="20">
        <v>0.11226</v>
      </c>
      <c r="R56" s="20">
        <v>6.3710000000000003E-2</v>
      </c>
      <c r="S56" s="20">
        <v>7.1929999999999994E-2</v>
      </c>
      <c r="T56" s="20">
        <v>7.5439999999999993E-2</v>
      </c>
      <c r="U56" s="140">
        <f>286488.03/T56</f>
        <v>3797561.3732767771</v>
      </c>
      <c r="V56" s="140">
        <v>7628802.3700000001</v>
      </c>
      <c r="W56" s="140">
        <f t="shared" si="8"/>
        <v>11426363.743276777</v>
      </c>
      <c r="X56" s="144">
        <v>0.57169999999999999</v>
      </c>
      <c r="Y56" s="140">
        <f t="shared" si="9"/>
        <v>6532452.1500000004</v>
      </c>
      <c r="Z56" s="140">
        <f t="shared" si="0"/>
        <v>492808.19019599998</v>
      </c>
      <c r="AA56" s="140">
        <f>163785.21+329022.98</f>
        <v>492808.18999999994</v>
      </c>
      <c r="AB56" s="140">
        <f t="shared" si="10"/>
        <v>1.9600003724917769E-4</v>
      </c>
      <c r="AC56" s="140">
        <f t="shared" si="11"/>
        <v>-305.84999999962747</v>
      </c>
      <c r="AD56" s="1">
        <f t="shared" si="1"/>
        <v>-23.07</v>
      </c>
    </row>
    <row r="57" spans="1:30" x14ac:dyDescent="0.2">
      <c r="B57" s="13" t="s">
        <v>20</v>
      </c>
      <c r="C57" s="10">
        <f>+(1234+1262+270+164327+10405+11318+2894)+(44601+80680+76551+38254+2778+405+7892+24336+37644+20949+22070+13037)+547+1957+(330440+16423+98084+48496+105684+39763+52065+24185)+(1586189+258014+187461)+1524513+1629129+67749+1152</f>
        <v>6532758</v>
      </c>
      <c r="D57" s="136">
        <f t="shared" si="12"/>
        <v>6532758</v>
      </c>
      <c r="E57" s="60">
        <f t="shared" si="2"/>
        <v>6580400</v>
      </c>
      <c r="F57" s="51">
        <f t="shared" si="13"/>
        <v>6580400</v>
      </c>
      <c r="G57" s="106">
        <f t="shared" si="3"/>
        <v>7.6230000000000006E-2</v>
      </c>
      <c r="H57" s="15">
        <f t="shared" si="4"/>
        <v>501623.89200000005</v>
      </c>
      <c r="I57" s="106">
        <f t="shared" si="5"/>
        <v>0.11320000000000001</v>
      </c>
      <c r="J57" s="17">
        <f t="shared" si="6"/>
        <v>744901.28</v>
      </c>
      <c r="K57" s="16">
        <f t="shared" si="7"/>
        <v>243277.38799999998</v>
      </c>
      <c r="N57" s="11" t="s">
        <v>20</v>
      </c>
      <c r="O57" s="20">
        <v>0.12271</v>
      </c>
      <c r="P57" s="20">
        <v>0.115</v>
      </c>
      <c r="Q57" s="20">
        <v>0.11108999999999999</v>
      </c>
      <c r="R57" s="20">
        <v>7.6230000000000006E-2</v>
      </c>
      <c r="S57" s="20">
        <v>0.12447999999999999</v>
      </c>
      <c r="T57" s="20">
        <v>0.11320000000000001</v>
      </c>
      <c r="U57" s="140">
        <f>429753.52/T57</f>
        <v>3796409.1872791518</v>
      </c>
      <c r="V57" s="140">
        <v>7870412.8600000003</v>
      </c>
      <c r="W57" s="140">
        <f t="shared" si="8"/>
        <v>11666822.047279153</v>
      </c>
      <c r="X57" s="144">
        <v>0.56411999999999995</v>
      </c>
      <c r="Y57" s="140">
        <f t="shared" si="9"/>
        <v>6581487.6500000004</v>
      </c>
      <c r="Z57" s="140">
        <f t="shared" si="0"/>
        <v>745024.40198000008</v>
      </c>
      <c r="AA57" s="140">
        <f>242432.56+502591.85</f>
        <v>745024.40999999992</v>
      </c>
      <c r="AB57" s="140">
        <f t="shared" si="10"/>
        <v>-8.0199998337775469E-3</v>
      </c>
      <c r="AC57" s="140">
        <f t="shared" si="11"/>
        <v>1087.6500000003725</v>
      </c>
      <c r="AD57" s="1">
        <f t="shared" si="1"/>
        <v>123.12</v>
      </c>
    </row>
    <row r="58" spans="1:30" x14ac:dyDescent="0.2">
      <c r="B58" s="13" t="s">
        <v>21</v>
      </c>
      <c r="C58" s="137">
        <f>+(1358+286+172199+10882+11828+3793)+(47505+76086+74848+39303+2846+448+10099+27424+39608+20158+21566+12409)+507+1957+(331120+16457+96951+58447+118280+40518+56684+30735)+(1581650+254455+177262)+1507875+1676573+57168+1115</f>
        <v>6580400</v>
      </c>
      <c r="D58" s="136">
        <f>+C58</f>
        <v>6580400</v>
      </c>
      <c r="E58" s="60">
        <f>+'GA Analysis 2016'!D47</f>
        <v>6222511</v>
      </c>
      <c r="F58" s="51">
        <f t="shared" si="13"/>
        <v>6222511</v>
      </c>
      <c r="G58" s="106">
        <f t="shared" si="3"/>
        <v>0.11462</v>
      </c>
      <c r="H58" s="15">
        <f>F58*G58</f>
        <v>713224.21082000004</v>
      </c>
      <c r="I58" s="106">
        <f>+T58</f>
        <v>9.4709999999999989E-2</v>
      </c>
      <c r="J58" s="17">
        <f t="shared" si="6"/>
        <v>589334.01680999994</v>
      </c>
      <c r="K58" s="16">
        <f t="shared" si="7"/>
        <v>-123890.19401000009</v>
      </c>
      <c r="N58" s="27" t="s">
        <v>21</v>
      </c>
      <c r="O58" s="28">
        <v>0.10594000000000001</v>
      </c>
      <c r="P58" s="28">
        <v>7.8719999999999998E-2</v>
      </c>
      <c r="Q58" s="28">
        <v>8.7080000000000005E-2</v>
      </c>
      <c r="R58" s="28">
        <v>0.11462</v>
      </c>
      <c r="S58" s="28">
        <v>8.8090000000000002E-2</v>
      </c>
      <c r="T58" s="28">
        <v>9.4709999999999989E-2</v>
      </c>
      <c r="U58" s="140">
        <f>375283.7/T58</f>
        <v>3962450.6387921027</v>
      </c>
      <c r="V58" s="140">
        <v>8019790.2300000004</v>
      </c>
      <c r="W58" s="140">
        <f>+U58+V58</f>
        <v>11982240.868792104</v>
      </c>
      <c r="X58" s="144">
        <v>0.51993</v>
      </c>
      <c r="Y58" s="140">
        <f>ROUND(+W58*X58,2)</f>
        <v>6229926.4900000002</v>
      </c>
      <c r="Z58" s="140">
        <f t="shared" si="0"/>
        <v>590036.33786789991</v>
      </c>
      <c r="AA58" s="140">
        <f>195121.25+394915.08</f>
        <v>590036.33000000007</v>
      </c>
      <c r="AB58" s="140">
        <f>+Z58-AA58</f>
        <v>7.8678998397663236E-3</v>
      </c>
      <c r="AC58" s="140">
        <f t="shared" si="11"/>
        <v>7415.4900000002235</v>
      </c>
      <c r="AD58" s="1">
        <f t="shared" si="1"/>
        <v>702.32</v>
      </c>
    </row>
    <row r="59" spans="1:30" ht="30.75" thickBot="1" x14ac:dyDescent="0.3">
      <c r="B59" s="121" t="s">
        <v>135</v>
      </c>
      <c r="C59" s="94">
        <f>SUM(C47:C58)</f>
        <v>81355182</v>
      </c>
      <c r="D59" s="94">
        <f>SUM(D47:D58)</f>
        <v>81355182</v>
      </c>
      <c r="E59" s="94">
        <f>SUM(E47:E58)</f>
        <v>80831903</v>
      </c>
      <c r="F59" s="94">
        <f>SUM(F47:F58)</f>
        <v>80831903</v>
      </c>
      <c r="G59" s="37"/>
      <c r="H59" s="38">
        <f>SUM(H47:H58)</f>
        <v>6179478.1149299992</v>
      </c>
      <c r="I59" s="37"/>
      <c r="J59" s="38">
        <f>SUM(J47:J58)</f>
        <v>6333605.926119999</v>
      </c>
      <c r="K59" s="39">
        <f>SUM(K47:K58)</f>
        <v>154127.81118999992</v>
      </c>
      <c r="N59" s="31"/>
      <c r="O59" s="32"/>
      <c r="P59" s="32"/>
      <c r="Q59" s="32"/>
      <c r="R59" s="32"/>
      <c r="S59" s="32"/>
      <c r="T59" s="32"/>
      <c r="U59" s="147">
        <f>SUM(U47:U58)</f>
        <v>48135667.745279551</v>
      </c>
      <c r="V59" s="147">
        <f>SUM(V47:V58)</f>
        <v>95962356.570000008</v>
      </c>
      <c r="W59" s="147">
        <f>SUM(W47:W58)</f>
        <v>144098024.31527954</v>
      </c>
      <c r="Y59" s="147">
        <f>SUM(Y47:Y58)</f>
        <v>80515438.700000003</v>
      </c>
      <c r="Z59" s="147">
        <f t="shared" ref="Z59:AA59" si="14">SUM(Z47:Z58)</f>
        <v>6308997.8912267005</v>
      </c>
      <c r="AA59" s="147">
        <f t="shared" si="14"/>
        <v>6308997.8800000008</v>
      </c>
      <c r="AB59" s="147">
        <f>SUM(AB47:AB58)</f>
        <v>1.1226699978578836E-2</v>
      </c>
      <c r="AC59" s="147">
        <f>SUM(AC47:AC58)</f>
        <v>-316464.29999999981</v>
      </c>
      <c r="AD59" s="147">
        <f>SUM(AD47:AD58)</f>
        <v>-24608.03</v>
      </c>
    </row>
    <row r="60" spans="1:30" x14ac:dyDescent="0.2">
      <c r="G60" s="4"/>
      <c r="H60" s="4"/>
      <c r="I60" s="4"/>
      <c r="J60" s="68"/>
      <c r="K60" s="120"/>
      <c r="N60" s="219" t="s">
        <v>195</v>
      </c>
      <c r="O60" s="220"/>
      <c r="P60" s="220"/>
      <c r="Q60" s="220"/>
      <c r="R60" s="150"/>
      <c r="S60" s="201"/>
      <c r="T60" s="203">
        <v>7.8829999999999997E-2</v>
      </c>
      <c r="U60" s="273"/>
      <c r="V60" s="274">
        <f>9729.72/T60</f>
        <v>123426.61423315995</v>
      </c>
      <c r="W60" s="274">
        <f>+U60+V60</f>
        <v>123426.61423315995</v>
      </c>
      <c r="X60" s="221">
        <v>0.55347999999999997</v>
      </c>
      <c r="Y60" s="274">
        <f>ROUND(+W60*X60,2)</f>
        <v>68314.16</v>
      </c>
      <c r="Z60" s="274">
        <f>ROUND(+Y60*T60,2)</f>
        <v>5385.21</v>
      </c>
      <c r="AA60" s="274">
        <v>5385.21</v>
      </c>
      <c r="AB60" s="274">
        <f>+Z60-AA60</f>
        <v>0</v>
      </c>
      <c r="AC60" s="274">
        <f>+Y60-I60</f>
        <v>68314.16</v>
      </c>
      <c r="AD60" s="273">
        <f>ROUND(+AC60*T60,2)</f>
        <v>5385.21</v>
      </c>
    </row>
    <row r="61" spans="1:30" x14ac:dyDescent="0.2">
      <c r="C61" s="1">
        <f>88342543+4390620-44988725*2+38260687+1901550-17788746*2+5563+1105311+54949-568388*2+813448+40431-351738*2+10491177+521406-453470*2+24361469+1210766+18801210+18263911+1078723+13564</f>
        <v>81355194</v>
      </c>
      <c r="D61" s="139">
        <f>+C61-C59</f>
        <v>12</v>
      </c>
      <c r="N61" s="29"/>
      <c r="O61" s="30"/>
      <c r="P61" s="30"/>
      <c r="Q61" s="30"/>
      <c r="R61" s="30"/>
      <c r="S61" s="30"/>
      <c r="T61" s="30"/>
      <c r="U61" s="140">
        <f>SUM(U59:U60)</f>
        <v>48135667.745279551</v>
      </c>
      <c r="V61" s="140">
        <f t="shared" ref="V61:Y61" si="15">SUM(V59:V60)</f>
        <v>96085783.184233174</v>
      </c>
      <c r="W61" s="140">
        <f t="shared" si="15"/>
        <v>144221450.92951271</v>
      </c>
      <c r="Y61" s="140">
        <f t="shared" si="15"/>
        <v>80583752.859999999</v>
      </c>
      <c r="Z61" s="140">
        <f t="shared" ref="Z61" si="16">SUM(Z59:Z60)</f>
        <v>6314383.1012267005</v>
      </c>
      <c r="AA61" s="140">
        <f t="shared" ref="AA61" si="17">SUM(AA59:AA60)</f>
        <v>6314383.0900000008</v>
      </c>
      <c r="AB61" s="140">
        <f t="shared" ref="AB61" si="18">SUM(AB59:AB60)</f>
        <v>1.1226699978578836E-2</v>
      </c>
      <c r="AC61" s="140">
        <f t="shared" ref="AC61" si="19">SUM(AC59:AC60)</f>
        <v>-248150.13999999981</v>
      </c>
      <c r="AD61" s="140">
        <f t="shared" ref="AD61" si="20">SUM(AD59:AD60)</f>
        <v>-19222.82</v>
      </c>
    </row>
    <row r="62" spans="1:30" ht="15" x14ac:dyDescent="0.25">
      <c r="A62" s="1" t="s">
        <v>147</v>
      </c>
      <c r="B62" s="47" t="s">
        <v>139</v>
      </c>
      <c r="C62" s="2"/>
      <c r="K62" s="110"/>
      <c r="N62" s="29"/>
      <c r="O62" s="30"/>
      <c r="P62" s="30"/>
      <c r="Q62" s="30"/>
      <c r="R62" s="30"/>
      <c r="S62" s="30"/>
      <c r="T62" s="30"/>
    </row>
    <row r="63" spans="1:30" ht="15" x14ac:dyDescent="0.25">
      <c r="B63" s="3"/>
      <c r="C63" s="2"/>
      <c r="K63" s="117"/>
      <c r="N63" s="29"/>
      <c r="O63" s="29"/>
      <c r="P63" s="29"/>
      <c r="Q63" s="29"/>
      <c r="R63" s="29"/>
      <c r="S63" s="29"/>
      <c r="T63" s="29"/>
    </row>
    <row r="64" spans="1:30" ht="45" x14ac:dyDescent="0.25">
      <c r="A64" s="11"/>
      <c r="B64" s="132" t="s">
        <v>45</v>
      </c>
      <c r="C64" s="48" t="s">
        <v>67</v>
      </c>
      <c r="D64" s="48" t="s">
        <v>121</v>
      </c>
      <c r="E64" s="437" t="s">
        <v>44</v>
      </c>
      <c r="F64" s="437"/>
      <c r="G64" s="437"/>
      <c r="H64" s="437"/>
      <c r="I64" s="437"/>
      <c r="K64" s="115"/>
      <c r="O64" s="29"/>
      <c r="P64" s="29"/>
      <c r="Q64" s="29"/>
      <c r="R64" s="29"/>
      <c r="S64" s="29"/>
      <c r="T64" s="29"/>
      <c r="U64" s="29"/>
    </row>
    <row r="65" spans="1:21" ht="30.75" customHeight="1" x14ac:dyDescent="0.25">
      <c r="A65" s="438" t="s">
        <v>136</v>
      </c>
      <c r="B65" s="439"/>
      <c r="C65" s="440"/>
      <c r="D65" s="142">
        <f>561837.67-408654.44</f>
        <v>153183.23000000004</v>
      </c>
      <c r="E65" s="441"/>
      <c r="F65" s="442"/>
      <c r="G65" s="442"/>
      <c r="H65" s="442"/>
      <c r="I65" s="443"/>
      <c r="K65" s="115"/>
      <c r="O65" s="29"/>
      <c r="P65" s="29"/>
      <c r="Q65" s="29"/>
      <c r="R65" s="29"/>
      <c r="S65" s="29"/>
      <c r="T65" s="29"/>
      <c r="U65" s="29"/>
    </row>
    <row r="66" spans="1:21" ht="28.5" customHeight="1" x14ac:dyDescent="0.2">
      <c r="A66" s="69" t="s">
        <v>51</v>
      </c>
      <c r="B66" s="49" t="s">
        <v>62</v>
      </c>
      <c r="C66" s="107" t="s">
        <v>162</v>
      </c>
      <c r="D66" s="95"/>
      <c r="E66" s="414" t="s">
        <v>190</v>
      </c>
      <c r="F66" s="414"/>
      <c r="G66" s="414"/>
      <c r="H66" s="414"/>
      <c r="I66" s="414"/>
      <c r="K66" s="115"/>
      <c r="O66" s="29"/>
      <c r="P66" s="29"/>
      <c r="Q66" s="29"/>
      <c r="R66" s="29"/>
      <c r="S66" s="29"/>
      <c r="T66" s="29"/>
      <c r="U66" s="29"/>
    </row>
    <row r="67" spans="1:21" ht="28.5" customHeight="1" x14ac:dyDescent="0.2">
      <c r="A67" s="69" t="s">
        <v>52</v>
      </c>
      <c r="B67" s="49" t="s">
        <v>79</v>
      </c>
      <c r="C67" s="108" t="s">
        <v>162</v>
      </c>
      <c r="D67" s="109"/>
      <c r="E67" s="414" t="s">
        <v>189</v>
      </c>
      <c r="F67" s="414"/>
      <c r="G67" s="414"/>
      <c r="H67" s="414"/>
      <c r="I67" s="414"/>
      <c r="J67" s="78"/>
      <c r="K67" s="116"/>
      <c r="L67" s="78"/>
      <c r="M67" s="78"/>
      <c r="N67" s="78"/>
      <c r="O67" s="78"/>
      <c r="P67" s="78"/>
      <c r="Q67" s="78"/>
    </row>
    <row r="68" spans="1:21" ht="28.5" customHeight="1" x14ac:dyDescent="0.2">
      <c r="A68" s="69" t="s">
        <v>65</v>
      </c>
      <c r="B68" s="49" t="s">
        <v>64</v>
      </c>
      <c r="C68" s="107" t="s">
        <v>162</v>
      </c>
      <c r="D68" s="109"/>
      <c r="E68" s="414" t="s">
        <v>169</v>
      </c>
      <c r="F68" s="414"/>
      <c r="G68" s="414"/>
      <c r="H68" s="414"/>
      <c r="I68" s="414"/>
      <c r="J68" s="78"/>
      <c r="K68" s="116"/>
      <c r="L68" s="78"/>
      <c r="M68" s="78"/>
      <c r="N68" s="78"/>
      <c r="O68" s="78"/>
      <c r="P68" s="78"/>
      <c r="Q68" s="78"/>
    </row>
    <row r="69" spans="1:21" ht="28.5" customHeight="1" x14ac:dyDescent="0.2">
      <c r="A69" s="69" t="s">
        <v>66</v>
      </c>
      <c r="B69" s="49" t="s">
        <v>63</v>
      </c>
      <c r="C69" s="108" t="s">
        <v>162</v>
      </c>
      <c r="D69" s="146"/>
      <c r="E69" s="414" t="s">
        <v>170</v>
      </c>
      <c r="F69" s="414"/>
      <c r="G69" s="414"/>
      <c r="H69" s="414"/>
      <c r="I69" s="414"/>
      <c r="J69" s="78"/>
      <c r="K69" s="119"/>
      <c r="L69" s="78"/>
      <c r="M69" s="78"/>
      <c r="N69" s="78"/>
      <c r="O69" s="78"/>
      <c r="P69" s="78"/>
      <c r="Q69" s="78"/>
    </row>
    <row r="70" spans="1:21" ht="45" customHeight="1" x14ac:dyDescent="0.2">
      <c r="A70" s="69" t="s">
        <v>69</v>
      </c>
      <c r="B70" s="49" t="s">
        <v>71</v>
      </c>
      <c r="C70" s="107" t="s">
        <v>162</v>
      </c>
      <c r="D70" s="10"/>
      <c r="E70" s="414" t="s">
        <v>193</v>
      </c>
      <c r="F70" s="414"/>
      <c r="G70" s="414"/>
      <c r="H70" s="414"/>
      <c r="I70" s="414"/>
      <c r="J70" s="78"/>
      <c r="K70" s="119"/>
      <c r="L70" s="78"/>
      <c r="M70" s="78"/>
      <c r="N70" s="78"/>
      <c r="O70" s="78"/>
      <c r="P70" s="78"/>
      <c r="Q70" s="78"/>
    </row>
    <row r="71" spans="1:21" ht="28.5" customHeight="1" x14ac:dyDescent="0.2">
      <c r="A71" s="69" t="s">
        <v>70</v>
      </c>
      <c r="B71" s="49" t="s">
        <v>72</v>
      </c>
      <c r="C71" s="107" t="s">
        <v>162</v>
      </c>
      <c r="D71" s="142"/>
      <c r="E71" s="444" t="s">
        <v>187</v>
      </c>
      <c r="F71" s="445"/>
      <c r="G71" s="445"/>
      <c r="H71" s="445"/>
      <c r="I71" s="446"/>
      <c r="J71" s="78">
        <f>ROUND((3211.66-42.4-1778.43)*0.56211,2)</f>
        <v>781.8</v>
      </c>
      <c r="K71" s="119"/>
      <c r="L71" s="78"/>
      <c r="M71" s="78"/>
      <c r="N71" s="78"/>
      <c r="O71" s="78"/>
      <c r="P71" s="78"/>
      <c r="Q71" s="78"/>
    </row>
    <row r="72" spans="1:21" ht="33.75" customHeight="1" x14ac:dyDescent="0.2">
      <c r="A72" s="69">
        <v>4</v>
      </c>
      <c r="B72" s="49" t="s">
        <v>68</v>
      </c>
      <c r="C72" s="107" t="s">
        <v>162</v>
      </c>
      <c r="D72" s="95"/>
      <c r="E72" s="414" t="s">
        <v>165</v>
      </c>
      <c r="F72" s="414"/>
      <c r="G72" s="414"/>
      <c r="H72" s="414"/>
      <c r="I72" s="414"/>
      <c r="J72" s="78"/>
      <c r="K72" s="119"/>
      <c r="L72" s="78"/>
      <c r="M72" s="78"/>
      <c r="N72" s="78"/>
      <c r="O72" s="78"/>
      <c r="P72" s="78"/>
      <c r="Q72" s="78"/>
    </row>
    <row r="73" spans="1:21" ht="42.75" customHeight="1" x14ac:dyDescent="0.2">
      <c r="A73" s="69">
        <v>5</v>
      </c>
      <c r="B73" s="49" t="s">
        <v>81</v>
      </c>
      <c r="C73" s="107" t="s">
        <v>162</v>
      </c>
      <c r="D73" s="143"/>
      <c r="E73" s="414" t="s">
        <v>211</v>
      </c>
      <c r="F73" s="414"/>
      <c r="G73" s="414"/>
      <c r="H73" s="414"/>
      <c r="I73" s="414"/>
      <c r="J73" s="78"/>
      <c r="K73" s="119"/>
      <c r="L73" s="78"/>
      <c r="M73" s="78"/>
      <c r="N73" s="78"/>
      <c r="O73" s="78"/>
      <c r="P73" s="78"/>
      <c r="Q73" s="78"/>
    </row>
    <row r="74" spans="1:21" ht="28.5" customHeight="1" x14ac:dyDescent="0.2">
      <c r="A74" s="54">
        <v>6</v>
      </c>
      <c r="B74" s="122" t="s">
        <v>140</v>
      </c>
      <c r="C74" s="107" t="s">
        <v>162</v>
      </c>
      <c r="D74" s="145"/>
      <c r="E74" s="414" t="s">
        <v>80</v>
      </c>
      <c r="F74" s="414"/>
      <c r="G74" s="414"/>
      <c r="H74" s="414"/>
      <c r="I74" s="414"/>
      <c r="K74" s="29"/>
    </row>
    <row r="75" spans="1:21" x14ac:dyDescent="0.2">
      <c r="A75" s="54">
        <v>7</v>
      </c>
      <c r="B75" s="138" t="s">
        <v>167</v>
      </c>
      <c r="C75" s="107" t="s">
        <v>164</v>
      </c>
      <c r="D75" s="142">
        <f>-7426.04-16148.12</f>
        <v>-23574.16</v>
      </c>
      <c r="E75" s="414" t="s">
        <v>166</v>
      </c>
      <c r="F75" s="414"/>
      <c r="G75" s="414"/>
      <c r="H75" s="414"/>
      <c r="I75" s="414"/>
    </row>
    <row r="76" spans="1:21" x14ac:dyDescent="0.2">
      <c r="A76" s="54">
        <f>+A75+1</f>
        <v>8</v>
      </c>
      <c r="B76" s="46" t="s">
        <v>225</v>
      </c>
      <c r="C76" s="107" t="s">
        <v>164</v>
      </c>
      <c r="D76" s="142">
        <f>+AA60</f>
        <v>5385.21</v>
      </c>
      <c r="E76" s="413" t="s">
        <v>212</v>
      </c>
      <c r="F76" s="413"/>
      <c r="G76" s="413"/>
      <c r="H76" s="413"/>
      <c r="I76" s="413"/>
    </row>
    <row r="77" spans="1:21" ht="42.75" customHeight="1" x14ac:dyDescent="0.2">
      <c r="A77" s="54">
        <f t="shared" ref="A77:A85" si="21">+A76+1</f>
        <v>9</v>
      </c>
      <c r="B77" s="46" t="s">
        <v>198</v>
      </c>
      <c r="C77" s="107" t="s">
        <v>164</v>
      </c>
      <c r="D77" s="142">
        <f>-AD61</f>
        <v>19222.82</v>
      </c>
      <c r="E77" s="414" t="s">
        <v>186</v>
      </c>
      <c r="F77" s="414"/>
      <c r="G77" s="414"/>
      <c r="H77" s="414"/>
      <c r="I77" s="414"/>
    </row>
    <row r="78" spans="1:21" ht="61.5" customHeight="1" x14ac:dyDescent="0.2">
      <c r="A78" s="54">
        <f t="shared" si="21"/>
        <v>10</v>
      </c>
      <c r="B78" s="46" t="s">
        <v>200</v>
      </c>
      <c r="C78" s="107" t="s">
        <v>164</v>
      </c>
      <c r="D78" s="142">
        <v>-6.3</v>
      </c>
      <c r="E78" s="414" t="s">
        <v>202</v>
      </c>
      <c r="F78" s="414"/>
      <c r="G78" s="414"/>
      <c r="H78" s="414"/>
      <c r="I78" s="414"/>
    </row>
    <row r="79" spans="1:21" ht="57" customHeight="1" x14ac:dyDescent="0.2">
      <c r="A79" s="54">
        <f t="shared" si="21"/>
        <v>11</v>
      </c>
      <c r="B79" s="46" t="s">
        <v>200</v>
      </c>
      <c r="C79" s="107" t="s">
        <v>164</v>
      </c>
      <c r="D79" s="142">
        <v>-32.619999999999997</v>
      </c>
      <c r="E79" s="414" t="s">
        <v>220</v>
      </c>
      <c r="F79" s="414"/>
      <c r="G79" s="414"/>
      <c r="H79" s="414"/>
      <c r="I79" s="414"/>
      <c r="J79" s="1">
        <v>-15.83</v>
      </c>
    </row>
    <row r="80" spans="1:21" ht="72.75" customHeight="1" x14ac:dyDescent="0.2">
      <c r="A80" s="54">
        <f t="shared" si="21"/>
        <v>12</v>
      </c>
      <c r="B80" s="46" t="s">
        <v>199</v>
      </c>
      <c r="C80" s="107" t="s">
        <v>164</v>
      </c>
      <c r="D80" s="142">
        <f>(-0.19-0.04-0.16-0.29)+13.25</f>
        <v>12.57</v>
      </c>
      <c r="E80" s="414" t="s">
        <v>221</v>
      </c>
      <c r="F80" s="414"/>
      <c r="G80" s="414"/>
      <c r="H80" s="414"/>
      <c r="I80" s="414"/>
    </row>
    <row r="81" spans="1:19" ht="72.75" customHeight="1" x14ac:dyDescent="0.2">
      <c r="A81" s="54">
        <f>+A80+1</f>
        <v>13</v>
      </c>
      <c r="B81" s="46" t="s">
        <v>200</v>
      </c>
      <c r="C81" s="107" t="s">
        <v>164</v>
      </c>
      <c r="D81" s="142">
        <f>-0.08-0.16-0.17</f>
        <v>-0.41000000000000003</v>
      </c>
      <c r="E81" s="414" t="s">
        <v>222</v>
      </c>
      <c r="F81" s="414"/>
      <c r="G81" s="414"/>
      <c r="H81" s="414"/>
      <c r="I81" s="414"/>
    </row>
    <row r="82" spans="1:19" ht="75" customHeight="1" x14ac:dyDescent="0.2">
      <c r="A82" s="54">
        <f t="shared" si="21"/>
        <v>14</v>
      </c>
      <c r="B82" s="46" t="s">
        <v>200</v>
      </c>
      <c r="C82" s="107" t="s">
        <v>164</v>
      </c>
      <c r="D82" s="142">
        <v>-1.03</v>
      </c>
      <c r="E82" s="414" t="s">
        <v>203</v>
      </c>
      <c r="F82" s="414"/>
      <c r="G82" s="414"/>
      <c r="H82" s="414"/>
      <c r="I82" s="414"/>
    </row>
    <row r="83" spans="1:19" ht="75" customHeight="1" x14ac:dyDescent="0.2">
      <c r="A83" s="54">
        <f t="shared" si="21"/>
        <v>15</v>
      </c>
      <c r="B83" s="46" t="s">
        <v>200</v>
      </c>
      <c r="C83" s="107" t="s">
        <v>164</v>
      </c>
      <c r="D83" s="142">
        <v>-5.45</v>
      </c>
      <c r="E83" s="414" t="s">
        <v>223</v>
      </c>
      <c r="F83" s="414"/>
      <c r="G83" s="414"/>
      <c r="H83" s="414"/>
      <c r="I83" s="414"/>
    </row>
    <row r="84" spans="1:19" ht="73.5" customHeight="1" x14ac:dyDescent="0.2">
      <c r="A84" s="54">
        <f>+A83+1</f>
        <v>16</v>
      </c>
      <c r="B84" s="46" t="s">
        <v>200</v>
      </c>
      <c r="C84" s="107" t="s">
        <v>164</v>
      </c>
      <c r="D84" s="142">
        <v>-9.89</v>
      </c>
      <c r="E84" s="414" t="s">
        <v>224</v>
      </c>
      <c r="F84" s="414"/>
      <c r="G84" s="414"/>
      <c r="H84" s="414"/>
      <c r="I84" s="414"/>
    </row>
    <row r="85" spans="1:19" ht="76.5" customHeight="1" x14ac:dyDescent="0.2">
      <c r="A85" s="54">
        <f t="shared" si="21"/>
        <v>17</v>
      </c>
      <c r="B85" s="46" t="s">
        <v>200</v>
      </c>
      <c r="C85" s="107" t="s">
        <v>164</v>
      </c>
      <c r="D85" s="142">
        <v>-50.38</v>
      </c>
      <c r="E85" s="414" t="s">
        <v>227</v>
      </c>
      <c r="F85" s="414"/>
      <c r="G85" s="414"/>
      <c r="H85" s="414"/>
      <c r="I85" s="414"/>
    </row>
    <row r="86" spans="1:19" ht="15" x14ac:dyDescent="0.25">
      <c r="A86" s="1" t="s">
        <v>154</v>
      </c>
      <c r="B86" s="2" t="s">
        <v>133</v>
      </c>
      <c r="C86" s="2"/>
      <c r="D86" s="276">
        <f>SUM(D65:D85)</f>
        <v>154123.59000000003</v>
      </c>
      <c r="E86" s="25"/>
      <c r="F86" s="25"/>
      <c r="G86" s="25"/>
      <c r="H86" s="25"/>
    </row>
    <row r="87" spans="1:19" ht="15" x14ac:dyDescent="0.25">
      <c r="B87" s="118" t="s">
        <v>134</v>
      </c>
      <c r="C87" s="70"/>
      <c r="D87" s="276">
        <f>K59</f>
        <v>154127.81118999992</v>
      </c>
      <c r="E87" s="25"/>
      <c r="F87" s="25"/>
      <c r="G87" s="25"/>
      <c r="H87" s="25"/>
    </row>
    <row r="88" spans="1:19" ht="15" x14ac:dyDescent="0.25">
      <c r="B88" s="70" t="s">
        <v>24</v>
      </c>
      <c r="C88" s="70"/>
      <c r="D88" s="96">
        <f>D86-D87</f>
        <v>-4.2211899998947047</v>
      </c>
    </row>
    <row r="89" spans="1:19" ht="15.75" thickBot="1" x14ac:dyDescent="0.3">
      <c r="B89" s="129" t="s">
        <v>73</v>
      </c>
      <c r="C89" s="71"/>
      <c r="D89" s="141">
        <f>IF(ISERROR(D88/J59),0,D88/J59)</f>
        <v>-6.6647499846594153E-7</v>
      </c>
      <c r="E89" s="98" t="str">
        <f>IF(AND(D89&lt;0.01,D89&gt;-0.01),"","Unresolved differences of greater than + or - 1% should be explained")</f>
        <v/>
      </c>
      <c r="G89" s="78"/>
      <c r="H89" s="35"/>
      <c r="I89" s="35"/>
      <c r="J89" s="35"/>
      <c r="K89" s="35"/>
      <c r="L89" s="35"/>
    </row>
    <row r="90" spans="1:19" ht="15.75" thickTop="1" x14ac:dyDescent="0.25">
      <c r="B90" s="2"/>
      <c r="C90" s="56"/>
      <c r="D90" s="59"/>
      <c r="G90" s="78"/>
    </row>
    <row r="91" spans="1:19" ht="15" x14ac:dyDescent="0.25">
      <c r="B91" s="2"/>
      <c r="C91" s="56"/>
      <c r="D91" s="34"/>
    </row>
    <row r="92" spans="1:19" ht="15" x14ac:dyDescent="0.25">
      <c r="A92" s="1" t="s">
        <v>75</v>
      </c>
      <c r="B92" s="72" t="s">
        <v>141</v>
      </c>
      <c r="C92" s="58"/>
      <c r="D92" s="59"/>
    </row>
    <row r="93" spans="1:19" ht="15" x14ac:dyDescent="0.25">
      <c r="B93" s="57"/>
      <c r="C93" s="58"/>
      <c r="D93" s="59"/>
    </row>
    <row r="94" spans="1:19" ht="75" x14ac:dyDescent="0.25">
      <c r="B94" s="133" t="s">
        <v>25</v>
      </c>
      <c r="C94" s="48" t="s">
        <v>128</v>
      </c>
      <c r="D94" s="48" t="s">
        <v>137</v>
      </c>
      <c r="E94" s="48" t="s">
        <v>142</v>
      </c>
      <c r="F94" s="73" t="s">
        <v>133</v>
      </c>
      <c r="G94" s="48" t="s">
        <v>24</v>
      </c>
      <c r="H94" s="75" t="s">
        <v>129</v>
      </c>
      <c r="I94" s="48" t="s">
        <v>73</v>
      </c>
      <c r="J94" s="78"/>
      <c r="K94" s="78"/>
      <c r="L94" s="35"/>
      <c r="M94" s="35"/>
      <c r="N94" s="35"/>
      <c r="O94" s="35"/>
      <c r="P94" s="35"/>
      <c r="Q94" s="35"/>
      <c r="R94" s="35"/>
      <c r="S94" s="35"/>
    </row>
    <row r="95" spans="1:19" x14ac:dyDescent="0.2">
      <c r="B95" s="111"/>
      <c r="C95" s="101"/>
      <c r="D95" s="101"/>
      <c r="E95" s="102"/>
      <c r="F95" s="124"/>
      <c r="G95" s="103">
        <f>E95-F95</f>
        <v>0</v>
      </c>
      <c r="H95" s="102"/>
      <c r="I95" s="99">
        <f>IF(ISERROR(G95/H95),0,G95/H95)</f>
        <v>0</v>
      </c>
      <c r="J95" s="78"/>
      <c r="K95" s="78"/>
      <c r="L95" s="35"/>
      <c r="M95" s="35"/>
      <c r="N95" s="35"/>
      <c r="O95" s="35"/>
      <c r="P95" s="35"/>
      <c r="Q95" s="35"/>
      <c r="R95" s="35"/>
      <c r="S95" s="35"/>
    </row>
    <row r="96" spans="1:19" x14ac:dyDescent="0.2">
      <c r="B96" s="111"/>
      <c r="C96" s="101"/>
      <c r="D96" s="101"/>
      <c r="E96" s="102"/>
      <c r="F96" s="124"/>
      <c r="G96" s="103">
        <f t="shared" ref="G96:G98" si="22">E96-F96</f>
        <v>0</v>
      </c>
      <c r="H96" s="102"/>
      <c r="I96" s="99">
        <f>IF(ISERROR(G96/H96),0,G96/H96)</f>
        <v>0</v>
      </c>
      <c r="J96" s="78"/>
      <c r="K96" s="78"/>
      <c r="L96" s="35"/>
      <c r="M96" s="35"/>
      <c r="N96" s="35"/>
      <c r="O96" s="35"/>
      <c r="P96" s="35"/>
      <c r="Q96" s="35"/>
      <c r="R96" s="35"/>
      <c r="S96" s="35"/>
    </row>
    <row r="97" spans="2:19" x14ac:dyDescent="0.2">
      <c r="B97" s="111"/>
      <c r="C97" s="101"/>
      <c r="D97" s="101"/>
      <c r="E97" s="102"/>
      <c r="F97" s="124"/>
      <c r="G97" s="103">
        <f t="shared" si="22"/>
        <v>0</v>
      </c>
      <c r="H97" s="102"/>
      <c r="I97" s="99">
        <f>IF(ISERROR(G97/H97),0,G97/H97)</f>
        <v>0</v>
      </c>
      <c r="J97" s="78"/>
      <c r="K97" s="78"/>
      <c r="L97" s="35"/>
      <c r="M97" s="35"/>
      <c r="N97" s="35"/>
      <c r="O97" s="35"/>
      <c r="P97" s="35"/>
      <c r="Q97" s="35"/>
      <c r="R97" s="35"/>
      <c r="S97" s="35"/>
    </row>
    <row r="98" spans="2:19" ht="15" thickBot="1" x14ac:dyDescent="0.25">
      <c r="B98" s="111"/>
      <c r="C98" s="104"/>
      <c r="D98" s="104"/>
      <c r="E98" s="104"/>
      <c r="F98" s="125"/>
      <c r="G98" s="105">
        <f t="shared" si="22"/>
        <v>0</v>
      </c>
      <c r="H98" s="104"/>
      <c r="I98" s="100">
        <f>IF(ISERROR(G98/H98),0,G98/H98)</f>
        <v>0</v>
      </c>
      <c r="J98" s="78"/>
      <c r="K98" s="78"/>
      <c r="L98" s="35"/>
      <c r="M98" s="35"/>
      <c r="N98" s="35"/>
      <c r="O98" s="35"/>
      <c r="P98" s="35"/>
      <c r="Q98" s="35"/>
      <c r="R98" s="35"/>
      <c r="S98" s="35"/>
    </row>
    <row r="99" spans="2:19" ht="15.75" thickBot="1" x14ac:dyDescent="0.3">
      <c r="B99" s="74" t="s">
        <v>74</v>
      </c>
      <c r="C99" s="123">
        <f t="shared" ref="C99:H99" si="23">SUM(C95:C98)</f>
        <v>0</v>
      </c>
      <c r="D99" s="123">
        <f t="shared" si="23"/>
        <v>0</v>
      </c>
      <c r="E99" s="123">
        <f t="shared" si="23"/>
        <v>0</v>
      </c>
      <c r="F99" s="126">
        <f t="shared" si="23"/>
        <v>0</v>
      </c>
      <c r="G99" s="123">
        <f t="shared" si="23"/>
        <v>0</v>
      </c>
      <c r="H99" s="76">
        <f t="shared" si="23"/>
        <v>0</v>
      </c>
      <c r="I99" s="77" t="s">
        <v>80</v>
      </c>
      <c r="J99" s="78"/>
      <c r="K99" s="78"/>
      <c r="L99" s="35"/>
      <c r="M99" s="35"/>
      <c r="N99" s="35"/>
      <c r="O99" s="35"/>
      <c r="P99" s="35"/>
      <c r="Q99" s="35"/>
      <c r="R99" s="35"/>
      <c r="S99" s="35"/>
    </row>
    <row r="100" spans="2:19" x14ac:dyDescent="0.2">
      <c r="B100" s="4"/>
      <c r="C100" s="4"/>
      <c r="D100" s="4"/>
      <c r="E100" s="4"/>
      <c r="F100" s="4"/>
      <c r="G100" s="4"/>
      <c r="J100" s="78"/>
      <c r="K100" s="78"/>
      <c r="L100" s="35"/>
      <c r="M100" s="35"/>
      <c r="N100" s="35"/>
      <c r="O100" s="35"/>
      <c r="P100" s="35"/>
      <c r="Q100" s="35"/>
      <c r="R100" s="35"/>
      <c r="S100" s="35"/>
    </row>
    <row r="101" spans="2:19" x14ac:dyDescent="0.2">
      <c r="J101" s="78"/>
      <c r="K101" s="78"/>
      <c r="L101" s="35"/>
      <c r="M101" s="35"/>
      <c r="N101" s="35"/>
      <c r="O101" s="35"/>
      <c r="P101" s="35"/>
      <c r="Q101" s="35"/>
      <c r="R101" s="35"/>
      <c r="S101" s="35"/>
    </row>
    <row r="102" spans="2:19" ht="15" x14ac:dyDescent="0.25">
      <c r="B102" s="3" t="s">
        <v>37</v>
      </c>
      <c r="J102" s="78"/>
      <c r="K102" s="78"/>
    </row>
    <row r="103" spans="2:19" x14ac:dyDescent="0.2">
      <c r="B103" s="53"/>
      <c r="C103" s="53"/>
      <c r="D103" s="53"/>
      <c r="E103" s="53"/>
      <c r="F103" s="53"/>
      <c r="G103" s="53"/>
      <c r="H103" s="53"/>
      <c r="J103" s="78"/>
      <c r="K103" s="78"/>
    </row>
    <row r="104" spans="2:19" x14ac:dyDescent="0.2">
      <c r="B104" s="53"/>
      <c r="C104" s="53"/>
      <c r="D104" s="53"/>
      <c r="E104" s="53"/>
      <c r="F104" s="53"/>
      <c r="G104" s="53"/>
      <c r="H104" s="53"/>
      <c r="J104" s="78"/>
      <c r="K104" s="78"/>
    </row>
    <row r="105" spans="2:19" x14ac:dyDescent="0.2">
      <c r="B105" s="53"/>
      <c r="C105" s="53"/>
      <c r="D105" s="53"/>
      <c r="E105" s="53"/>
      <c r="F105" s="53"/>
      <c r="G105" s="53"/>
      <c r="H105" s="53"/>
    </row>
    <row r="106" spans="2:19" x14ac:dyDescent="0.2">
      <c r="B106" s="53"/>
      <c r="C106" s="53"/>
      <c r="D106" s="53"/>
      <c r="E106" s="53"/>
      <c r="F106" s="53"/>
      <c r="G106" s="53"/>
      <c r="H106" s="53"/>
    </row>
    <row r="107" spans="2:19" x14ac:dyDescent="0.2">
      <c r="B107" s="53"/>
      <c r="C107" s="53"/>
      <c r="D107" s="53"/>
      <c r="E107" s="53"/>
      <c r="F107" s="53"/>
      <c r="G107" s="53"/>
      <c r="H107" s="53"/>
    </row>
    <row r="108" spans="2:19" x14ac:dyDescent="0.2">
      <c r="B108" s="53"/>
      <c r="C108" s="53"/>
      <c r="D108" s="53"/>
      <c r="E108" s="53"/>
      <c r="F108" s="53"/>
      <c r="G108" s="53"/>
      <c r="H108" s="53"/>
    </row>
    <row r="109" spans="2:19" x14ac:dyDescent="0.2">
      <c r="B109" s="53"/>
      <c r="C109" s="53"/>
      <c r="D109" s="53"/>
      <c r="E109" s="53"/>
      <c r="F109" s="53"/>
      <c r="G109" s="53"/>
      <c r="H109" s="53"/>
    </row>
    <row r="110" spans="2:19" x14ac:dyDescent="0.2">
      <c r="B110" s="53"/>
      <c r="C110" s="53"/>
      <c r="D110" s="53"/>
      <c r="E110" s="53"/>
      <c r="F110" s="53"/>
      <c r="G110" s="53"/>
      <c r="H110" s="53"/>
    </row>
  </sheetData>
  <mergeCells count="28">
    <mergeCell ref="E82:I82"/>
    <mergeCell ref="E83:I83"/>
    <mergeCell ref="E85:I85"/>
    <mergeCell ref="E84:I84"/>
    <mergeCell ref="A65:C65"/>
    <mergeCell ref="E65:I65"/>
    <mergeCell ref="E66:I66"/>
    <mergeCell ref="E67:I67"/>
    <mergeCell ref="E75:I75"/>
    <mergeCell ref="E69:I69"/>
    <mergeCell ref="E70:I70"/>
    <mergeCell ref="E71:I71"/>
    <mergeCell ref="E72:I72"/>
    <mergeCell ref="E73:I73"/>
    <mergeCell ref="E74:I74"/>
    <mergeCell ref="E79:I79"/>
    <mergeCell ref="B21:C21"/>
    <mergeCell ref="E21:F21"/>
    <mergeCell ref="B27:H27"/>
    <mergeCell ref="O45:Q45"/>
    <mergeCell ref="E64:I64"/>
    <mergeCell ref="E80:I80"/>
    <mergeCell ref="E81:I81"/>
    <mergeCell ref="R45:T45"/>
    <mergeCell ref="E68:I68"/>
    <mergeCell ref="E77:I77"/>
    <mergeCell ref="E78:I78"/>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AG109"/>
  <sheetViews>
    <sheetView topLeftCell="L32" zoomScaleNormal="100" zoomScaleSheetLayoutView="100" workbookViewId="0">
      <selection activeCell="X49" sqref="X49"/>
    </sheetView>
  </sheetViews>
  <sheetFormatPr defaultColWidth="9.140625" defaultRowHeight="14.25" x14ac:dyDescent="0.2"/>
  <cols>
    <col min="1" max="1" width="10.28515625" style="280" customWidth="1"/>
    <col min="2" max="2" width="53.85546875" style="280" customWidth="1"/>
    <col min="3" max="3" width="28.140625" style="280" customWidth="1"/>
    <col min="4" max="4" width="23.140625" style="280" customWidth="1"/>
    <col min="5" max="5" width="19.140625" style="280" customWidth="1"/>
    <col min="6" max="6" width="24.42578125" style="280" customWidth="1"/>
    <col min="7" max="7" width="15.85546875" style="280" customWidth="1"/>
    <col min="8" max="8" width="18.140625" style="280" customWidth="1"/>
    <col min="9" max="9" width="17.7109375" style="280" customWidth="1"/>
    <col min="10" max="10" width="17.28515625" style="280" customWidth="1"/>
    <col min="11" max="11" width="18.140625" style="280" customWidth="1"/>
    <col min="12" max="12" width="10.7109375" style="280" customWidth="1"/>
    <col min="13" max="13" width="10.28515625" style="280" customWidth="1"/>
    <col min="14" max="14" width="11.85546875" style="280" customWidth="1"/>
    <col min="15" max="15" width="10.7109375" style="280" customWidth="1"/>
    <col min="16" max="16" width="10.28515625" style="280" customWidth="1"/>
    <col min="17" max="17" width="10.7109375" style="280" customWidth="1"/>
    <col min="18" max="18" width="10.5703125" style="280" customWidth="1"/>
    <col min="19" max="19" width="11" style="280" customWidth="1"/>
    <col min="20" max="20" width="13" style="280" customWidth="1"/>
    <col min="21" max="21" width="10.85546875" style="280" customWidth="1"/>
    <col min="22" max="22" width="11.28515625" style="280" customWidth="1"/>
    <col min="23" max="23" width="9.140625" style="280"/>
    <col min="24" max="24" width="15.7109375" style="280" bestFit="1" customWidth="1"/>
    <col min="25" max="26" width="16.85546875" style="280" bestFit="1" customWidth="1"/>
    <col min="27" max="27" width="12.85546875" style="280" customWidth="1"/>
    <col min="28" max="28" width="15.7109375" style="280" bestFit="1" customWidth="1"/>
    <col min="29" max="29" width="14.5703125" style="280" bestFit="1" customWidth="1"/>
    <col min="30" max="31" width="14.5703125" style="280" customWidth="1"/>
    <col min="32" max="32" width="13.5703125" style="280" bestFit="1" customWidth="1"/>
    <col min="33" max="33" width="14.42578125" style="280" bestFit="1" customWidth="1"/>
    <col min="34" max="16384" width="9.140625" style="280"/>
  </cols>
  <sheetData>
    <row r="12" spans="1:6" ht="15" x14ac:dyDescent="0.25">
      <c r="A12" s="278" t="s">
        <v>48</v>
      </c>
      <c r="B12" s="279"/>
      <c r="C12" s="278"/>
    </row>
    <row r="13" spans="1:6" x14ac:dyDescent="0.2">
      <c r="A13" s="279"/>
      <c r="B13" s="279"/>
      <c r="C13" s="279"/>
    </row>
    <row r="14" spans="1:6" ht="15" x14ac:dyDescent="0.2">
      <c r="A14" s="279"/>
      <c r="B14" s="279" t="s">
        <v>32</v>
      </c>
      <c r="C14" s="281"/>
      <c r="D14" s="279"/>
      <c r="E14" s="279"/>
      <c r="F14" s="279"/>
    </row>
    <row r="15" spans="1:6" ht="15" x14ac:dyDescent="0.2">
      <c r="A15" s="279"/>
      <c r="B15" s="279" t="s">
        <v>60</v>
      </c>
      <c r="C15" s="282"/>
      <c r="D15" s="279"/>
      <c r="E15" s="279"/>
      <c r="F15" s="279"/>
    </row>
    <row r="16" spans="1:6" ht="15" x14ac:dyDescent="0.2">
      <c r="A16" s="279"/>
      <c r="B16" s="283"/>
      <c r="C16" s="283"/>
      <c r="D16" s="279"/>
      <c r="E16" s="279"/>
      <c r="F16" s="279"/>
    </row>
    <row r="17" spans="1:19" ht="15" x14ac:dyDescent="0.2">
      <c r="A17" s="279" t="s">
        <v>33</v>
      </c>
      <c r="B17" s="283" t="s">
        <v>132</v>
      </c>
      <c r="C17" s="284">
        <v>2014</v>
      </c>
      <c r="D17" s="279"/>
      <c r="E17" s="279"/>
      <c r="F17" s="279"/>
    </row>
    <row r="18" spans="1:19" ht="15" x14ac:dyDescent="0.2">
      <c r="A18" s="279"/>
      <c r="B18" s="283"/>
      <c r="C18" s="283"/>
      <c r="D18" s="279"/>
      <c r="E18" s="279"/>
      <c r="F18" s="279"/>
    </row>
    <row r="19" spans="1:19" ht="15" x14ac:dyDescent="0.2">
      <c r="A19" s="279"/>
      <c r="B19" s="283"/>
      <c r="C19" s="283"/>
      <c r="D19" s="279"/>
      <c r="E19" s="279"/>
      <c r="F19" s="279"/>
    </row>
    <row r="20" spans="1:19" ht="15" x14ac:dyDescent="0.2">
      <c r="A20" s="279" t="s">
        <v>34</v>
      </c>
      <c r="B20" s="285" t="s">
        <v>82</v>
      </c>
      <c r="C20" s="286"/>
      <c r="D20" s="286"/>
      <c r="E20" s="286"/>
      <c r="F20" s="286"/>
      <c r="I20" s="287"/>
      <c r="J20" s="287"/>
      <c r="K20" s="287"/>
      <c r="L20" s="287"/>
      <c r="M20" s="287"/>
      <c r="N20" s="287"/>
      <c r="O20" s="287"/>
      <c r="P20" s="287"/>
      <c r="Q20" s="287"/>
      <c r="R20" s="287"/>
      <c r="S20" s="287"/>
    </row>
    <row r="21" spans="1:19" ht="15" x14ac:dyDescent="0.2">
      <c r="A21" s="279"/>
      <c r="B21" s="457" t="s">
        <v>25</v>
      </c>
      <c r="C21" s="457"/>
      <c r="D21" s="284">
        <v>2014</v>
      </c>
      <c r="E21" s="458"/>
      <c r="F21" s="459"/>
      <c r="G21" s="287"/>
      <c r="H21" s="287"/>
      <c r="I21" s="287"/>
      <c r="J21" s="287"/>
      <c r="K21" s="287"/>
      <c r="L21" s="287"/>
      <c r="M21" s="287"/>
      <c r="N21" s="287"/>
      <c r="O21" s="287"/>
      <c r="P21" s="287"/>
      <c r="Q21" s="287"/>
    </row>
    <row r="22" spans="1:19" ht="15" thickBot="1" x14ac:dyDescent="0.25">
      <c r="A22" s="279"/>
      <c r="B22" s="288" t="s">
        <v>3</v>
      </c>
      <c r="C22" s="288" t="s">
        <v>2</v>
      </c>
      <c r="D22" s="289">
        <f>D23+D24</f>
        <v>141978484</v>
      </c>
      <c r="E22" s="290" t="s">
        <v>0</v>
      </c>
      <c r="F22" s="291">
        <v>1</v>
      </c>
      <c r="G22" s="287"/>
      <c r="H22" s="287"/>
      <c r="I22" s="287"/>
      <c r="J22" s="287"/>
      <c r="K22" s="287"/>
      <c r="L22" s="287"/>
      <c r="M22" s="287"/>
      <c r="N22" s="287"/>
      <c r="O22" s="287"/>
      <c r="P22" s="287"/>
      <c r="Q22" s="287"/>
    </row>
    <row r="23" spans="1:19" x14ac:dyDescent="0.2">
      <c r="B23" s="288" t="s">
        <v>7</v>
      </c>
      <c r="C23" s="288" t="s">
        <v>1</v>
      </c>
      <c r="D23" s="292">
        <v>61373228</v>
      </c>
      <c r="E23" s="290" t="s">
        <v>0</v>
      </c>
      <c r="F23" s="293">
        <f>IFERROR(D23/$D$22,0)</f>
        <v>0.43227132922478589</v>
      </c>
    </row>
    <row r="24" spans="1:19" ht="15" thickBot="1" x14ac:dyDescent="0.25">
      <c r="B24" s="288" t="s">
        <v>8</v>
      </c>
      <c r="C24" s="288" t="s">
        <v>6</v>
      </c>
      <c r="D24" s="289">
        <f>D25+D26</f>
        <v>80605256</v>
      </c>
      <c r="E24" s="290" t="s">
        <v>0</v>
      </c>
      <c r="F24" s="293">
        <f>IFERROR(D24/$D$22,0)</f>
        <v>0.56772867077521405</v>
      </c>
    </row>
    <row r="25" spans="1:19" x14ac:dyDescent="0.2">
      <c r="B25" s="288" t="s">
        <v>9</v>
      </c>
      <c r="C25" s="288" t="s">
        <v>4</v>
      </c>
      <c r="D25" s="294">
        <v>0</v>
      </c>
      <c r="E25" s="290" t="s">
        <v>0</v>
      </c>
      <c r="F25" s="293">
        <f>IFERROR(D25/$D$22,0)</f>
        <v>0</v>
      </c>
    </row>
    <row r="26" spans="1:19" ht="15" x14ac:dyDescent="0.2">
      <c r="B26" s="288" t="s">
        <v>210</v>
      </c>
      <c r="C26" s="288" t="s">
        <v>5</v>
      </c>
      <c r="D26" s="295">
        <f>67279319.4+16686469-3360532.4</f>
        <v>80605256</v>
      </c>
      <c r="E26" s="290" t="s">
        <v>0</v>
      </c>
      <c r="F26" s="293">
        <f>IFERROR(D26/$D$22,0)</f>
        <v>0.56772867077521405</v>
      </c>
      <c r="G26" s="296"/>
      <c r="H26" s="296"/>
    </row>
    <row r="27" spans="1:19" ht="34.5" customHeight="1" x14ac:dyDescent="0.2">
      <c r="B27" s="460" t="s">
        <v>77</v>
      </c>
      <c r="C27" s="460"/>
      <c r="D27" s="460"/>
      <c r="E27" s="460"/>
      <c r="F27" s="460"/>
      <c r="G27" s="461"/>
      <c r="H27" s="461"/>
    </row>
    <row r="28" spans="1:19" x14ac:dyDescent="0.2">
      <c r="D28" s="297"/>
      <c r="E28" s="298"/>
      <c r="F28" s="298"/>
      <c r="G28" s="298"/>
    </row>
    <row r="29" spans="1:19" ht="15" x14ac:dyDescent="0.25">
      <c r="A29" s="280" t="s">
        <v>35</v>
      </c>
      <c r="B29" s="299" t="s">
        <v>41</v>
      </c>
    </row>
    <row r="30" spans="1:19" ht="15" x14ac:dyDescent="0.25">
      <c r="B30" s="299"/>
    </row>
    <row r="31" spans="1:19" ht="15" x14ac:dyDescent="0.25">
      <c r="B31" s="300" t="s">
        <v>22</v>
      </c>
      <c r="C31" s="301" t="s">
        <v>161</v>
      </c>
      <c r="E31" s="287"/>
      <c r="F31" s="298"/>
      <c r="G31" s="298"/>
      <c r="H31" s="298"/>
      <c r="I31" s="298"/>
      <c r="J31" s="298"/>
      <c r="K31" s="298"/>
    </row>
    <row r="32" spans="1:19" x14ac:dyDescent="0.2">
      <c r="E32" s="287"/>
      <c r="F32" s="298"/>
      <c r="G32" s="298"/>
      <c r="H32" s="298"/>
      <c r="I32" s="298"/>
      <c r="J32" s="298"/>
      <c r="K32" s="298"/>
    </row>
    <row r="33" spans="1:33" ht="15" x14ac:dyDescent="0.25">
      <c r="B33" s="300" t="s">
        <v>42</v>
      </c>
    </row>
    <row r="34" spans="1:33" ht="15" customHeight="1" x14ac:dyDescent="0.25">
      <c r="B34" s="302"/>
      <c r="C34" s="302"/>
      <c r="D34" s="302"/>
      <c r="E34" s="302"/>
      <c r="F34" s="302"/>
      <c r="G34" s="302"/>
      <c r="H34" s="302"/>
    </row>
    <row r="35" spans="1:33" ht="15" customHeight="1" x14ac:dyDescent="0.25">
      <c r="B35" s="302"/>
      <c r="C35" s="302"/>
      <c r="D35" s="302"/>
      <c r="E35" s="302"/>
      <c r="F35" s="302"/>
      <c r="G35" s="302"/>
      <c r="H35" s="302"/>
    </row>
    <row r="36" spans="1:33" ht="15" customHeight="1" x14ac:dyDescent="0.25">
      <c r="B36" s="302"/>
      <c r="C36" s="302"/>
      <c r="D36" s="302"/>
      <c r="E36" s="302"/>
      <c r="F36" s="302"/>
      <c r="G36" s="302"/>
      <c r="H36" s="302"/>
    </row>
    <row r="37" spans="1:33" ht="15" customHeight="1" x14ac:dyDescent="0.25">
      <c r="B37" s="302"/>
      <c r="C37" s="302"/>
      <c r="D37" s="302"/>
      <c r="E37" s="302"/>
      <c r="F37" s="302"/>
      <c r="G37" s="302"/>
      <c r="H37" s="302"/>
    </row>
    <row r="38" spans="1:33" ht="14.25" customHeight="1" x14ac:dyDescent="0.25">
      <c r="B38" s="302"/>
      <c r="C38" s="302"/>
      <c r="D38" s="302"/>
      <c r="E38" s="302"/>
      <c r="F38" s="302"/>
      <c r="G38" s="302"/>
      <c r="H38" s="302"/>
    </row>
    <row r="39" spans="1:33" ht="14.25" customHeight="1" x14ac:dyDescent="0.25">
      <c r="B39" s="302"/>
      <c r="C39" s="302"/>
      <c r="D39" s="302"/>
      <c r="E39" s="302"/>
      <c r="F39" s="302"/>
      <c r="G39" s="302"/>
      <c r="H39" s="302"/>
    </row>
    <row r="40" spans="1:33" s="298" customFormat="1" ht="14.25" customHeight="1" x14ac:dyDescent="0.25">
      <c r="B40" s="302"/>
      <c r="C40" s="302"/>
      <c r="D40" s="302"/>
      <c r="E40" s="302"/>
      <c r="F40" s="302"/>
      <c r="G40" s="302"/>
      <c r="H40" s="302"/>
    </row>
    <row r="41" spans="1:33" s="298" customFormat="1" ht="14.25" customHeight="1" x14ac:dyDescent="0.25">
      <c r="B41" s="302"/>
      <c r="C41" s="302"/>
      <c r="D41" s="302"/>
      <c r="E41" s="302"/>
      <c r="F41" s="302"/>
      <c r="G41" s="302"/>
      <c r="H41" s="302"/>
    </row>
    <row r="43" spans="1:33" ht="15" x14ac:dyDescent="0.25">
      <c r="A43" s="280" t="s">
        <v>36</v>
      </c>
      <c r="B43" s="278" t="s">
        <v>145</v>
      </c>
      <c r="C43" s="299"/>
    </row>
    <row r="44" spans="1:33" ht="15.75" thickBot="1" x14ac:dyDescent="0.3">
      <c r="B44" s="300" t="s">
        <v>25</v>
      </c>
      <c r="C44" s="303"/>
      <c r="D44" s="287"/>
      <c r="E44" s="287"/>
      <c r="F44" s="304"/>
      <c r="G44" s="305"/>
      <c r="H44" s="305"/>
      <c r="I44" s="305"/>
      <c r="J44" s="305"/>
      <c r="K44" s="305"/>
      <c r="N44" s="299" t="s">
        <v>29</v>
      </c>
    </row>
    <row r="45" spans="1:33" s="306" customFormat="1" ht="80.25" customHeight="1" thickBot="1" x14ac:dyDescent="0.3">
      <c r="B45" s="307" t="s">
        <v>39</v>
      </c>
      <c r="C45" s="308" t="s">
        <v>143</v>
      </c>
      <c r="D45" s="309" t="s">
        <v>83</v>
      </c>
      <c r="E45" s="310" t="s">
        <v>84</v>
      </c>
      <c r="F45" s="311" t="s">
        <v>130</v>
      </c>
      <c r="G45" s="312" t="s">
        <v>49</v>
      </c>
      <c r="H45" s="312" t="s">
        <v>23</v>
      </c>
      <c r="I45" s="312" t="s">
        <v>50</v>
      </c>
      <c r="J45" s="312" t="s">
        <v>76</v>
      </c>
      <c r="K45" s="313" t="s">
        <v>78</v>
      </c>
      <c r="N45" s="314"/>
      <c r="O45" s="462">
        <v>2016</v>
      </c>
      <c r="P45" s="462"/>
      <c r="Q45" s="462"/>
      <c r="R45" s="462">
        <v>2015</v>
      </c>
      <c r="S45" s="462"/>
      <c r="T45" s="462"/>
      <c r="U45" s="462">
        <v>2014</v>
      </c>
      <c r="V45" s="462"/>
      <c r="W45" s="462"/>
    </row>
    <row r="46" spans="1:33" s="306" customFormat="1" ht="75" x14ac:dyDescent="0.25">
      <c r="B46" s="315"/>
      <c r="C46" s="316" t="s">
        <v>40</v>
      </c>
      <c r="D46" s="316" t="s">
        <v>38</v>
      </c>
      <c r="E46" s="317" t="s">
        <v>53</v>
      </c>
      <c r="F46" s="317" t="s">
        <v>54</v>
      </c>
      <c r="G46" s="317" t="s">
        <v>55</v>
      </c>
      <c r="H46" s="318" t="s">
        <v>56</v>
      </c>
      <c r="I46" s="317" t="s">
        <v>57</v>
      </c>
      <c r="J46" s="318" t="s">
        <v>58</v>
      </c>
      <c r="K46" s="319" t="s">
        <v>59</v>
      </c>
      <c r="N46" s="320" t="s">
        <v>30</v>
      </c>
      <c r="O46" s="321" t="s">
        <v>26</v>
      </c>
      <c r="P46" s="321" t="s">
        <v>27</v>
      </c>
      <c r="Q46" s="321" t="s">
        <v>28</v>
      </c>
      <c r="R46" s="321" t="s">
        <v>26</v>
      </c>
      <c r="S46" s="321" t="s">
        <v>27</v>
      </c>
      <c r="T46" s="321" t="s">
        <v>28</v>
      </c>
      <c r="U46" s="321" t="s">
        <v>26</v>
      </c>
      <c r="V46" s="321" t="s">
        <v>27</v>
      </c>
      <c r="W46" s="321" t="s">
        <v>28</v>
      </c>
      <c r="X46" s="306" t="s">
        <v>182</v>
      </c>
      <c r="Y46" s="306" t="s">
        <v>173</v>
      </c>
      <c r="Z46" s="306" t="s">
        <v>183</v>
      </c>
      <c r="AB46" s="306" t="s">
        <v>184</v>
      </c>
      <c r="AC46" s="306" t="s">
        <v>185</v>
      </c>
      <c r="AD46" s="306" t="s">
        <v>174</v>
      </c>
      <c r="AE46" s="306" t="s">
        <v>215</v>
      </c>
      <c r="AF46" s="306" t="s">
        <v>176</v>
      </c>
      <c r="AG46" s="306" t="s">
        <v>181</v>
      </c>
    </row>
    <row r="47" spans="1:33" x14ac:dyDescent="0.2">
      <c r="B47" s="322" t="s">
        <v>10</v>
      </c>
      <c r="C47" s="323">
        <f>(2703+28533+332+259184+33+11036+33235)+(15465+29294+80743+3722+165573+4207+1432+11566+40980+18276)+819+769+312+(436961+21717+90463+11421+96362+154432+95733+83136)+13226+(1516150+155274+270230+167461)+1694759+1451473+107605+1152</f>
        <v>7075769</v>
      </c>
      <c r="D47" s="323">
        <f>(2575+128+27182+1351+316+16+246913+12271+10513+523+31661+1574)+(14733+732+27907+1387+76920+3823+3546+176+157734+7839+4008+199+1364+68+11018+548+39039+1941+17411+865)+819+(734+34)+312+(436961+21717+86180+4283+10880+541+65400+3250+26400+1312+147120+7312+91200+4533+79200+3936)+13226+(1516150+155274+270230+167461)+1694759+1451473+107605+1152</f>
        <v>7075735</v>
      </c>
      <c r="E47" s="324">
        <f>+C48</f>
        <v>7942350</v>
      </c>
      <c r="F47" s="325">
        <f>C47-D47+E47</f>
        <v>7942384</v>
      </c>
      <c r="G47" s="326">
        <f>+U47</f>
        <v>3.6260000000000001E-2</v>
      </c>
      <c r="H47" s="327">
        <f>F47*G47</f>
        <v>287990.84383999999</v>
      </c>
      <c r="I47" s="326">
        <f>+W47</f>
        <v>1.261E-2</v>
      </c>
      <c r="J47" s="328">
        <f>F47*I47</f>
        <v>100153.46223999999</v>
      </c>
      <c r="K47" s="329">
        <f>J47-H47</f>
        <v>-187837.38159999999</v>
      </c>
      <c r="N47" s="314" t="s">
        <v>10</v>
      </c>
      <c r="O47" s="330">
        <v>8.4229999999999999E-2</v>
      </c>
      <c r="P47" s="330">
        <v>9.214E-2</v>
      </c>
      <c r="Q47" s="330">
        <v>9.1789999999999997E-2</v>
      </c>
      <c r="R47" s="330">
        <v>5.5490000000000005E-2</v>
      </c>
      <c r="S47" s="330">
        <v>6.1609999999999998E-2</v>
      </c>
      <c r="T47" s="330">
        <v>5.0680000000000003E-2</v>
      </c>
      <c r="U47" s="330">
        <v>3.6260000000000001E-2</v>
      </c>
      <c r="V47" s="330">
        <v>1.806E-2</v>
      </c>
      <c r="W47" s="330">
        <v>1.261E-2</v>
      </c>
      <c r="X47" s="331">
        <f>56801.29/W47</f>
        <v>4504463.9175257729</v>
      </c>
      <c r="Y47" s="331">
        <v>10218869</v>
      </c>
      <c r="Z47" s="331">
        <f t="shared" ref="Z47:Z58" si="0">+X47+Y47</f>
        <v>14723332.917525772</v>
      </c>
      <c r="AA47" s="332">
        <v>0.53732000000000002</v>
      </c>
      <c r="AB47" s="331">
        <f>ROUND(+Z47*AA47,2)</f>
        <v>7911141.2400000002</v>
      </c>
      <c r="AC47" s="331">
        <f t="shared" ref="AC47:AC58" si="1">+AB47*W47</f>
        <v>99759.491036399995</v>
      </c>
      <c r="AD47" s="331">
        <f>30520.47+69239.02</f>
        <v>99759.49</v>
      </c>
      <c r="AE47" s="331">
        <f>+AC47-AD47</f>
        <v>1.0363999899709597E-3</v>
      </c>
      <c r="AF47" s="331">
        <f t="shared" ref="AF47:AF58" si="2">+AB47-F47</f>
        <v>-31242.759999999776</v>
      </c>
      <c r="AG47" s="280">
        <f t="shared" ref="AG47:AG58" si="3">ROUND(+AF47*W47,2)</f>
        <v>-393.97</v>
      </c>
    </row>
    <row r="48" spans="1:33" x14ac:dyDescent="0.2">
      <c r="B48" s="322" t="s">
        <v>11</v>
      </c>
      <c r="C48" s="323">
        <f>(3235+27700+320+259524+10700+32609)+(14406+34481+81181+3700+179773+3844+502+14570+47931+20706)+1174+573+312+(523933+26040+38734+13436+98000+162620+100645+94053)+13195+(1839604+305312+192533)+1837978+1830174+127700+1152</f>
        <v>7942350</v>
      </c>
      <c r="D48" s="323">
        <f>+C48</f>
        <v>7942350</v>
      </c>
      <c r="E48" s="324">
        <f t="shared" ref="E48:E57" si="4">+C49</f>
        <v>7073624</v>
      </c>
      <c r="F48" s="325">
        <f>C48-D48+E48</f>
        <v>7073624</v>
      </c>
      <c r="G48" s="326">
        <f t="shared" ref="G48:G58" si="5">+U48</f>
        <v>2.231E-2</v>
      </c>
      <c r="H48" s="327">
        <f t="shared" ref="H48:H57" si="6">F48*G48</f>
        <v>157812.55144000001</v>
      </c>
      <c r="I48" s="326">
        <f t="shared" ref="I48:I58" si="7">+W48</f>
        <v>1.3300000000000001E-2</v>
      </c>
      <c r="J48" s="328">
        <f t="shared" ref="J48:J58" si="8">F48*I48</f>
        <v>94079.199200000003</v>
      </c>
      <c r="K48" s="329">
        <f t="shared" ref="K48:K58" si="9">J48-H48</f>
        <v>-63733.352240000007</v>
      </c>
      <c r="N48" s="314" t="s">
        <v>11</v>
      </c>
      <c r="O48" s="333">
        <v>0.10384</v>
      </c>
      <c r="P48" s="333">
        <v>9.6780000000000005E-2</v>
      </c>
      <c r="Q48" s="333">
        <v>9.851E-2</v>
      </c>
      <c r="R48" s="333">
        <v>6.9809999999999997E-2</v>
      </c>
      <c r="S48" s="333">
        <v>4.095E-2</v>
      </c>
      <c r="T48" s="333">
        <v>3.9609999999999999E-2</v>
      </c>
      <c r="U48" s="333">
        <v>2.231E-2</v>
      </c>
      <c r="V48" s="333">
        <v>1.1180000000000001E-2</v>
      </c>
      <c r="W48" s="333">
        <v>1.3300000000000001E-2</v>
      </c>
      <c r="X48" s="331">
        <f>53657.2/W48</f>
        <v>4034375.9398496235</v>
      </c>
      <c r="Y48" s="331">
        <v>8951228.4600000009</v>
      </c>
      <c r="Z48" s="331">
        <f t="shared" si="0"/>
        <v>12985604.399849623</v>
      </c>
      <c r="AA48" s="332">
        <v>0.54339000000000004</v>
      </c>
      <c r="AB48" s="331">
        <f t="shared" ref="AB48:AB58" si="10">ROUND(+Z48*AA48,2)</f>
        <v>7056247.5700000003</v>
      </c>
      <c r="AC48" s="331">
        <f t="shared" si="1"/>
        <v>93848.092681000009</v>
      </c>
      <c r="AD48" s="331">
        <f>29156.79+64691.31</f>
        <v>93848.1</v>
      </c>
      <c r="AE48" s="331">
        <f t="shared" ref="AE48:AE57" si="11">+AC48-AD48</f>
        <v>-7.3189999966416508E-3</v>
      </c>
      <c r="AF48" s="331">
        <f t="shared" si="2"/>
        <v>-17376.429999999702</v>
      </c>
      <c r="AG48" s="280">
        <f t="shared" si="3"/>
        <v>-231.11</v>
      </c>
    </row>
    <row r="49" spans="1:33" x14ac:dyDescent="0.2">
      <c r="B49" s="322" t="s">
        <v>12</v>
      </c>
      <c r="C49" s="323">
        <f>(3070+24247+266+222319+9253+26664+755)+(12939+29502+72621+37967+116790+3130+400+12701+42434+19105)+1538+570+312+(473088+23513+36530+12344+93508+145740+80869+80197)+12281+(1681152+258858+180334)+1615000+1627246+115341+1040</f>
        <v>7073624</v>
      </c>
      <c r="D49" s="323">
        <f t="shared" ref="D49:D57" si="12">+C49</f>
        <v>7073624</v>
      </c>
      <c r="E49" s="324">
        <f t="shared" si="4"/>
        <v>7556351</v>
      </c>
      <c r="F49" s="325">
        <f t="shared" ref="F49:F57" si="13">C49-D49+E49</f>
        <v>7556351</v>
      </c>
      <c r="G49" s="326">
        <f t="shared" si="5"/>
        <v>1.103E-2</v>
      </c>
      <c r="H49" s="327">
        <f t="shared" si="6"/>
        <v>83346.551529999997</v>
      </c>
      <c r="I49" s="326">
        <f t="shared" si="7"/>
        <v>-2.7E-4</v>
      </c>
      <c r="J49" s="328">
        <f t="shared" si="8"/>
        <v>-2040.21477</v>
      </c>
      <c r="K49" s="329">
        <f t="shared" si="9"/>
        <v>-85386.766300000003</v>
      </c>
      <c r="N49" s="314" t="s">
        <v>12</v>
      </c>
      <c r="O49" s="333">
        <v>9.0219999999999995E-2</v>
      </c>
      <c r="P49" s="333">
        <v>0.10299</v>
      </c>
      <c r="Q49" s="333">
        <v>0.1061</v>
      </c>
      <c r="R49" s="333">
        <v>3.6040000000000003E-2</v>
      </c>
      <c r="S49" s="333">
        <v>5.74E-2</v>
      </c>
      <c r="T49" s="333">
        <v>6.2899999999999998E-2</v>
      </c>
      <c r="U49" s="333">
        <v>1.103E-2</v>
      </c>
      <c r="V49" s="333">
        <v>-8.0000000000000002E-3</v>
      </c>
      <c r="W49" s="333">
        <v>-2.7E-4</v>
      </c>
      <c r="X49" s="331">
        <f>-1173.07/W49</f>
        <v>4344703.7037037034</v>
      </c>
      <c r="Y49" s="331">
        <v>9326518.0099999998</v>
      </c>
      <c r="Z49" s="331">
        <f t="shared" si="0"/>
        <v>13671221.713703703</v>
      </c>
      <c r="AA49" s="332">
        <v>0.55152000000000001</v>
      </c>
      <c r="AB49" s="331">
        <f t="shared" si="10"/>
        <v>7539952.2000000002</v>
      </c>
      <c r="AC49" s="331">
        <f t="shared" si="1"/>
        <v>-2035.787094</v>
      </c>
      <c r="AD49" s="331">
        <f>-646.97-1388.82</f>
        <v>-2035.79</v>
      </c>
      <c r="AE49" s="331">
        <f t="shared" si="11"/>
        <v>2.9059999999390129E-3</v>
      </c>
      <c r="AF49" s="331">
        <f t="shared" si="2"/>
        <v>-16398.799999999814</v>
      </c>
      <c r="AG49" s="280">
        <f t="shared" si="3"/>
        <v>4.43</v>
      </c>
    </row>
    <row r="50" spans="1:33" x14ac:dyDescent="0.2">
      <c r="B50" s="322" t="s">
        <v>13</v>
      </c>
      <c r="C50" s="323">
        <f>(2321+19167+266+226405+9320+26733+781)+(13177+29690+75948+62871+85526+3406+408+13688+42761+20524)+1703+594+312+(511598+25426+34325+12344+100897+79483+147000+81457)+13919+(1814058+275854+199924)+1754722+1740891+127700+1152</f>
        <v>7556351</v>
      </c>
      <c r="D50" s="323">
        <f t="shared" si="12"/>
        <v>7556351</v>
      </c>
      <c r="E50" s="324">
        <f t="shared" si="4"/>
        <v>6749216</v>
      </c>
      <c r="F50" s="325">
        <f t="shared" si="13"/>
        <v>6749216</v>
      </c>
      <c r="G50" s="326">
        <f t="shared" si="5"/>
        <v>-9.6500000000000006E-3</v>
      </c>
      <c r="H50" s="327">
        <f t="shared" si="6"/>
        <v>-65129.934400000006</v>
      </c>
      <c r="I50" s="326">
        <f t="shared" si="7"/>
        <v>5.1979999999999998E-2</v>
      </c>
      <c r="J50" s="328">
        <f t="shared" si="8"/>
        <v>350824.24767999997</v>
      </c>
      <c r="K50" s="329">
        <f t="shared" si="9"/>
        <v>415954.18208</v>
      </c>
      <c r="N50" s="314" t="s">
        <v>13</v>
      </c>
      <c r="O50" s="333">
        <v>0.12114999999999999</v>
      </c>
      <c r="P50" s="333">
        <v>0.11176999999999999</v>
      </c>
      <c r="Q50" s="333">
        <v>0.11132</v>
      </c>
      <c r="R50" s="333">
        <v>6.7049999999999998E-2</v>
      </c>
      <c r="S50" s="333">
        <v>9.2679999999999998E-2</v>
      </c>
      <c r="T50" s="333">
        <v>9.5590000000000008E-2</v>
      </c>
      <c r="U50" s="333">
        <v>-9.6500000000000006E-3</v>
      </c>
      <c r="V50" s="333">
        <v>5.4530000000000002E-2</v>
      </c>
      <c r="W50" s="333">
        <v>5.1979999999999998E-2</v>
      </c>
      <c r="X50" s="331">
        <f>192951.39/W50</f>
        <v>3712031.3582146983</v>
      </c>
      <c r="Y50" s="331">
        <v>7937919.5300000003</v>
      </c>
      <c r="Z50" s="331">
        <f t="shared" si="0"/>
        <v>11649950.888214698</v>
      </c>
      <c r="AA50" s="332">
        <v>0.57601000000000002</v>
      </c>
      <c r="AB50" s="331">
        <f t="shared" si="10"/>
        <v>6710488.21</v>
      </c>
      <c r="AC50" s="331">
        <f t="shared" si="1"/>
        <v>348811.17715579999</v>
      </c>
      <c r="AD50" s="331">
        <f>111141.93+237669.25</f>
        <v>348811.18</v>
      </c>
      <c r="AE50" s="331">
        <f t="shared" si="11"/>
        <v>-2.8442000038921833E-3</v>
      </c>
      <c r="AF50" s="331">
        <f t="shared" si="2"/>
        <v>-38727.790000000037</v>
      </c>
      <c r="AG50" s="280">
        <f t="shared" si="3"/>
        <v>-2013.07</v>
      </c>
    </row>
    <row r="51" spans="1:33" x14ac:dyDescent="0.2">
      <c r="B51" s="322" t="s">
        <v>14</v>
      </c>
      <c r="C51" s="323">
        <f>(2697+12343+230+201577+7904+16451+775)+(13182+20768+71273+63655+71114+3233+307+11862+28445+16761)+549+589+312+(468037+23261+25508+12764+88343+55550+104424+55844)+13100+(1585517+257598+198212)+1663776+1556105+96035+1115</f>
        <v>6749216</v>
      </c>
      <c r="D51" s="323">
        <f t="shared" si="12"/>
        <v>6749216</v>
      </c>
      <c r="E51" s="324">
        <f t="shared" si="4"/>
        <v>6720625</v>
      </c>
      <c r="F51" s="325">
        <f t="shared" si="13"/>
        <v>6720625</v>
      </c>
      <c r="G51" s="326">
        <f t="shared" si="5"/>
        <v>5.3560000000000003E-2</v>
      </c>
      <c r="H51" s="327">
        <f t="shared" si="6"/>
        <v>359956.67500000005</v>
      </c>
      <c r="I51" s="326">
        <f t="shared" si="7"/>
        <v>7.1959999999999996E-2</v>
      </c>
      <c r="J51" s="328">
        <f t="shared" si="8"/>
        <v>483616.17499999999</v>
      </c>
      <c r="K51" s="329">
        <f t="shared" si="9"/>
        <v>123659.49999999994</v>
      </c>
      <c r="N51" s="314" t="s">
        <v>14</v>
      </c>
      <c r="O51" s="333">
        <v>0.10405</v>
      </c>
      <c r="P51" s="333">
        <v>0.11493</v>
      </c>
      <c r="Q51" s="333">
        <v>0.10749</v>
      </c>
      <c r="R51" s="333">
        <v>9.4159999999999994E-2</v>
      </c>
      <c r="S51" s="333">
        <v>9.7299999999999998E-2</v>
      </c>
      <c r="T51" s="333">
        <v>9.6680000000000002E-2</v>
      </c>
      <c r="U51" s="333">
        <v>5.3560000000000003E-2</v>
      </c>
      <c r="V51" s="333">
        <v>7.3520000000000002E-2</v>
      </c>
      <c r="W51" s="333">
        <v>7.1959999999999996E-2</v>
      </c>
      <c r="X51" s="331">
        <f>272968.92/W51</f>
        <v>3793342.4124513618</v>
      </c>
      <c r="Y51" s="331">
        <v>7463855.0599999996</v>
      </c>
      <c r="Z51" s="331">
        <f t="shared" si="0"/>
        <v>11257197.472451361</v>
      </c>
      <c r="AA51" s="332">
        <v>0.59174000000000004</v>
      </c>
      <c r="AB51" s="331">
        <f t="shared" si="10"/>
        <v>6661334.0300000003</v>
      </c>
      <c r="AC51" s="331">
        <f t="shared" si="1"/>
        <v>479349.59679879999</v>
      </c>
      <c r="AD51" s="331">
        <f>161526.63+317822.97</f>
        <v>479349.6</v>
      </c>
      <c r="AE51" s="331">
        <f t="shared" si="11"/>
        <v>-3.2011999865062535E-3</v>
      </c>
      <c r="AF51" s="331">
        <f t="shared" si="2"/>
        <v>-59290.969999999739</v>
      </c>
      <c r="AG51" s="280">
        <f t="shared" si="3"/>
        <v>-4266.58</v>
      </c>
    </row>
    <row r="52" spans="1:33" x14ac:dyDescent="0.2">
      <c r="B52" s="322" t="s">
        <v>15</v>
      </c>
      <c r="C52" s="323">
        <f>(2056+11421+210+193298+7757+13649+1123)+(10129+17517+71128+82872+69123+2847+212+12449+19872+16737)+549+754+312+(442004+21967+21729+13520+86537+45095+88679+43416+49126)+15431+(1597309+290500+186038)+1857054+1328814+98239+1152</f>
        <v>6720625</v>
      </c>
      <c r="D52" s="323">
        <f t="shared" si="12"/>
        <v>6720625</v>
      </c>
      <c r="E52" s="324">
        <f t="shared" si="4"/>
        <v>7110046</v>
      </c>
      <c r="F52" s="325">
        <f t="shared" si="13"/>
        <v>7110046</v>
      </c>
      <c r="G52" s="326">
        <f t="shared" si="5"/>
        <v>7.1900000000000006E-2</v>
      </c>
      <c r="H52" s="327">
        <f t="shared" si="6"/>
        <v>511212.30740000005</v>
      </c>
      <c r="I52" s="326">
        <f t="shared" si="7"/>
        <v>6.0249999999999998E-2</v>
      </c>
      <c r="J52" s="328">
        <f t="shared" si="8"/>
        <v>428380.27149999997</v>
      </c>
      <c r="K52" s="329">
        <f t="shared" si="9"/>
        <v>-82832.035900000075</v>
      </c>
      <c r="N52" s="314" t="s">
        <v>15</v>
      </c>
      <c r="O52" s="333">
        <v>0.11650000000000001</v>
      </c>
      <c r="P52" s="333">
        <v>9.3600000000000003E-2</v>
      </c>
      <c r="Q52" s="333">
        <v>9.5449999999999993E-2</v>
      </c>
      <c r="R52" s="333">
        <v>9.2280000000000001E-2</v>
      </c>
      <c r="S52" s="333">
        <v>9.7680000000000003E-2</v>
      </c>
      <c r="T52" s="333">
        <v>9.5400000000000013E-2</v>
      </c>
      <c r="U52" s="333">
        <v>7.1900000000000006E-2</v>
      </c>
      <c r="V52" s="333">
        <v>6.6640000000000005E-2</v>
      </c>
      <c r="W52" s="333">
        <v>6.0249999999999998E-2</v>
      </c>
      <c r="X52" s="331">
        <f>242706.64/W52</f>
        <v>4028325.975103735</v>
      </c>
      <c r="Y52" s="331">
        <v>7896826.3099999996</v>
      </c>
      <c r="Z52" s="331">
        <f t="shared" si="0"/>
        <v>11925152.285103735</v>
      </c>
      <c r="AA52" s="332">
        <v>0.59055999999999997</v>
      </c>
      <c r="AB52" s="331">
        <f t="shared" si="10"/>
        <v>7042517.9299999997</v>
      </c>
      <c r="AC52" s="331">
        <f t="shared" si="1"/>
        <v>424311.70528249996</v>
      </c>
      <c r="AD52" s="331">
        <f>143332.83+280978.87</f>
        <v>424311.69999999995</v>
      </c>
      <c r="AE52" s="331">
        <f t="shared" si="11"/>
        <v>5.2825000020675361E-3</v>
      </c>
      <c r="AF52" s="331">
        <f t="shared" si="2"/>
        <v>-67528.070000000298</v>
      </c>
      <c r="AG52" s="280">
        <f t="shared" si="3"/>
        <v>-4068.57</v>
      </c>
    </row>
    <row r="53" spans="1:33" x14ac:dyDescent="0.2">
      <c r="B53" s="322" t="s">
        <v>16</v>
      </c>
      <c r="C53" s="334">
        <f>(1733+12029+187+210070+9406+14921+1395)+(8413+16440+75576+105667+58436+2447+192+7329+15970+17847+474)+320+1957+(444748+22104+20154+13604+83892+40560+69784+46355+46607)+17005+(1572870+306299+177594)+1964632+1626843+95071+1115</f>
        <v>7110046</v>
      </c>
      <c r="D53" s="323">
        <f t="shared" si="12"/>
        <v>7110046</v>
      </c>
      <c r="E53" s="324">
        <f t="shared" si="4"/>
        <v>7027280</v>
      </c>
      <c r="F53" s="325">
        <f t="shared" si="13"/>
        <v>7027280</v>
      </c>
      <c r="G53" s="326">
        <f t="shared" si="5"/>
        <v>5.9760000000000001E-2</v>
      </c>
      <c r="H53" s="327">
        <f t="shared" si="6"/>
        <v>419950.25280000002</v>
      </c>
      <c r="I53" s="326">
        <f t="shared" si="7"/>
        <v>6.2560000000000004E-2</v>
      </c>
      <c r="J53" s="328">
        <f t="shared" si="8"/>
        <v>439626.63680000004</v>
      </c>
      <c r="K53" s="329">
        <f t="shared" si="9"/>
        <v>19676.38400000002</v>
      </c>
      <c r="N53" s="314" t="s">
        <v>16</v>
      </c>
      <c r="O53" s="333">
        <v>7.6670000000000002E-2</v>
      </c>
      <c r="P53" s="333">
        <v>8.412E-2</v>
      </c>
      <c r="Q53" s="333">
        <v>8.3059999999999995E-2</v>
      </c>
      <c r="R53" s="333">
        <v>8.8880000000000001E-2</v>
      </c>
      <c r="S53" s="333">
        <v>8.4129999999999996E-2</v>
      </c>
      <c r="T53" s="333">
        <v>7.8829999999999997E-2</v>
      </c>
      <c r="U53" s="333">
        <v>5.9760000000000001E-2</v>
      </c>
      <c r="V53" s="333">
        <v>5.7529999999999998E-2</v>
      </c>
      <c r="W53" s="333">
        <v>6.2560000000000004E-2</v>
      </c>
      <c r="X53" s="331">
        <f>252987.91/W53</f>
        <v>4043924.3925831201</v>
      </c>
      <c r="Y53" s="331">
        <v>8013230.9000000004</v>
      </c>
      <c r="Z53" s="331">
        <f t="shared" si="0"/>
        <v>12057155.292583121</v>
      </c>
      <c r="AA53" s="332">
        <v>0.58121</v>
      </c>
      <c r="AB53" s="331">
        <f t="shared" si="10"/>
        <v>7007739.2300000004</v>
      </c>
      <c r="AC53" s="331">
        <f t="shared" si="1"/>
        <v>438404.16622880008</v>
      </c>
      <c r="AD53" s="331">
        <f>147039.1+291365.06</f>
        <v>438404.16000000003</v>
      </c>
      <c r="AE53" s="331">
        <f t="shared" si="11"/>
        <v>6.2288000481203198E-3</v>
      </c>
      <c r="AF53" s="331">
        <f t="shared" si="2"/>
        <v>-19540.769999999553</v>
      </c>
      <c r="AG53" s="280">
        <f t="shared" si="3"/>
        <v>-1222.47</v>
      </c>
    </row>
    <row r="54" spans="1:33" x14ac:dyDescent="0.2">
      <c r="B54" s="322" t="s">
        <v>17</v>
      </c>
      <c r="C54" s="334">
        <f>(1439+12092+202+215014+10344+14438+1304)+(4981+10164+81249+107727+59633+2603+199+7537+16571+18117+491)+784+1957+(416411+20695+6928+6046+86789+42576+73185+48202+45347)+16911+(1497636+322466+169612)+1880330+1750643+75505+1152</f>
        <v>7027280</v>
      </c>
      <c r="D54" s="323">
        <f t="shared" si="12"/>
        <v>7027280</v>
      </c>
      <c r="E54" s="324">
        <f t="shared" si="4"/>
        <v>6611853</v>
      </c>
      <c r="F54" s="325">
        <f t="shared" si="13"/>
        <v>6611853</v>
      </c>
      <c r="G54" s="326">
        <f t="shared" si="5"/>
        <v>6.1079999999999995E-2</v>
      </c>
      <c r="H54" s="327">
        <f t="shared" si="6"/>
        <v>403851.98123999999</v>
      </c>
      <c r="I54" s="326">
        <f t="shared" si="7"/>
        <v>6.7610000000000003E-2</v>
      </c>
      <c r="J54" s="328">
        <f t="shared" si="8"/>
        <v>447027.38133</v>
      </c>
      <c r="K54" s="329">
        <f t="shared" si="9"/>
        <v>43175.40009000001</v>
      </c>
      <c r="N54" s="314" t="s">
        <v>17</v>
      </c>
      <c r="O54" s="333">
        <v>8.5690000000000002E-2</v>
      </c>
      <c r="P54" s="333">
        <v>7.0499999999999993E-2</v>
      </c>
      <c r="Q54" s="333">
        <v>7.1029999999999996E-2</v>
      </c>
      <c r="R54" s="333">
        <v>8.8050000000000003E-2</v>
      </c>
      <c r="S54" s="333">
        <v>7.3550000000000004E-2</v>
      </c>
      <c r="T54" s="333">
        <v>8.0099999999999991E-2</v>
      </c>
      <c r="U54" s="333">
        <v>6.1079999999999995E-2</v>
      </c>
      <c r="V54" s="333">
        <v>6.8970000000000004E-2</v>
      </c>
      <c r="W54" s="333">
        <v>6.7610000000000003E-2</v>
      </c>
      <c r="X54" s="331">
        <f>274761.98/W54</f>
        <v>4063925.1590001476</v>
      </c>
      <c r="Y54" s="331">
        <v>7543919.9699999997</v>
      </c>
      <c r="Z54" s="331">
        <f t="shared" si="0"/>
        <v>11607845.129000148</v>
      </c>
      <c r="AA54" s="332">
        <v>0.56881000000000004</v>
      </c>
      <c r="AB54" s="331">
        <f t="shared" si="10"/>
        <v>6602658.3899999997</v>
      </c>
      <c r="AC54" s="331">
        <f t="shared" si="1"/>
        <v>446405.7337479</v>
      </c>
      <c r="AD54" s="331">
        <f>156287.36+290118.37</f>
        <v>446405.73</v>
      </c>
      <c r="AE54" s="331">
        <f t="shared" si="11"/>
        <v>3.747900016605854E-3</v>
      </c>
      <c r="AF54" s="331">
        <f t="shared" si="2"/>
        <v>-9194.6100000003353</v>
      </c>
      <c r="AG54" s="280">
        <f t="shared" si="3"/>
        <v>-621.65</v>
      </c>
    </row>
    <row r="55" spans="1:33" x14ac:dyDescent="0.2">
      <c r="B55" s="322" t="s">
        <v>18</v>
      </c>
      <c r="C55" s="334">
        <f>(1460+11500+224+211540+9989+13301+1291)+(5249+11945+80764+106827+61890+2868+215+6906+15874+32475+479)+510+1957+(416830+20716+7243+5207+85445+40938+74319+47488+43248)+16627+(1580059+312829+158158)+1886897+1262686+74747+1152</f>
        <v>6611853</v>
      </c>
      <c r="D55" s="323">
        <f t="shared" si="12"/>
        <v>6611853</v>
      </c>
      <c r="E55" s="324">
        <f t="shared" si="4"/>
        <v>6950310</v>
      </c>
      <c r="F55" s="325">
        <f t="shared" si="13"/>
        <v>6950310</v>
      </c>
      <c r="G55" s="326">
        <f t="shared" si="5"/>
        <v>8.0489999999999992E-2</v>
      </c>
      <c r="H55" s="327">
        <f>F55*G55</f>
        <v>559430.45189999999</v>
      </c>
      <c r="I55" s="326">
        <f t="shared" si="7"/>
        <v>7.9629999999999992E-2</v>
      </c>
      <c r="J55" s="328">
        <f t="shared" si="8"/>
        <v>553453.1852999999</v>
      </c>
      <c r="K55" s="329">
        <f t="shared" si="9"/>
        <v>-5977.26660000009</v>
      </c>
      <c r="N55" s="314" t="s">
        <v>18</v>
      </c>
      <c r="O55" s="333">
        <v>7.0599999999999996E-2</v>
      </c>
      <c r="P55" s="333">
        <v>9.1480000000000006E-2</v>
      </c>
      <c r="Q55" s="333">
        <v>9.5310000000000006E-2</v>
      </c>
      <c r="R55" s="333">
        <v>8.270000000000001E-2</v>
      </c>
      <c r="S55" s="333">
        <v>7.1910000000000002E-2</v>
      </c>
      <c r="T55" s="333">
        <v>6.7030000000000006E-2</v>
      </c>
      <c r="U55" s="333">
        <v>8.0489999999999992E-2</v>
      </c>
      <c r="V55" s="333">
        <v>8.072E-2</v>
      </c>
      <c r="W55" s="333">
        <v>7.9629999999999992E-2</v>
      </c>
      <c r="X55" s="331">
        <f>313552.72/W55</f>
        <v>3937620.4947883962</v>
      </c>
      <c r="Y55" s="331">
        <v>7665600.6100000003</v>
      </c>
      <c r="Z55" s="331">
        <f t="shared" si="0"/>
        <v>11603221.104788397</v>
      </c>
      <c r="AA55" s="332">
        <v>0.59714</v>
      </c>
      <c r="AB55" s="331">
        <f t="shared" si="10"/>
        <v>6928747.4500000002</v>
      </c>
      <c r="AC55" s="331">
        <f t="shared" si="1"/>
        <v>551736.15944349999</v>
      </c>
      <c r="AD55" s="331">
        <f>187234.87+364501.29</f>
        <v>551736.15999999992</v>
      </c>
      <c r="AE55" s="331">
        <f t="shared" si="11"/>
        <v>-5.5649993009865284E-4</v>
      </c>
      <c r="AF55" s="331">
        <f t="shared" si="2"/>
        <v>-21562.549999999814</v>
      </c>
      <c r="AG55" s="280">
        <f t="shared" si="3"/>
        <v>-1717.03</v>
      </c>
    </row>
    <row r="56" spans="1:33" x14ac:dyDescent="0.2">
      <c r="B56" s="322" t="s">
        <v>19</v>
      </c>
      <c r="C56" s="334">
        <f>(1274+10511+248+191067+10449+12523)+(9279+17332+80883+95074+53486+3153+228+6426+16873+33866+508)+505+1957+(408718+20313+24878+13268+89224+38797+81247+44087+45767)+15179+(1737227+285156+182062)+1699195+1646099+72336+1115</f>
        <v>6950310</v>
      </c>
      <c r="D56" s="323">
        <f t="shared" si="12"/>
        <v>6950310</v>
      </c>
      <c r="E56" s="324">
        <f t="shared" si="4"/>
        <v>7027199</v>
      </c>
      <c r="F56" s="325">
        <f t="shared" si="13"/>
        <v>7027199</v>
      </c>
      <c r="G56" s="326">
        <f t="shared" si="5"/>
        <v>7.492E-2</v>
      </c>
      <c r="H56" s="335">
        <f t="shared" si="6"/>
        <v>526477.74907999998</v>
      </c>
      <c r="I56" s="326">
        <f t="shared" si="7"/>
        <v>0.10014000000000001</v>
      </c>
      <c r="J56" s="328">
        <f t="shared" si="8"/>
        <v>703703.70786000008</v>
      </c>
      <c r="K56" s="329">
        <f t="shared" si="9"/>
        <v>177225.9587800001</v>
      </c>
      <c r="N56" s="314" t="s">
        <v>19</v>
      </c>
      <c r="O56" s="333">
        <v>9.7199999999999995E-2</v>
      </c>
      <c r="P56" s="333">
        <v>0.1178</v>
      </c>
      <c r="Q56" s="333">
        <v>0.11226</v>
      </c>
      <c r="R56" s="333">
        <v>6.3710000000000003E-2</v>
      </c>
      <c r="S56" s="333">
        <v>7.1929999999999994E-2</v>
      </c>
      <c r="T56" s="333">
        <v>7.5439999999999993E-2</v>
      </c>
      <c r="U56" s="333">
        <v>7.492E-2</v>
      </c>
      <c r="V56" s="333">
        <v>0.10135</v>
      </c>
      <c r="W56" s="333">
        <v>0.10014000000000001</v>
      </c>
      <c r="X56" s="331">
        <f>397558.56/W56</f>
        <v>3970027.5614140201</v>
      </c>
      <c r="Y56" s="331">
        <v>7890483.96</v>
      </c>
      <c r="Z56" s="331">
        <f t="shared" si="0"/>
        <v>11860511.521414019</v>
      </c>
      <c r="AA56" s="332">
        <v>0.59201000000000004</v>
      </c>
      <c r="AB56" s="331">
        <f t="shared" si="10"/>
        <v>7021541.4299999997</v>
      </c>
      <c r="AC56" s="331">
        <f t="shared" si="1"/>
        <v>703137.15880019998</v>
      </c>
      <c r="AD56" s="331">
        <f>235358.64+467778.51</f>
        <v>703137.15</v>
      </c>
      <c r="AE56" s="331">
        <f t="shared" si="11"/>
        <v>8.8001999538391829E-3</v>
      </c>
      <c r="AF56" s="331">
        <f t="shared" si="2"/>
        <v>-5657.570000000298</v>
      </c>
      <c r="AG56" s="280">
        <f t="shared" si="3"/>
        <v>-566.54999999999995</v>
      </c>
    </row>
    <row r="57" spans="1:33" x14ac:dyDescent="0.2">
      <c r="B57" s="322" t="s">
        <v>20</v>
      </c>
      <c r="C57" s="334">
        <f>(1304+10511+294+194722+11014+12757)+(21175+80665+83668+53585+3682+293+6737+21942+32111+571)+577+1957+(427393+21241+13352+91072+46607+102913+43122+55424)+13982+(1773455+289640+179633)+1605297+1719602+105749+1152</f>
        <v>7027199</v>
      </c>
      <c r="D57" s="323">
        <f t="shared" si="12"/>
        <v>7027199</v>
      </c>
      <c r="E57" s="324">
        <f t="shared" si="4"/>
        <v>7096627</v>
      </c>
      <c r="F57" s="325">
        <f t="shared" si="13"/>
        <v>7096627</v>
      </c>
      <c r="G57" s="326">
        <f t="shared" si="5"/>
        <v>9.9010000000000001E-2</v>
      </c>
      <c r="H57" s="327">
        <f t="shared" si="6"/>
        <v>702637.03926999995</v>
      </c>
      <c r="I57" s="326">
        <f t="shared" si="7"/>
        <v>8.231999999999999E-2</v>
      </c>
      <c r="J57" s="328">
        <f t="shared" si="8"/>
        <v>584194.3346399999</v>
      </c>
      <c r="K57" s="329">
        <f t="shared" si="9"/>
        <v>-118442.70463000005</v>
      </c>
      <c r="N57" s="314" t="s">
        <v>20</v>
      </c>
      <c r="O57" s="333">
        <v>0.12271</v>
      </c>
      <c r="P57" s="333">
        <v>0.115</v>
      </c>
      <c r="Q57" s="333">
        <v>0.11108999999999999</v>
      </c>
      <c r="R57" s="333">
        <v>7.6230000000000006E-2</v>
      </c>
      <c r="S57" s="333">
        <v>0.12447999999999999</v>
      </c>
      <c r="T57" s="333">
        <v>0.11320000000000001</v>
      </c>
      <c r="U57" s="333">
        <v>9.9010000000000001E-2</v>
      </c>
      <c r="V57" s="333">
        <v>8.5040000000000004E-2</v>
      </c>
      <c r="W57" s="333">
        <v>8.231999999999999E-2</v>
      </c>
      <c r="X57" s="331">
        <f>327972.92/W57</f>
        <v>3984121.963070943</v>
      </c>
      <c r="Y57" s="331">
        <v>8602460.6500000004</v>
      </c>
      <c r="Z57" s="331">
        <f t="shared" si="0"/>
        <v>12586582.613070942</v>
      </c>
      <c r="AA57" s="332">
        <v>0.56376000000000004</v>
      </c>
      <c r="AB57" s="331">
        <f t="shared" si="10"/>
        <v>7095811.8099999996</v>
      </c>
      <c r="AC57" s="331">
        <f t="shared" si="1"/>
        <v>584127.22819919989</v>
      </c>
      <c r="AD57" s="331">
        <f>184898.01+399229.21</f>
        <v>584127.22</v>
      </c>
      <c r="AE57" s="331">
        <f t="shared" si="11"/>
        <v>8.1991999177262187E-3</v>
      </c>
      <c r="AF57" s="331">
        <f t="shared" si="2"/>
        <v>-815.19000000040978</v>
      </c>
      <c r="AG57" s="280">
        <f t="shared" si="3"/>
        <v>-67.11</v>
      </c>
    </row>
    <row r="58" spans="1:33" x14ac:dyDescent="0.2">
      <c r="B58" s="322" t="s">
        <v>21</v>
      </c>
      <c r="C58" s="336">
        <f>(1465+10889+312+214240+12535+14530)+(27529+82399+80977+57988+3430+390+9363+33613+39895+677)+1084+1957+(439156+21826+13016+91198+68902+125712+40308+70120)+13415+(1747366+262569+185229)+1475363+1844722+103337+1115</f>
        <v>7096627</v>
      </c>
      <c r="D58" s="323">
        <f>+C58</f>
        <v>7096627</v>
      </c>
      <c r="E58" s="324">
        <f>+'GA Analysis 2015'!D47</f>
        <v>6745790</v>
      </c>
      <c r="F58" s="325">
        <f>C58-D58+E58</f>
        <v>6745790</v>
      </c>
      <c r="G58" s="326">
        <f t="shared" si="5"/>
        <v>7.3180000000000009E-2</v>
      </c>
      <c r="H58" s="337">
        <f>F58*G58</f>
        <v>493656.91220000008</v>
      </c>
      <c r="I58" s="326">
        <f t="shared" si="7"/>
        <v>7.4439999999999992E-2</v>
      </c>
      <c r="J58" s="328">
        <f t="shared" si="8"/>
        <v>502156.60759999993</v>
      </c>
      <c r="K58" s="329">
        <f t="shared" si="9"/>
        <v>8499.6953999998514</v>
      </c>
      <c r="N58" s="338" t="s">
        <v>21</v>
      </c>
      <c r="O58" s="339">
        <v>0.10594000000000001</v>
      </c>
      <c r="P58" s="339">
        <v>7.8719999999999998E-2</v>
      </c>
      <c r="Q58" s="339">
        <v>8.7080000000000005E-2</v>
      </c>
      <c r="R58" s="339">
        <v>0.11462</v>
      </c>
      <c r="S58" s="339">
        <v>8.8090000000000002E-2</v>
      </c>
      <c r="T58" s="339">
        <v>9.4709999999999989E-2</v>
      </c>
      <c r="U58" s="339">
        <v>7.3180000000000009E-2</v>
      </c>
      <c r="V58" s="339">
        <v>5.7889999999999997E-2</v>
      </c>
      <c r="W58" s="339">
        <v>7.4439999999999992E-2</v>
      </c>
      <c r="X58" s="331">
        <f>299400.84/W58</f>
        <v>4022042.450295541</v>
      </c>
      <c r="Y58" s="331">
        <v>8826257.4199999999</v>
      </c>
      <c r="Z58" s="331">
        <f t="shared" si="0"/>
        <v>12848299.870295541</v>
      </c>
      <c r="AA58" s="332">
        <v>0.52517999999999998</v>
      </c>
      <c r="AB58" s="331">
        <f t="shared" si="10"/>
        <v>6747670.1299999999</v>
      </c>
      <c r="AC58" s="331">
        <f t="shared" si="1"/>
        <v>502296.56447719992</v>
      </c>
      <c r="AD58" s="331">
        <f>157239.33+345057.23</f>
        <v>502296.55999999994</v>
      </c>
      <c r="AE58" s="331">
        <f>+AC58-AD58</f>
        <v>4.4771999819204211E-3</v>
      </c>
      <c r="AF58" s="331">
        <f t="shared" si="2"/>
        <v>1880.1299999998882</v>
      </c>
      <c r="AG58" s="280">
        <f t="shared" si="3"/>
        <v>139.96</v>
      </c>
    </row>
    <row r="59" spans="1:33" ht="30.75" thickBot="1" x14ac:dyDescent="0.3">
      <c r="B59" s="340" t="s">
        <v>135</v>
      </c>
      <c r="C59" s="341">
        <f>SUM(C47:C58)</f>
        <v>84941250</v>
      </c>
      <c r="D59" s="341">
        <f>SUM(D47:D58)</f>
        <v>84941216</v>
      </c>
      <c r="E59" s="341">
        <f>SUM(E47:E58)</f>
        <v>84611271</v>
      </c>
      <c r="F59" s="341">
        <f>SUM(F47:F58)</f>
        <v>84611305</v>
      </c>
      <c r="G59" s="342"/>
      <c r="H59" s="343">
        <f>SUM(H47:H58)</f>
        <v>4441193.3813000005</v>
      </c>
      <c r="I59" s="342"/>
      <c r="J59" s="343">
        <f>SUM(J47:J58)</f>
        <v>4685174.99438</v>
      </c>
      <c r="K59" s="344">
        <f>SUM(K47:K58)</f>
        <v>243981.61307999969</v>
      </c>
      <c r="N59" s="345"/>
      <c r="O59" s="346"/>
      <c r="P59" s="346"/>
      <c r="Q59" s="346"/>
      <c r="R59" s="346"/>
      <c r="S59" s="346"/>
      <c r="T59" s="346"/>
      <c r="U59" s="346"/>
      <c r="V59" s="346"/>
      <c r="W59" s="346"/>
      <c r="X59" s="347">
        <f>SUM(X47:X58)</f>
        <v>48438905.32800106</v>
      </c>
      <c r="Y59" s="347">
        <f>SUM(Y47:Y58)</f>
        <v>100337169.88000001</v>
      </c>
      <c r="Z59" s="347">
        <f>SUM(Z47:Z58)</f>
        <v>148776075.20800105</v>
      </c>
      <c r="AB59" s="347">
        <f>SUM(AB47:AB58)</f>
        <v>84325849.620000005</v>
      </c>
      <c r="AC59" s="347">
        <f t="shared" ref="AC59:AD59" si="14">SUM(AC47:AC58)</f>
        <v>4670151.2867572997</v>
      </c>
      <c r="AD59" s="347">
        <f t="shared" si="14"/>
        <v>4670151.26</v>
      </c>
      <c r="AE59" s="347">
        <f>SUM(AE47:AE58)</f>
        <v>2.6757299993050765E-2</v>
      </c>
      <c r="AF59" s="347">
        <f>SUM(AF47:AF58)</f>
        <v>-285455.37999999989</v>
      </c>
      <c r="AG59" s="347">
        <f>SUM(AG47:AG58)</f>
        <v>-15023.720000000001</v>
      </c>
    </row>
    <row r="60" spans="1:33" x14ac:dyDescent="0.2">
      <c r="G60" s="279"/>
      <c r="H60" s="279"/>
      <c r="I60" s="279"/>
      <c r="J60" s="348"/>
      <c r="K60" s="349"/>
      <c r="N60" s="296"/>
      <c r="O60" s="350"/>
      <c r="P60" s="350"/>
      <c r="Q60" s="350"/>
      <c r="R60" s="350"/>
      <c r="S60" s="350"/>
      <c r="T60" s="350"/>
      <c r="U60" s="350"/>
      <c r="V60" s="350"/>
      <c r="W60" s="350"/>
      <c r="AB60" s="331"/>
    </row>
    <row r="61" spans="1:33" x14ac:dyDescent="0.2">
      <c r="C61" s="280">
        <f>89956917+4470861-45625522*2+37426274+1860083-17656513*2+5783+7629+1113826+55373-577793*2+10791737+536342-491593*2+900450+44752-385466*2+24494409+1217369+20935003+19385298+1199365+65619+3257-27653*2</f>
        <v>84941267</v>
      </c>
      <c r="D61" s="351">
        <f>+C61-C59</f>
        <v>17</v>
      </c>
      <c r="E61" s="280">
        <f>9204178+457448-4663285*2-33+3439293+170935-1619485*2+819+734+34+312+1072941+53325-68020*2+87120+4330-39112*2+2009254+99861+1694759+1451473+107605+3334+2237+111+166-2347*2</f>
        <v>7075738</v>
      </c>
      <c r="F61" s="280">
        <f>+E61-D47</f>
        <v>3</v>
      </c>
      <c r="N61" s="296"/>
      <c r="O61" s="350"/>
      <c r="P61" s="350"/>
      <c r="Q61" s="350"/>
      <c r="R61" s="350"/>
      <c r="S61" s="350"/>
      <c r="T61" s="350"/>
      <c r="U61" s="350"/>
      <c r="V61" s="350"/>
      <c r="W61" s="350"/>
    </row>
    <row r="62" spans="1:33" ht="15" x14ac:dyDescent="0.25">
      <c r="A62" s="280" t="s">
        <v>147</v>
      </c>
      <c r="B62" s="278" t="s">
        <v>139</v>
      </c>
      <c r="C62" s="300"/>
      <c r="K62" s="352"/>
      <c r="N62" s="296"/>
      <c r="O62" s="350"/>
      <c r="P62" s="350"/>
      <c r="Q62" s="350"/>
      <c r="R62" s="350"/>
      <c r="S62" s="350"/>
      <c r="T62" s="350"/>
      <c r="U62" s="350"/>
      <c r="V62" s="350"/>
      <c r="W62" s="350"/>
    </row>
    <row r="63" spans="1:33" ht="15" x14ac:dyDescent="0.25">
      <c r="B63" s="299"/>
      <c r="C63" s="300"/>
      <c r="K63" s="353"/>
      <c r="N63" s="296"/>
      <c r="O63" s="296"/>
      <c r="P63" s="296"/>
      <c r="Q63" s="296"/>
      <c r="R63" s="296"/>
      <c r="S63" s="296"/>
      <c r="T63" s="296"/>
      <c r="U63" s="296"/>
      <c r="V63" s="296"/>
      <c r="W63" s="296"/>
    </row>
    <row r="64" spans="1:33" ht="45" x14ac:dyDescent="0.25">
      <c r="A64" s="314"/>
      <c r="B64" s="354" t="s">
        <v>45</v>
      </c>
      <c r="C64" s="355" t="s">
        <v>67</v>
      </c>
      <c r="D64" s="355" t="s">
        <v>121</v>
      </c>
      <c r="E64" s="463" t="s">
        <v>44</v>
      </c>
      <c r="F64" s="463"/>
      <c r="G64" s="463"/>
      <c r="H64" s="463"/>
      <c r="I64" s="463"/>
      <c r="K64" s="356"/>
      <c r="O64" s="296"/>
      <c r="P64" s="296"/>
      <c r="Q64" s="296"/>
      <c r="R64" s="296"/>
      <c r="S64" s="296"/>
      <c r="T64" s="296"/>
      <c r="U64" s="296"/>
      <c r="V64" s="296"/>
      <c r="W64" s="296"/>
    </row>
    <row r="65" spans="1:23" ht="30.75" customHeight="1" x14ac:dyDescent="0.25">
      <c r="A65" s="447" t="s">
        <v>136</v>
      </c>
      <c r="B65" s="448"/>
      <c r="C65" s="449"/>
      <c r="D65" s="357">
        <f>408654.44-219157.06</f>
        <v>189497.38</v>
      </c>
      <c r="E65" s="450"/>
      <c r="F65" s="451"/>
      <c r="G65" s="451"/>
      <c r="H65" s="451"/>
      <c r="I65" s="452"/>
      <c r="K65" s="356"/>
      <c r="O65" s="296"/>
      <c r="P65" s="296"/>
      <c r="Q65" s="296"/>
      <c r="R65" s="296"/>
      <c r="S65" s="296"/>
      <c r="T65" s="296"/>
      <c r="U65" s="296"/>
      <c r="V65" s="296"/>
      <c r="W65" s="296"/>
    </row>
    <row r="66" spans="1:23" ht="28.5" customHeight="1" x14ac:dyDescent="0.2">
      <c r="A66" s="358" t="s">
        <v>51</v>
      </c>
      <c r="B66" s="359" t="s">
        <v>62</v>
      </c>
      <c r="C66" s="360" t="s">
        <v>162</v>
      </c>
      <c r="D66" s="361"/>
      <c r="E66" s="453" t="s">
        <v>172</v>
      </c>
      <c r="F66" s="453"/>
      <c r="G66" s="453"/>
      <c r="H66" s="453"/>
      <c r="I66" s="453"/>
      <c r="K66" s="356"/>
      <c r="O66" s="296"/>
      <c r="P66" s="296"/>
      <c r="Q66" s="296"/>
      <c r="R66" s="296"/>
      <c r="S66" s="296"/>
      <c r="T66" s="296"/>
      <c r="U66" s="296"/>
      <c r="V66" s="296"/>
      <c r="W66" s="296"/>
    </row>
    <row r="67" spans="1:23" ht="28.5" customHeight="1" x14ac:dyDescent="0.2">
      <c r="A67" s="358" t="s">
        <v>52</v>
      </c>
      <c r="B67" s="359" t="s">
        <v>79</v>
      </c>
      <c r="C67" s="362" t="s">
        <v>162</v>
      </c>
      <c r="D67" s="363"/>
      <c r="E67" s="453" t="s">
        <v>177</v>
      </c>
      <c r="F67" s="453"/>
      <c r="G67" s="453"/>
      <c r="H67" s="453"/>
      <c r="I67" s="453"/>
      <c r="J67" s="287"/>
      <c r="K67" s="364"/>
      <c r="L67" s="287"/>
      <c r="M67" s="287"/>
      <c r="N67" s="287"/>
      <c r="O67" s="287"/>
      <c r="P67" s="287"/>
      <c r="Q67" s="287"/>
    </row>
    <row r="68" spans="1:23" ht="28.5" customHeight="1" x14ac:dyDescent="0.2">
      <c r="A68" s="358" t="s">
        <v>65</v>
      </c>
      <c r="B68" s="359" t="s">
        <v>64</v>
      </c>
      <c r="C68" s="360" t="s">
        <v>163</v>
      </c>
      <c r="D68" s="365">
        <f>-(19595.11-19597.5-87.38-282.35+318.82-120.7+62.25+6206.55-5207.55+125333.5-115333.5+12738.72-12738.75+20556.33-20556.36+107413.56-110413.56)</f>
        <v>-7887.1900000000023</v>
      </c>
      <c r="E68" s="453" t="s">
        <v>178</v>
      </c>
      <c r="F68" s="453"/>
      <c r="G68" s="453"/>
      <c r="H68" s="453"/>
      <c r="I68" s="453"/>
      <c r="J68" s="287"/>
      <c r="K68" s="364"/>
      <c r="L68" s="287"/>
      <c r="M68" s="287"/>
      <c r="N68" s="287"/>
      <c r="O68" s="287"/>
      <c r="P68" s="287"/>
      <c r="Q68" s="287"/>
    </row>
    <row r="69" spans="1:23" ht="28.5" x14ac:dyDescent="0.2">
      <c r="A69" s="358" t="s">
        <v>66</v>
      </c>
      <c r="B69" s="359" t="s">
        <v>63</v>
      </c>
      <c r="C69" s="362" t="s">
        <v>162</v>
      </c>
      <c r="D69" s="363"/>
      <c r="E69" s="453" t="s">
        <v>169</v>
      </c>
      <c r="F69" s="453"/>
      <c r="G69" s="453"/>
      <c r="H69" s="453"/>
      <c r="I69" s="453"/>
      <c r="J69" s="287"/>
      <c r="K69" s="366"/>
      <c r="L69" s="287"/>
      <c r="M69" s="287"/>
      <c r="N69" s="287"/>
      <c r="O69" s="287"/>
      <c r="P69" s="287"/>
      <c r="Q69" s="287"/>
    </row>
    <row r="70" spans="1:23" ht="62.25" customHeight="1" x14ac:dyDescent="0.2">
      <c r="A70" s="358" t="s">
        <v>69</v>
      </c>
      <c r="B70" s="359" t="s">
        <v>71</v>
      </c>
      <c r="C70" s="360" t="s">
        <v>162</v>
      </c>
      <c r="D70" s="367">
        <f>2564.19+4199.88</f>
        <v>6764.07</v>
      </c>
      <c r="E70" s="453" t="s">
        <v>192</v>
      </c>
      <c r="F70" s="453"/>
      <c r="G70" s="453"/>
      <c r="H70" s="453"/>
      <c r="I70" s="453"/>
      <c r="J70" s="287"/>
      <c r="K70" s="366"/>
      <c r="L70" s="287"/>
      <c r="M70" s="287"/>
      <c r="N70" s="287"/>
      <c r="O70" s="287"/>
      <c r="P70" s="287"/>
      <c r="Q70" s="287"/>
    </row>
    <row r="71" spans="1:23" ht="28.5" x14ac:dyDescent="0.2">
      <c r="A71" s="358" t="s">
        <v>70</v>
      </c>
      <c r="B71" s="359" t="s">
        <v>72</v>
      </c>
      <c r="C71" s="360" t="s">
        <v>162</v>
      </c>
      <c r="D71" s="368"/>
      <c r="E71" s="454" t="s">
        <v>175</v>
      </c>
      <c r="F71" s="455"/>
      <c r="G71" s="455"/>
      <c r="H71" s="455"/>
      <c r="I71" s="456"/>
      <c r="J71" s="287"/>
      <c r="K71" s="366"/>
      <c r="L71" s="287"/>
      <c r="M71" s="287"/>
      <c r="N71" s="287"/>
      <c r="O71" s="287"/>
      <c r="P71" s="287"/>
      <c r="Q71" s="287"/>
    </row>
    <row r="72" spans="1:23" ht="33.75" customHeight="1" x14ac:dyDescent="0.2">
      <c r="A72" s="358">
        <v>4</v>
      </c>
      <c r="B72" s="359" t="s">
        <v>68</v>
      </c>
      <c r="C72" s="360" t="s">
        <v>162</v>
      </c>
      <c r="D72" s="361"/>
      <c r="E72" s="453" t="s">
        <v>165</v>
      </c>
      <c r="F72" s="453"/>
      <c r="G72" s="453"/>
      <c r="H72" s="453"/>
      <c r="I72" s="453"/>
      <c r="J72" s="287"/>
      <c r="K72" s="366"/>
      <c r="L72" s="287"/>
      <c r="M72" s="287"/>
      <c r="N72" s="287"/>
      <c r="O72" s="287"/>
      <c r="P72" s="287"/>
      <c r="Q72" s="287"/>
    </row>
    <row r="73" spans="1:23" ht="42.75" x14ac:dyDescent="0.2">
      <c r="A73" s="358">
        <v>5</v>
      </c>
      <c r="B73" s="359" t="s">
        <v>81</v>
      </c>
      <c r="C73" s="360" t="s">
        <v>162</v>
      </c>
      <c r="D73" s="361"/>
      <c r="E73" s="453" t="s">
        <v>211</v>
      </c>
      <c r="F73" s="453"/>
      <c r="G73" s="453"/>
      <c r="H73" s="453"/>
      <c r="I73" s="453"/>
      <c r="J73" s="287"/>
      <c r="K73" s="366"/>
      <c r="L73" s="287"/>
      <c r="M73" s="287"/>
      <c r="N73" s="287"/>
      <c r="O73" s="287"/>
      <c r="P73" s="287"/>
      <c r="Q73" s="287"/>
    </row>
    <row r="74" spans="1:23" ht="28.5" x14ac:dyDescent="0.2">
      <c r="A74" s="369">
        <v>6</v>
      </c>
      <c r="B74" s="370" t="s">
        <v>140</v>
      </c>
      <c r="C74" s="360" t="s">
        <v>162</v>
      </c>
      <c r="D74" s="368"/>
      <c r="E74" s="453" t="s">
        <v>80</v>
      </c>
      <c r="F74" s="453"/>
      <c r="G74" s="453"/>
      <c r="H74" s="453"/>
      <c r="I74" s="453"/>
      <c r="K74" s="296"/>
    </row>
    <row r="75" spans="1:23" ht="33" customHeight="1" x14ac:dyDescent="0.2">
      <c r="A75" s="369">
        <v>7</v>
      </c>
      <c r="B75" s="371" t="s">
        <v>180</v>
      </c>
      <c r="C75" s="334"/>
      <c r="D75" s="367">
        <f>13556.88+26857.28</f>
        <v>40414.159999999996</v>
      </c>
      <c r="E75" s="453" t="s">
        <v>168</v>
      </c>
      <c r="F75" s="453"/>
      <c r="G75" s="453"/>
      <c r="H75" s="453"/>
      <c r="I75" s="453"/>
    </row>
    <row r="76" spans="1:23" ht="46.5" customHeight="1" x14ac:dyDescent="0.2">
      <c r="A76" s="369">
        <f>+A75+1</f>
        <v>8</v>
      </c>
      <c r="B76" s="372" t="s">
        <v>198</v>
      </c>
      <c r="C76" s="360" t="s">
        <v>163</v>
      </c>
      <c r="D76" s="367">
        <f>-AG59</f>
        <v>15023.720000000001</v>
      </c>
      <c r="E76" s="453" t="s">
        <v>179</v>
      </c>
      <c r="F76" s="453"/>
      <c r="G76" s="453"/>
      <c r="H76" s="453"/>
      <c r="I76" s="453"/>
    </row>
    <row r="77" spans="1:23" ht="57" customHeight="1" x14ac:dyDescent="0.2">
      <c r="A77" s="369">
        <f t="shared" ref="A77:A83" si="15">+A76+1</f>
        <v>9</v>
      </c>
      <c r="B77" s="372" t="s">
        <v>200</v>
      </c>
      <c r="C77" s="360" t="s">
        <v>163</v>
      </c>
      <c r="D77" s="373">
        <v>-1.33</v>
      </c>
      <c r="E77" s="453" t="s">
        <v>204</v>
      </c>
      <c r="F77" s="453"/>
      <c r="G77" s="453"/>
      <c r="H77" s="453"/>
      <c r="I77" s="453"/>
    </row>
    <row r="78" spans="1:23" ht="57" customHeight="1" x14ac:dyDescent="0.2">
      <c r="A78" s="369">
        <f t="shared" si="15"/>
        <v>10</v>
      </c>
      <c r="B78" s="372" t="s">
        <v>197</v>
      </c>
      <c r="C78" s="360" t="s">
        <v>163</v>
      </c>
      <c r="D78" s="373">
        <v>-3.03</v>
      </c>
      <c r="E78" s="453" t="s">
        <v>226</v>
      </c>
      <c r="F78" s="453"/>
      <c r="G78" s="453"/>
      <c r="H78" s="453"/>
      <c r="I78" s="453"/>
    </row>
    <row r="79" spans="1:23" ht="72.75" customHeight="1" x14ac:dyDescent="0.2">
      <c r="A79" s="369">
        <f t="shared" si="15"/>
        <v>11</v>
      </c>
      <c r="B79" s="372" t="s">
        <v>199</v>
      </c>
      <c r="C79" s="360" t="s">
        <v>163</v>
      </c>
      <c r="D79" s="374">
        <f>+ROUND(-34010.28*0.01103+587.63,2)</f>
        <v>212.5</v>
      </c>
      <c r="E79" s="454" t="s">
        <v>205</v>
      </c>
      <c r="F79" s="455"/>
      <c r="G79" s="455"/>
      <c r="H79" s="455"/>
      <c r="I79" s="456"/>
    </row>
    <row r="80" spans="1:23" ht="72.75" customHeight="1" x14ac:dyDescent="0.2">
      <c r="A80" s="369">
        <f t="shared" si="15"/>
        <v>12</v>
      </c>
      <c r="B80" s="372" t="s">
        <v>197</v>
      </c>
      <c r="C80" s="360" t="s">
        <v>163</v>
      </c>
      <c r="D80" s="373">
        <f>+ROUND((-4.82-0.24+59.65+2.96)-(661.31+1156.77)*0.05356,2)</f>
        <v>-39.83</v>
      </c>
      <c r="E80" s="453" t="s">
        <v>206</v>
      </c>
      <c r="F80" s="453"/>
      <c r="G80" s="453"/>
      <c r="H80" s="453"/>
      <c r="I80" s="453"/>
    </row>
    <row r="81" spans="1:19" ht="72.75" customHeight="1" x14ac:dyDescent="0.2">
      <c r="A81" s="369">
        <f>+A80+1</f>
        <v>13</v>
      </c>
      <c r="B81" s="372" t="s">
        <v>197</v>
      </c>
      <c r="C81" s="360" t="s">
        <v>163</v>
      </c>
      <c r="D81" s="373">
        <f>-2.03-6.71-3.65</f>
        <v>-12.39</v>
      </c>
      <c r="E81" s="453" t="s">
        <v>188</v>
      </c>
      <c r="F81" s="453"/>
      <c r="G81" s="453"/>
      <c r="H81" s="453"/>
      <c r="I81" s="453"/>
    </row>
    <row r="82" spans="1:19" ht="69.75" customHeight="1" x14ac:dyDescent="0.2">
      <c r="A82" s="369">
        <f t="shared" si="15"/>
        <v>14</v>
      </c>
      <c r="B82" s="372" t="s">
        <v>197</v>
      </c>
      <c r="C82" s="360" t="s">
        <v>163</v>
      </c>
      <c r="D82" s="373">
        <v>-2.4500000000000002</v>
      </c>
      <c r="E82" s="453" t="s">
        <v>207</v>
      </c>
      <c r="F82" s="453"/>
      <c r="G82" s="453"/>
      <c r="H82" s="453"/>
      <c r="I82" s="453"/>
    </row>
    <row r="83" spans="1:19" ht="71.25" customHeight="1" x14ac:dyDescent="0.2">
      <c r="A83" s="369">
        <f t="shared" si="15"/>
        <v>15</v>
      </c>
      <c r="B83" s="372" t="s">
        <v>201</v>
      </c>
      <c r="C83" s="360" t="s">
        <v>163</v>
      </c>
      <c r="D83" s="373">
        <f>(5.17+1.3)+2.93</f>
        <v>9.4</v>
      </c>
      <c r="E83" s="453" t="s">
        <v>208</v>
      </c>
      <c r="F83" s="453"/>
      <c r="G83" s="453"/>
      <c r="H83" s="453"/>
      <c r="I83" s="453"/>
    </row>
    <row r="84" spans="1:19" ht="15" x14ac:dyDescent="0.25">
      <c r="A84" s="280" t="s">
        <v>154</v>
      </c>
      <c r="B84" s="300" t="s">
        <v>133</v>
      </c>
      <c r="C84" s="300"/>
      <c r="D84" s="375">
        <f>SUM(D65:D83)</f>
        <v>243975.01</v>
      </c>
      <c r="E84" s="376"/>
      <c r="F84" s="376"/>
      <c r="G84" s="376"/>
      <c r="H84" s="376"/>
    </row>
    <row r="85" spans="1:19" ht="15" x14ac:dyDescent="0.25">
      <c r="B85" s="377" t="s">
        <v>134</v>
      </c>
      <c r="C85" s="378"/>
      <c r="D85" s="375">
        <f>K59</f>
        <v>243981.61307999969</v>
      </c>
      <c r="E85" s="376"/>
      <c r="F85" s="376"/>
      <c r="G85" s="376"/>
      <c r="H85" s="376"/>
    </row>
    <row r="86" spans="1:19" ht="15" x14ac:dyDescent="0.25">
      <c r="B86" s="378" t="s">
        <v>24</v>
      </c>
      <c r="C86" s="378"/>
      <c r="D86" s="379">
        <f>D84-D85</f>
        <v>-6.6030799996806309</v>
      </c>
      <c r="E86" s="376"/>
      <c r="F86" s="376"/>
      <c r="G86" s="376"/>
      <c r="H86" s="376"/>
    </row>
    <row r="87" spans="1:19" ht="15.75" thickBot="1" x14ac:dyDescent="0.3">
      <c r="B87" s="380" t="s">
        <v>73</v>
      </c>
      <c r="C87" s="381"/>
      <c r="D87" s="382">
        <f>IF(ISERROR(D86/J59),0,D86/J59)</f>
        <v>-1.409356108918282E-6</v>
      </c>
    </row>
    <row r="88" spans="1:19" ht="15.75" thickTop="1" x14ac:dyDescent="0.25">
      <c r="B88" s="300"/>
      <c r="C88" s="383"/>
      <c r="D88" s="384"/>
      <c r="E88" s="385" t="str">
        <f>IF(AND(D87&lt;0.01,D87&gt;-0.01),"","Unresolved differences of greater than + or - 1% should be explained")</f>
        <v/>
      </c>
      <c r="G88" s="287"/>
      <c r="H88" s="298"/>
      <c r="I88" s="298"/>
      <c r="J88" s="298"/>
      <c r="K88" s="298"/>
      <c r="L88" s="298"/>
    </row>
    <row r="89" spans="1:19" ht="15" x14ac:dyDescent="0.25">
      <c r="B89" s="300"/>
      <c r="C89" s="383"/>
      <c r="D89" s="386"/>
      <c r="G89" s="287"/>
    </row>
    <row r="90" spans="1:19" ht="15" x14ac:dyDescent="0.25">
      <c r="A90" s="280" t="s">
        <v>75</v>
      </c>
      <c r="B90" s="387" t="s">
        <v>141</v>
      </c>
      <c r="C90" s="388"/>
      <c r="D90" s="384"/>
    </row>
    <row r="91" spans="1:19" ht="15" x14ac:dyDescent="0.25">
      <c r="B91" s="389"/>
      <c r="C91" s="388"/>
      <c r="D91" s="384"/>
    </row>
    <row r="92" spans="1:19" ht="60" x14ac:dyDescent="0.25">
      <c r="B92" s="390" t="s">
        <v>25</v>
      </c>
      <c r="C92" s="355" t="s">
        <v>128</v>
      </c>
      <c r="D92" s="355" t="s">
        <v>137</v>
      </c>
    </row>
    <row r="93" spans="1:19" ht="75" x14ac:dyDescent="0.25">
      <c r="B93" s="391"/>
      <c r="C93" s="392"/>
      <c r="D93" s="392"/>
      <c r="E93" s="355" t="s">
        <v>142</v>
      </c>
      <c r="F93" s="393" t="s">
        <v>133</v>
      </c>
      <c r="G93" s="355" t="s">
        <v>24</v>
      </c>
      <c r="H93" s="394" t="s">
        <v>129</v>
      </c>
      <c r="I93" s="355" t="s">
        <v>73</v>
      </c>
      <c r="J93" s="287"/>
      <c r="K93" s="287"/>
      <c r="L93" s="298"/>
      <c r="M93" s="298"/>
      <c r="N93" s="298"/>
      <c r="O93" s="298"/>
      <c r="P93" s="298"/>
      <c r="Q93" s="298"/>
      <c r="R93" s="298"/>
      <c r="S93" s="298"/>
    </row>
    <row r="94" spans="1:19" x14ac:dyDescent="0.2">
      <c r="B94" s="391"/>
      <c r="C94" s="392"/>
      <c r="D94" s="392"/>
      <c r="E94" s="395"/>
      <c r="F94" s="396"/>
      <c r="G94" s="397">
        <f>E94-F94</f>
        <v>0</v>
      </c>
      <c r="H94" s="395"/>
      <c r="I94" s="398">
        <f>IF(ISERROR(G94/H94),0,G94/H94)</f>
        <v>0</v>
      </c>
      <c r="J94" s="287"/>
      <c r="K94" s="287"/>
      <c r="L94" s="298"/>
      <c r="M94" s="298"/>
      <c r="N94" s="298"/>
      <c r="O94" s="298"/>
      <c r="P94" s="298"/>
      <c r="Q94" s="298"/>
      <c r="R94" s="298"/>
      <c r="S94" s="298"/>
    </row>
    <row r="95" spans="1:19" x14ac:dyDescent="0.2">
      <c r="B95" s="391"/>
      <c r="C95" s="392"/>
      <c r="D95" s="392"/>
      <c r="E95" s="395"/>
      <c r="F95" s="396"/>
      <c r="G95" s="397">
        <f t="shared" ref="G95:G97" si="16">E95-F95</f>
        <v>0</v>
      </c>
      <c r="H95" s="395"/>
      <c r="I95" s="398">
        <f>IF(ISERROR(G95/H95),0,G95/H95)</f>
        <v>0</v>
      </c>
      <c r="J95" s="287"/>
      <c r="K95" s="287"/>
      <c r="L95" s="298"/>
      <c r="M95" s="298"/>
      <c r="N95" s="298"/>
      <c r="O95" s="298"/>
      <c r="P95" s="298"/>
      <c r="Q95" s="298"/>
      <c r="R95" s="298"/>
      <c r="S95" s="298"/>
    </row>
    <row r="96" spans="1:19" ht="15" thickBot="1" x14ac:dyDescent="0.25">
      <c r="B96" s="391"/>
      <c r="C96" s="399"/>
      <c r="D96" s="399"/>
      <c r="E96" s="395"/>
      <c r="F96" s="396"/>
      <c r="G96" s="397">
        <f t="shared" si="16"/>
        <v>0</v>
      </c>
      <c r="H96" s="395"/>
      <c r="I96" s="398">
        <f>IF(ISERROR(G96/H96),0,G96/H96)</f>
        <v>0</v>
      </c>
      <c r="J96" s="287"/>
      <c r="K96" s="287"/>
      <c r="L96" s="298"/>
      <c r="M96" s="298"/>
      <c r="N96" s="298"/>
      <c r="O96" s="298"/>
      <c r="P96" s="298"/>
      <c r="Q96" s="298"/>
      <c r="R96" s="298"/>
      <c r="S96" s="298"/>
    </row>
    <row r="97" spans="2:19" ht="15.75" thickBot="1" x14ac:dyDescent="0.3">
      <c r="B97" s="400" t="s">
        <v>74</v>
      </c>
      <c r="C97" s="401">
        <f t="shared" ref="C97:H98" si="17">SUM(C93:C96)</f>
        <v>0</v>
      </c>
      <c r="D97" s="401">
        <f t="shared" si="17"/>
        <v>0</v>
      </c>
      <c r="E97" s="399"/>
      <c r="F97" s="402"/>
      <c r="G97" s="403">
        <f t="shared" si="16"/>
        <v>0</v>
      </c>
      <c r="H97" s="399"/>
      <c r="I97" s="404">
        <f>IF(ISERROR(G97/H97),0,G97/H97)</f>
        <v>0</v>
      </c>
      <c r="J97" s="287"/>
      <c r="K97" s="287"/>
      <c r="L97" s="298"/>
      <c r="M97" s="298"/>
      <c r="N97" s="298"/>
      <c r="O97" s="298"/>
      <c r="P97" s="298"/>
      <c r="Q97" s="298"/>
      <c r="R97" s="298"/>
      <c r="S97" s="298"/>
    </row>
    <row r="98" spans="2:19" ht="15.75" thickBot="1" x14ac:dyDescent="0.3">
      <c r="B98" s="279"/>
      <c r="C98" s="279"/>
      <c r="D98" s="279"/>
      <c r="E98" s="401">
        <f t="shared" si="17"/>
        <v>0</v>
      </c>
      <c r="F98" s="405">
        <f t="shared" si="17"/>
        <v>0</v>
      </c>
      <c r="G98" s="401">
        <f t="shared" si="17"/>
        <v>0</v>
      </c>
      <c r="H98" s="406">
        <f t="shared" si="17"/>
        <v>0</v>
      </c>
      <c r="I98" s="407" t="s">
        <v>80</v>
      </c>
      <c r="J98" s="287"/>
      <c r="K98" s="287"/>
      <c r="L98" s="298"/>
      <c r="M98" s="298"/>
      <c r="N98" s="298"/>
      <c r="O98" s="298"/>
      <c r="P98" s="298"/>
      <c r="Q98" s="298"/>
      <c r="R98" s="298"/>
      <c r="S98" s="298"/>
    </row>
    <row r="99" spans="2:19" x14ac:dyDescent="0.2">
      <c r="E99" s="279"/>
      <c r="F99" s="279"/>
      <c r="G99" s="279"/>
      <c r="J99" s="287"/>
      <c r="K99" s="287"/>
      <c r="L99" s="298"/>
      <c r="M99" s="298"/>
      <c r="N99" s="298"/>
      <c r="O99" s="298"/>
      <c r="P99" s="298"/>
      <c r="Q99" s="298"/>
      <c r="R99" s="298"/>
      <c r="S99" s="298"/>
    </row>
    <row r="100" spans="2:19" ht="15" x14ac:dyDescent="0.25">
      <c r="B100" s="299" t="s">
        <v>37</v>
      </c>
      <c r="J100" s="287"/>
      <c r="K100" s="287"/>
      <c r="L100" s="298"/>
      <c r="M100" s="298"/>
      <c r="N100" s="298"/>
      <c r="O100" s="298"/>
      <c r="P100" s="298"/>
      <c r="Q100" s="298"/>
      <c r="R100" s="298"/>
      <c r="S100" s="298"/>
    </row>
    <row r="101" spans="2:19" x14ac:dyDescent="0.2">
      <c r="B101" s="408"/>
      <c r="C101" s="408"/>
      <c r="D101" s="408"/>
      <c r="J101" s="287"/>
      <c r="K101" s="287"/>
    </row>
    <row r="102" spans="2:19" x14ac:dyDescent="0.2">
      <c r="B102" s="408"/>
      <c r="C102" s="408"/>
      <c r="D102" s="408"/>
      <c r="E102" s="408"/>
      <c r="F102" s="408"/>
      <c r="G102" s="408"/>
      <c r="H102" s="408"/>
      <c r="J102" s="287"/>
      <c r="K102" s="287"/>
    </row>
    <row r="103" spans="2:19" x14ac:dyDescent="0.2">
      <c r="B103" s="408"/>
      <c r="C103" s="408"/>
      <c r="D103" s="408"/>
      <c r="E103" s="408"/>
      <c r="F103" s="408"/>
      <c r="G103" s="408"/>
      <c r="H103" s="408"/>
      <c r="J103" s="287"/>
      <c r="K103" s="287"/>
    </row>
    <row r="104" spans="2:19" x14ac:dyDescent="0.2">
      <c r="B104" s="408"/>
      <c r="C104" s="408"/>
      <c r="D104" s="408"/>
      <c r="E104" s="408"/>
      <c r="F104" s="408"/>
      <c r="G104" s="408"/>
      <c r="H104" s="408"/>
    </row>
    <row r="105" spans="2:19" x14ac:dyDescent="0.2">
      <c r="B105" s="408"/>
      <c r="C105" s="408"/>
      <c r="D105" s="408"/>
      <c r="E105" s="408"/>
      <c r="F105" s="408"/>
      <c r="G105" s="408"/>
      <c r="H105" s="408"/>
    </row>
    <row r="106" spans="2:19" x14ac:dyDescent="0.2">
      <c r="B106" s="408"/>
      <c r="C106" s="408"/>
      <c r="D106" s="408"/>
      <c r="E106" s="408"/>
      <c r="F106" s="408"/>
      <c r="G106" s="408"/>
      <c r="H106" s="408"/>
    </row>
    <row r="107" spans="2:19" x14ac:dyDescent="0.2">
      <c r="B107" s="408"/>
      <c r="C107" s="408"/>
      <c r="D107" s="408"/>
      <c r="E107" s="408"/>
      <c r="F107" s="408"/>
      <c r="G107" s="408"/>
      <c r="H107" s="408"/>
    </row>
    <row r="108" spans="2:19" x14ac:dyDescent="0.2">
      <c r="B108" s="408"/>
      <c r="C108" s="408"/>
      <c r="D108" s="408"/>
      <c r="E108" s="408"/>
      <c r="F108" s="408"/>
      <c r="G108" s="408"/>
      <c r="H108" s="408"/>
    </row>
    <row r="109" spans="2:19" x14ac:dyDescent="0.2">
      <c r="E109" s="408"/>
      <c r="F109" s="408"/>
      <c r="G109" s="408"/>
      <c r="H109" s="408"/>
    </row>
  </sheetData>
  <mergeCells count="27">
    <mergeCell ref="E81:I81"/>
    <mergeCell ref="E82:I82"/>
    <mergeCell ref="E83:I83"/>
    <mergeCell ref="R45:T45"/>
    <mergeCell ref="U45:W45"/>
    <mergeCell ref="E68:I68"/>
    <mergeCell ref="E76:I76"/>
    <mergeCell ref="E79:I79"/>
    <mergeCell ref="E80:I80"/>
    <mergeCell ref="E77:I77"/>
    <mergeCell ref="E78:I78"/>
    <mergeCell ref="B21:C21"/>
    <mergeCell ref="E21:F21"/>
    <mergeCell ref="B27:H27"/>
    <mergeCell ref="O45:Q45"/>
    <mergeCell ref="E64:I64"/>
    <mergeCell ref="A65:C65"/>
    <mergeCell ref="E65:I65"/>
    <mergeCell ref="E66:I66"/>
    <mergeCell ref="E67:I67"/>
    <mergeCell ref="E75:I75"/>
    <mergeCell ref="E69:I69"/>
    <mergeCell ref="E70:I70"/>
    <mergeCell ref="E71:I71"/>
    <mergeCell ref="E72:I72"/>
    <mergeCell ref="E73:I73"/>
    <mergeCell ref="E74:I74"/>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 2016</vt:lpstr>
      <vt:lpstr>GA Analysis 2015</vt:lpstr>
      <vt:lpstr>GA Analysis 2014</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Lisa Lin</cp:lastModifiedBy>
  <cp:lastPrinted>2017-08-25T19:04:49Z</cp:lastPrinted>
  <dcterms:created xsi:type="dcterms:W3CDTF">2017-05-01T19:29:01Z</dcterms:created>
  <dcterms:modified xsi:type="dcterms:W3CDTF">2017-10-02T16:41:12Z</dcterms:modified>
</cp:coreProperties>
</file>