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filterPrivacy="1" defaultThemeVersion="124226"/>
  <bookViews>
    <workbookView xWindow="0" yWindow="0" windowWidth="23040" windowHeight="8796" firstSheet="14" activeTab="16"/>
  </bookViews>
  <sheets>
    <sheet name="Monthly Data" sheetId="2" r:id="rId1"/>
    <sheet name="Historic CDM" sheetId="25" r:id="rId2"/>
    <sheet name="Weather" sheetId="3" r:id="rId3"/>
    <sheet name="Employment" sheetId="4" r:id="rId4"/>
    <sheet name="Res OLS model" sheetId="5" r:id="rId5"/>
    <sheet name="Res Predicted Monthly" sheetId="6" r:id="rId6"/>
    <sheet name="GS &lt; 50 OLS model" sheetId="7" r:id="rId7"/>
    <sheet name="GS &lt; 50 Predicted Monthly" sheetId="8" r:id="rId8"/>
    <sheet name="GS &gt; 50 OLS model" sheetId="9" r:id="rId9"/>
    <sheet name="GS &gt; 50 Predicted Monthly" sheetId="10" r:id="rId10"/>
    <sheet name="Model Annual Summary" sheetId="13" r:id="rId11"/>
    <sheet name="Res Normalized Monthly" sheetId="14" r:id="rId12"/>
    <sheet name="GS &lt; 50 Normalized Monthly" sheetId="15" r:id="rId13"/>
    <sheet name="GS &gt; 50 Normalized Monthly" sheetId="16" r:id="rId14"/>
    <sheet name="Connection count " sheetId="18" r:id="rId15"/>
    <sheet name="Normalized Annual Summary" sheetId="19" r:id="rId16"/>
    <sheet name="kW Forecast" sheetId="20" r:id="rId17"/>
    <sheet name="CDM Adjustments" sheetId="21" r:id="rId18"/>
    <sheet name="Summary Tables" sheetId="24" r:id="rId19"/>
  </sheets>
  <calcPr calcId="171027"/>
</workbook>
</file>

<file path=xl/calcChain.xml><?xml version="1.0" encoding="utf-8"?>
<calcChain xmlns="http://schemas.openxmlformats.org/spreadsheetml/2006/main">
  <c r="H18" i="20" l="1"/>
  <c r="K11" i="18"/>
  <c r="K10" i="18"/>
  <c r="K9" i="18"/>
  <c r="K8" i="18"/>
  <c r="K7" i="18"/>
  <c r="K6" i="18"/>
  <c r="M97" i="10"/>
  <c r="L97" i="10"/>
  <c r="M96" i="10"/>
  <c r="L96" i="10"/>
  <c r="M95" i="10"/>
  <c r="L95" i="10"/>
  <c r="M94" i="10"/>
  <c r="L94" i="10"/>
  <c r="M93" i="10"/>
  <c r="L93" i="10"/>
  <c r="M92" i="10"/>
  <c r="L92" i="10"/>
  <c r="M91" i="10"/>
  <c r="L91" i="10"/>
  <c r="M90" i="10"/>
  <c r="L90" i="10"/>
  <c r="M89" i="10"/>
  <c r="L89" i="10"/>
  <c r="M88" i="10"/>
  <c r="L88" i="10"/>
  <c r="M87" i="10"/>
  <c r="L87" i="10"/>
  <c r="M86" i="10"/>
  <c r="L86" i="10"/>
  <c r="M85" i="10"/>
  <c r="L85" i="10"/>
  <c r="M84" i="10"/>
  <c r="L84" i="10"/>
  <c r="M83" i="10"/>
  <c r="L83" i="10"/>
  <c r="M82" i="10"/>
  <c r="L82" i="10"/>
  <c r="M81" i="10"/>
  <c r="L81" i="10"/>
  <c r="M80" i="10"/>
  <c r="L80" i="10"/>
  <c r="M79" i="10"/>
  <c r="L79" i="10"/>
  <c r="M78" i="10"/>
  <c r="L78" i="10"/>
  <c r="M77" i="10"/>
  <c r="L77" i="10"/>
  <c r="M76" i="10"/>
  <c r="L76" i="10"/>
  <c r="M75" i="10"/>
  <c r="L75" i="10"/>
  <c r="M74" i="10"/>
  <c r="L74" i="10"/>
  <c r="M73" i="10"/>
  <c r="L73" i="10"/>
  <c r="M72" i="10"/>
  <c r="L72" i="10"/>
  <c r="M71" i="10"/>
  <c r="L71" i="10"/>
  <c r="M70" i="10"/>
  <c r="L70" i="10"/>
  <c r="M69" i="10"/>
  <c r="L69" i="10"/>
  <c r="M68" i="10"/>
  <c r="L68" i="10"/>
  <c r="M67" i="10"/>
  <c r="L67" i="10"/>
  <c r="M66" i="10"/>
  <c r="L66" i="10"/>
  <c r="M65" i="10"/>
  <c r="L65" i="10"/>
  <c r="M64" i="10"/>
  <c r="L64" i="10"/>
  <c r="M63" i="10"/>
  <c r="L63" i="10"/>
  <c r="M62" i="10"/>
  <c r="L62" i="10"/>
  <c r="M61" i="10"/>
  <c r="L61" i="10"/>
  <c r="M60" i="10"/>
  <c r="L60" i="10"/>
  <c r="M59" i="10"/>
  <c r="L59" i="10"/>
  <c r="M58" i="10"/>
  <c r="L58" i="10"/>
  <c r="M57" i="10"/>
  <c r="L57" i="10"/>
  <c r="M56" i="10"/>
  <c r="L56" i="10"/>
  <c r="M55" i="10"/>
  <c r="L55" i="10"/>
  <c r="M54" i="10"/>
  <c r="L54" i="10"/>
  <c r="M53" i="10"/>
  <c r="L53" i="10"/>
  <c r="M52" i="10"/>
  <c r="L52" i="10"/>
  <c r="M51" i="10"/>
  <c r="L51" i="10"/>
  <c r="M50" i="10"/>
  <c r="L50" i="10"/>
  <c r="M49" i="10"/>
  <c r="L49" i="10"/>
  <c r="M48" i="10"/>
  <c r="L48" i="10"/>
  <c r="M47" i="10"/>
  <c r="L47" i="10"/>
  <c r="M46" i="10"/>
  <c r="L46" i="10"/>
  <c r="M45" i="10"/>
  <c r="L45" i="10"/>
  <c r="M44" i="10"/>
  <c r="L44" i="10"/>
  <c r="M43" i="10"/>
  <c r="L43" i="10"/>
  <c r="M42" i="10"/>
  <c r="L42" i="10"/>
  <c r="M41" i="10"/>
  <c r="L41" i="10"/>
  <c r="M40" i="10"/>
  <c r="L40" i="10"/>
  <c r="M39" i="10"/>
  <c r="L39" i="10"/>
  <c r="M38" i="10"/>
  <c r="L38" i="10"/>
  <c r="M37" i="10"/>
  <c r="L37" i="10"/>
  <c r="M36" i="10"/>
  <c r="L36" i="10"/>
  <c r="M35" i="10"/>
  <c r="L35" i="10"/>
  <c r="M34" i="10"/>
  <c r="L34" i="10"/>
  <c r="M33" i="10"/>
  <c r="L33" i="10"/>
  <c r="M32" i="10"/>
  <c r="L32" i="10"/>
  <c r="M31" i="10"/>
  <c r="L31" i="10"/>
  <c r="M30" i="10"/>
  <c r="L30" i="10"/>
  <c r="M29" i="10"/>
  <c r="L29" i="10"/>
  <c r="M28" i="10"/>
  <c r="L28" i="10"/>
  <c r="M27" i="10"/>
  <c r="L27" i="10"/>
  <c r="M26" i="10"/>
  <c r="L26" i="10"/>
  <c r="M25" i="10"/>
  <c r="L25" i="10"/>
  <c r="M24" i="10"/>
  <c r="L24" i="10"/>
  <c r="M23" i="10"/>
  <c r="L23" i="10"/>
  <c r="M22" i="10"/>
  <c r="L22" i="10"/>
  <c r="M21" i="10"/>
  <c r="L21" i="10"/>
  <c r="M20" i="10"/>
  <c r="L20" i="10"/>
  <c r="M19" i="10"/>
  <c r="L19" i="10"/>
  <c r="M18" i="10"/>
  <c r="L18" i="10"/>
  <c r="M17" i="10"/>
  <c r="L17" i="10"/>
  <c r="M16" i="10"/>
  <c r="L16" i="10"/>
  <c r="M15" i="10"/>
  <c r="L15" i="10"/>
  <c r="M14" i="10"/>
  <c r="L14" i="10"/>
  <c r="M13" i="10"/>
  <c r="L13" i="10"/>
  <c r="M12" i="10"/>
  <c r="L12" i="10"/>
  <c r="M11" i="10"/>
  <c r="L11" i="10"/>
  <c r="M10" i="10"/>
  <c r="L10" i="10"/>
  <c r="M9" i="10"/>
  <c r="L9" i="10"/>
  <c r="M8" i="10"/>
  <c r="L8" i="10"/>
  <c r="M7" i="10"/>
  <c r="L7" i="10"/>
  <c r="M6" i="10"/>
  <c r="L6" i="10"/>
  <c r="M5" i="10"/>
  <c r="L5" i="10"/>
  <c r="M4" i="10"/>
  <c r="L4" i="10"/>
  <c r="M3" i="10"/>
  <c r="L3" i="10"/>
  <c r="M2" i="10"/>
  <c r="L2" i="10"/>
  <c r="M1" i="10"/>
  <c r="L1" i="10"/>
  <c r="M13" i="16" l="1"/>
  <c r="Y13" i="16" s="1"/>
  <c r="L13" i="16"/>
  <c r="K13" i="16"/>
  <c r="W13" i="16" s="1"/>
  <c r="J13" i="16"/>
  <c r="I13" i="16"/>
  <c r="M12" i="16"/>
  <c r="L12" i="16"/>
  <c r="K12" i="16"/>
  <c r="J12" i="16"/>
  <c r="I12" i="16"/>
  <c r="M11" i="16"/>
  <c r="Y11" i="16" s="1"/>
  <c r="L11" i="16"/>
  <c r="X11" i="16" s="1"/>
  <c r="K11" i="16"/>
  <c r="W11" i="16" s="1"/>
  <c r="J11" i="16"/>
  <c r="I11" i="16"/>
  <c r="M10" i="16"/>
  <c r="L10" i="16"/>
  <c r="X10" i="16" s="1"/>
  <c r="K10" i="16"/>
  <c r="J10" i="16"/>
  <c r="I10" i="16"/>
  <c r="M9" i="16"/>
  <c r="Y9" i="16" s="1"/>
  <c r="L9" i="16"/>
  <c r="K9" i="16"/>
  <c r="W9" i="16" s="1"/>
  <c r="J9" i="16"/>
  <c r="I9" i="16"/>
  <c r="M8" i="16"/>
  <c r="L8" i="16"/>
  <c r="K8" i="16"/>
  <c r="J8" i="16"/>
  <c r="I8" i="16"/>
  <c r="M7" i="16"/>
  <c r="Y7" i="16" s="1"/>
  <c r="L7" i="16"/>
  <c r="X7" i="16" s="1"/>
  <c r="K7" i="16"/>
  <c r="J7" i="16"/>
  <c r="I7" i="16"/>
  <c r="M6" i="16"/>
  <c r="L6" i="16"/>
  <c r="X6" i="16" s="1"/>
  <c r="K6" i="16"/>
  <c r="J6" i="16"/>
  <c r="I6" i="16"/>
  <c r="M5" i="16"/>
  <c r="L5" i="16"/>
  <c r="K5" i="16"/>
  <c r="W5" i="16" s="1"/>
  <c r="J5" i="16"/>
  <c r="I5" i="16"/>
  <c r="M4" i="16"/>
  <c r="L4" i="16"/>
  <c r="K4" i="16"/>
  <c r="J4" i="16"/>
  <c r="I4" i="16"/>
  <c r="M3" i="16"/>
  <c r="Y3" i="16" s="1"/>
  <c r="L3" i="16"/>
  <c r="X3" i="16" s="1"/>
  <c r="K3" i="16"/>
  <c r="W3" i="16" s="1"/>
  <c r="J3" i="16"/>
  <c r="I3" i="16"/>
  <c r="M2" i="16"/>
  <c r="L2" i="16"/>
  <c r="X2" i="16" s="1"/>
  <c r="K2" i="16"/>
  <c r="J2" i="16"/>
  <c r="I2" i="16"/>
  <c r="H97" i="16"/>
  <c r="H98" i="16" s="1"/>
  <c r="H99" i="16" s="1"/>
  <c r="H100" i="16" s="1"/>
  <c r="H101" i="16" s="1"/>
  <c r="H102" i="16" s="1"/>
  <c r="H103" i="16" s="1"/>
  <c r="H104" i="16" s="1"/>
  <c r="H105" i="16" s="1"/>
  <c r="H106" i="16" s="1"/>
  <c r="H107" i="16" s="1"/>
  <c r="H108" i="16" s="1"/>
  <c r="H109" i="16" s="1"/>
  <c r="H110" i="16" s="1"/>
  <c r="H111" i="16" s="1"/>
  <c r="H112" i="16" s="1"/>
  <c r="H113" i="16" s="1"/>
  <c r="H114" i="16" s="1"/>
  <c r="H115" i="16" s="1"/>
  <c r="H116" i="16" s="1"/>
  <c r="H117" i="16" s="1"/>
  <c r="H118" i="16" s="1"/>
  <c r="H119" i="16" s="1"/>
  <c r="H120" i="16" s="1"/>
  <c r="H121" i="16" s="1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X13" i="16"/>
  <c r="Y12" i="16"/>
  <c r="X12" i="16"/>
  <c r="W12" i="16"/>
  <c r="Y10" i="16"/>
  <c r="W10" i="16"/>
  <c r="X9" i="16"/>
  <c r="Y8" i="16"/>
  <c r="X8" i="16"/>
  <c r="W8" i="16"/>
  <c r="W7" i="16"/>
  <c r="Y6" i="16"/>
  <c r="W6" i="16"/>
  <c r="Y5" i="16"/>
  <c r="X5" i="16"/>
  <c r="Y4" i="16"/>
  <c r="X4" i="16"/>
  <c r="W4" i="16"/>
  <c r="Y2" i="16"/>
  <c r="W2" i="16"/>
  <c r="M1" i="16"/>
  <c r="Y1" i="16" s="1"/>
  <c r="L1" i="16"/>
  <c r="X1" i="16" s="1"/>
  <c r="K1" i="16"/>
  <c r="W1" i="16" s="1"/>
  <c r="J1" i="16"/>
  <c r="I1" i="16"/>
  <c r="H1" i="16"/>
  <c r="G1" i="16"/>
  <c r="F1" i="16"/>
  <c r="E1" i="16"/>
  <c r="D1" i="16"/>
  <c r="X11" i="10"/>
  <c r="X10" i="10"/>
  <c r="X7" i="10"/>
  <c r="K13" i="10"/>
  <c r="K12" i="10"/>
  <c r="K11" i="10"/>
  <c r="K10" i="10"/>
  <c r="W10" i="10" s="1"/>
  <c r="K9" i="10"/>
  <c r="K8" i="10"/>
  <c r="K7" i="10"/>
  <c r="W7" i="10" s="1"/>
  <c r="K6" i="10"/>
  <c r="W6" i="10" s="1"/>
  <c r="K5" i="10"/>
  <c r="K4" i="10"/>
  <c r="K3" i="10"/>
  <c r="W3" i="10" s="1"/>
  <c r="K2" i="10"/>
  <c r="W2" i="10" s="1"/>
  <c r="K1" i="10"/>
  <c r="W1" i="10" s="1"/>
  <c r="J13" i="10"/>
  <c r="J12" i="10"/>
  <c r="J11" i="10"/>
  <c r="J10" i="10"/>
  <c r="J9" i="10"/>
  <c r="J8" i="10"/>
  <c r="J7" i="10"/>
  <c r="J6" i="10"/>
  <c r="J5" i="10"/>
  <c r="J4" i="10"/>
  <c r="J3" i="10"/>
  <c r="J2" i="10"/>
  <c r="J1" i="10"/>
  <c r="X13" i="10"/>
  <c r="W13" i="10"/>
  <c r="X12" i="10"/>
  <c r="W12" i="10"/>
  <c r="W11" i="10"/>
  <c r="X9" i="10"/>
  <c r="W9" i="10"/>
  <c r="X8" i="10"/>
  <c r="W8" i="10"/>
  <c r="X6" i="10"/>
  <c r="X5" i="10"/>
  <c r="W5" i="10"/>
  <c r="X4" i="10"/>
  <c r="W4" i="10"/>
  <c r="X3" i="10"/>
  <c r="X2" i="10"/>
  <c r="X1" i="10"/>
  <c r="Y13" i="10"/>
  <c r="Y12" i="10"/>
  <c r="Y11" i="10"/>
  <c r="Y10" i="10"/>
  <c r="Y9" i="10"/>
  <c r="Y8" i="10"/>
  <c r="Y7" i="10"/>
  <c r="Y6" i="10"/>
  <c r="Y5" i="10"/>
  <c r="Y4" i="10"/>
  <c r="Y3" i="10"/>
  <c r="Y2" i="10"/>
  <c r="Y1" i="10"/>
  <c r="I1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D1" i="10"/>
  <c r="I13" i="10" l="1"/>
  <c r="I12" i="10"/>
  <c r="I11" i="10"/>
  <c r="I10" i="10"/>
  <c r="I9" i="10"/>
  <c r="I8" i="10"/>
  <c r="I7" i="10"/>
  <c r="I6" i="10"/>
  <c r="I5" i="10"/>
  <c r="I4" i="10"/>
  <c r="I3" i="10"/>
  <c r="I2" i="10"/>
  <c r="F1" i="10"/>
  <c r="G1" i="10"/>
  <c r="E1" i="10"/>
  <c r="O2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P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D93" i="16" l="1"/>
  <c r="D93" i="10"/>
  <c r="D81" i="16"/>
  <c r="D81" i="10"/>
  <c r="D69" i="16"/>
  <c r="D69" i="10"/>
  <c r="D57" i="16"/>
  <c r="D57" i="10"/>
  <c r="D53" i="16"/>
  <c r="D53" i="10"/>
  <c r="D37" i="16"/>
  <c r="D37" i="10"/>
  <c r="D25" i="16"/>
  <c r="D25" i="10"/>
  <c r="D17" i="16"/>
  <c r="D17" i="10"/>
  <c r="D5" i="16"/>
  <c r="D5" i="10"/>
  <c r="D96" i="16"/>
  <c r="D96" i="10"/>
  <c r="D92" i="16"/>
  <c r="D92" i="10"/>
  <c r="D88" i="16"/>
  <c r="D88" i="10"/>
  <c r="D84" i="16"/>
  <c r="D84" i="10"/>
  <c r="D80" i="16"/>
  <c r="D80" i="10"/>
  <c r="D76" i="16"/>
  <c r="D76" i="10"/>
  <c r="D72" i="16"/>
  <c r="D72" i="10"/>
  <c r="D68" i="16"/>
  <c r="D68" i="10"/>
  <c r="D64" i="16"/>
  <c r="D64" i="10"/>
  <c r="D60" i="16"/>
  <c r="D60" i="10"/>
  <c r="D56" i="16"/>
  <c r="D56" i="10"/>
  <c r="D52" i="16"/>
  <c r="D52" i="10"/>
  <c r="D48" i="16"/>
  <c r="D48" i="10"/>
  <c r="D44" i="16"/>
  <c r="D44" i="10"/>
  <c r="D40" i="16"/>
  <c r="D40" i="10"/>
  <c r="D36" i="16"/>
  <c r="D36" i="10"/>
  <c r="D32" i="16"/>
  <c r="D32" i="10"/>
  <c r="D28" i="16"/>
  <c r="D28" i="10"/>
  <c r="D24" i="16"/>
  <c r="D24" i="10"/>
  <c r="D20" i="16"/>
  <c r="D20" i="10"/>
  <c r="D16" i="16"/>
  <c r="D16" i="10"/>
  <c r="D12" i="16"/>
  <c r="D12" i="10"/>
  <c r="D8" i="16"/>
  <c r="D8" i="10"/>
  <c r="D4" i="16"/>
  <c r="D4" i="10"/>
  <c r="D89" i="16"/>
  <c r="D89" i="10"/>
  <c r="D77" i="16"/>
  <c r="D77" i="10"/>
  <c r="D65" i="16"/>
  <c r="D65" i="10"/>
  <c r="D45" i="16"/>
  <c r="D45" i="10"/>
  <c r="D33" i="16"/>
  <c r="D33" i="10"/>
  <c r="D21" i="16"/>
  <c r="D21" i="10"/>
  <c r="D9" i="16"/>
  <c r="D9" i="10"/>
  <c r="D95" i="16"/>
  <c r="D95" i="10"/>
  <c r="D83" i="16"/>
  <c r="D83" i="10"/>
  <c r="D71" i="10"/>
  <c r="D71" i="16"/>
  <c r="D59" i="16"/>
  <c r="D59" i="10"/>
  <c r="D51" i="16"/>
  <c r="D51" i="10"/>
  <c r="D47" i="16"/>
  <c r="D47" i="10"/>
  <c r="D43" i="16"/>
  <c r="D43" i="10"/>
  <c r="D39" i="10"/>
  <c r="D39" i="16"/>
  <c r="D35" i="16"/>
  <c r="D35" i="10"/>
  <c r="D31" i="16"/>
  <c r="D31" i="10"/>
  <c r="D27" i="16"/>
  <c r="D27" i="10"/>
  <c r="D23" i="16"/>
  <c r="D23" i="10"/>
  <c r="D19" i="16"/>
  <c r="D19" i="10"/>
  <c r="D15" i="16"/>
  <c r="D15" i="10"/>
  <c r="D11" i="16"/>
  <c r="D11" i="10"/>
  <c r="D7" i="10"/>
  <c r="D7" i="16"/>
  <c r="D3" i="16"/>
  <c r="D3" i="10"/>
  <c r="D97" i="16"/>
  <c r="D97" i="10"/>
  <c r="D85" i="16"/>
  <c r="D85" i="10"/>
  <c r="D73" i="16"/>
  <c r="D73" i="10"/>
  <c r="D61" i="16"/>
  <c r="D61" i="10"/>
  <c r="D49" i="16"/>
  <c r="D49" i="10"/>
  <c r="D41" i="16"/>
  <c r="D41" i="10"/>
  <c r="D29" i="16"/>
  <c r="D29" i="10"/>
  <c r="D13" i="16"/>
  <c r="D13" i="10"/>
  <c r="D91" i="16"/>
  <c r="D91" i="10"/>
  <c r="D87" i="16"/>
  <c r="D87" i="10"/>
  <c r="D79" i="16"/>
  <c r="D79" i="10"/>
  <c r="D75" i="16"/>
  <c r="D75" i="10"/>
  <c r="D67" i="16"/>
  <c r="D67" i="10"/>
  <c r="D63" i="16"/>
  <c r="D63" i="10"/>
  <c r="D55" i="10"/>
  <c r="D55" i="16"/>
  <c r="D94" i="16"/>
  <c r="D94" i="10"/>
  <c r="D90" i="16"/>
  <c r="D90" i="10"/>
  <c r="D86" i="16"/>
  <c r="D86" i="10"/>
  <c r="D82" i="16"/>
  <c r="D82" i="10"/>
  <c r="D78" i="16"/>
  <c r="D78" i="10"/>
  <c r="D74" i="16"/>
  <c r="D74" i="10"/>
  <c r="D70" i="16"/>
  <c r="D70" i="10"/>
  <c r="D66" i="16"/>
  <c r="D66" i="10"/>
  <c r="D62" i="16"/>
  <c r="D62" i="10"/>
  <c r="D58" i="16"/>
  <c r="D58" i="10"/>
  <c r="D54" i="16"/>
  <c r="D54" i="10"/>
  <c r="D50" i="16"/>
  <c r="D50" i="10"/>
  <c r="D46" i="16"/>
  <c r="D46" i="10"/>
  <c r="D42" i="16"/>
  <c r="D42" i="10"/>
  <c r="D38" i="16"/>
  <c r="D38" i="10"/>
  <c r="D34" i="16"/>
  <c r="D34" i="10"/>
  <c r="D30" i="16"/>
  <c r="D30" i="10"/>
  <c r="D26" i="16"/>
  <c r="D26" i="10"/>
  <c r="D22" i="16"/>
  <c r="D22" i="10"/>
  <c r="D18" i="16"/>
  <c r="D18" i="10"/>
  <c r="D14" i="16"/>
  <c r="D14" i="10"/>
  <c r="D10" i="16"/>
  <c r="D10" i="10"/>
  <c r="D6" i="16"/>
  <c r="D6" i="10"/>
  <c r="D2" i="16"/>
  <c r="D2" i="10"/>
  <c r="J4" i="4"/>
  <c r="J3" i="4"/>
  <c r="J8" i="4"/>
  <c r="J7" i="4"/>
  <c r="E14" i="21" l="1"/>
  <c r="D14" i="21"/>
  <c r="B11" i="21"/>
  <c r="J8" i="21"/>
  <c r="H8" i="21"/>
  <c r="J7" i="21"/>
  <c r="H7" i="21"/>
  <c r="F7" i="21"/>
  <c r="C7" i="21"/>
  <c r="J6" i="21"/>
  <c r="H6" i="21"/>
  <c r="F6" i="21"/>
  <c r="C6" i="21"/>
  <c r="J5" i="21"/>
  <c r="H5" i="21"/>
  <c r="F5" i="21"/>
  <c r="C5" i="21"/>
  <c r="C4" i="21"/>
  <c r="O17" i="20"/>
  <c r="O121" i="16"/>
  <c r="B121" i="16"/>
  <c r="O120" i="16"/>
  <c r="B120" i="16"/>
  <c r="O119" i="16"/>
  <c r="B119" i="16"/>
  <c r="O118" i="16"/>
  <c r="B118" i="16"/>
  <c r="O117" i="16"/>
  <c r="B117" i="16"/>
  <c r="O116" i="16"/>
  <c r="B116" i="16"/>
  <c r="O115" i="16"/>
  <c r="B115" i="16"/>
  <c r="O114" i="16"/>
  <c r="B114" i="16"/>
  <c r="O113" i="16"/>
  <c r="B113" i="16"/>
  <c r="O112" i="16"/>
  <c r="B112" i="16"/>
  <c r="O111" i="16"/>
  <c r="B111" i="16"/>
  <c r="O110" i="16"/>
  <c r="B110" i="16"/>
  <c r="O109" i="16"/>
  <c r="B109" i="16"/>
  <c r="O108" i="16"/>
  <c r="B108" i="16"/>
  <c r="O107" i="16"/>
  <c r="B107" i="16"/>
  <c r="O106" i="16"/>
  <c r="B106" i="16"/>
  <c r="O105" i="16"/>
  <c r="B105" i="16"/>
  <c r="O104" i="16"/>
  <c r="B104" i="16"/>
  <c r="O103" i="16"/>
  <c r="B103" i="16"/>
  <c r="O102" i="16"/>
  <c r="B102" i="16"/>
  <c r="O101" i="16"/>
  <c r="B101" i="16"/>
  <c r="O100" i="16"/>
  <c r="B100" i="16"/>
  <c r="O99" i="16"/>
  <c r="B99" i="16"/>
  <c r="O98" i="16"/>
  <c r="B98" i="16"/>
  <c r="O97" i="16"/>
  <c r="P97" i="16"/>
  <c r="B97" i="16"/>
  <c r="O96" i="16"/>
  <c r="P96" i="16"/>
  <c r="B96" i="16"/>
  <c r="O95" i="16"/>
  <c r="P95" i="16"/>
  <c r="B95" i="16"/>
  <c r="O94" i="16"/>
  <c r="P94" i="16"/>
  <c r="B94" i="16"/>
  <c r="O93" i="16"/>
  <c r="P93" i="16"/>
  <c r="B93" i="16"/>
  <c r="O92" i="16"/>
  <c r="P92" i="16"/>
  <c r="B92" i="16"/>
  <c r="O91" i="16"/>
  <c r="P91" i="16"/>
  <c r="B91" i="16"/>
  <c r="O90" i="16"/>
  <c r="P90" i="16"/>
  <c r="B90" i="16"/>
  <c r="O89" i="16"/>
  <c r="P89" i="16"/>
  <c r="B89" i="16"/>
  <c r="O88" i="16"/>
  <c r="P88" i="16"/>
  <c r="B88" i="16"/>
  <c r="O87" i="16"/>
  <c r="P87" i="16"/>
  <c r="B87" i="16"/>
  <c r="O86" i="16"/>
  <c r="P86" i="16"/>
  <c r="B86" i="16"/>
  <c r="O85" i="16"/>
  <c r="P85" i="16"/>
  <c r="B85" i="16"/>
  <c r="O84" i="16"/>
  <c r="P84" i="16"/>
  <c r="B84" i="16"/>
  <c r="O83" i="16"/>
  <c r="P83" i="16"/>
  <c r="B83" i="16"/>
  <c r="O82" i="16"/>
  <c r="P82" i="16"/>
  <c r="B82" i="16"/>
  <c r="O81" i="16"/>
  <c r="P81" i="16"/>
  <c r="B81" i="16"/>
  <c r="O80" i="16"/>
  <c r="P80" i="16"/>
  <c r="B80" i="16"/>
  <c r="O79" i="16"/>
  <c r="P79" i="16"/>
  <c r="B79" i="16"/>
  <c r="O78" i="16"/>
  <c r="P78" i="16"/>
  <c r="B78" i="16"/>
  <c r="O77" i="16"/>
  <c r="P77" i="16"/>
  <c r="B77" i="16"/>
  <c r="O76" i="16"/>
  <c r="P76" i="16"/>
  <c r="B76" i="16"/>
  <c r="O75" i="16"/>
  <c r="P75" i="16"/>
  <c r="B75" i="16"/>
  <c r="O74" i="16"/>
  <c r="P74" i="16"/>
  <c r="B74" i="16"/>
  <c r="O73" i="16"/>
  <c r="P73" i="16"/>
  <c r="B73" i="16"/>
  <c r="O72" i="16"/>
  <c r="P72" i="16"/>
  <c r="B72" i="16"/>
  <c r="O71" i="16"/>
  <c r="P71" i="16"/>
  <c r="B71" i="16"/>
  <c r="O70" i="16"/>
  <c r="P70" i="16"/>
  <c r="B70" i="16"/>
  <c r="O69" i="16"/>
  <c r="P69" i="16"/>
  <c r="B69" i="16"/>
  <c r="O68" i="16"/>
  <c r="P68" i="16"/>
  <c r="B68" i="16"/>
  <c r="O67" i="16"/>
  <c r="P67" i="16"/>
  <c r="B67" i="16"/>
  <c r="O66" i="16"/>
  <c r="P66" i="16"/>
  <c r="B66" i="16"/>
  <c r="O65" i="16"/>
  <c r="P65" i="16"/>
  <c r="B65" i="16"/>
  <c r="O64" i="16"/>
  <c r="P64" i="16"/>
  <c r="B64" i="16"/>
  <c r="O63" i="16"/>
  <c r="P63" i="16"/>
  <c r="B63" i="16"/>
  <c r="O62" i="16"/>
  <c r="P62" i="16"/>
  <c r="B62" i="16"/>
  <c r="O61" i="16"/>
  <c r="P61" i="16"/>
  <c r="A61" i="16"/>
  <c r="B61" i="16" s="1"/>
  <c r="O60" i="16"/>
  <c r="P60" i="16"/>
  <c r="A60" i="16"/>
  <c r="B60" i="16" s="1"/>
  <c r="O59" i="16"/>
  <c r="P59" i="16"/>
  <c r="A59" i="16"/>
  <c r="B59" i="16" s="1"/>
  <c r="O58" i="16"/>
  <c r="P58" i="16"/>
  <c r="A58" i="16"/>
  <c r="B58" i="16" s="1"/>
  <c r="O57" i="16"/>
  <c r="P57" i="16"/>
  <c r="A57" i="16"/>
  <c r="B57" i="16" s="1"/>
  <c r="O56" i="16"/>
  <c r="P56" i="16"/>
  <c r="A56" i="16"/>
  <c r="B56" i="16" s="1"/>
  <c r="O55" i="16"/>
  <c r="P55" i="16"/>
  <c r="A55" i="16"/>
  <c r="B55" i="16" s="1"/>
  <c r="O54" i="16"/>
  <c r="P54" i="16"/>
  <c r="A54" i="16"/>
  <c r="B54" i="16" s="1"/>
  <c r="O53" i="16"/>
  <c r="P53" i="16"/>
  <c r="A53" i="16"/>
  <c r="B53" i="16" s="1"/>
  <c r="O52" i="16"/>
  <c r="P52" i="16"/>
  <c r="A52" i="16"/>
  <c r="B52" i="16" s="1"/>
  <c r="O51" i="16"/>
  <c r="P51" i="16"/>
  <c r="A51" i="16"/>
  <c r="B51" i="16" s="1"/>
  <c r="O50" i="16"/>
  <c r="P50" i="16"/>
  <c r="A50" i="16"/>
  <c r="B50" i="16" s="1"/>
  <c r="O49" i="16"/>
  <c r="P49" i="16"/>
  <c r="A49" i="16"/>
  <c r="B49" i="16" s="1"/>
  <c r="O48" i="16"/>
  <c r="P48" i="16"/>
  <c r="A48" i="16"/>
  <c r="B48" i="16" s="1"/>
  <c r="O47" i="16"/>
  <c r="P47" i="16"/>
  <c r="A47" i="16"/>
  <c r="B47" i="16" s="1"/>
  <c r="O46" i="16"/>
  <c r="P46" i="16"/>
  <c r="A46" i="16"/>
  <c r="B46" i="16" s="1"/>
  <c r="O45" i="16"/>
  <c r="P45" i="16"/>
  <c r="A45" i="16"/>
  <c r="B45" i="16" s="1"/>
  <c r="O44" i="16"/>
  <c r="P44" i="16"/>
  <c r="A44" i="16"/>
  <c r="B44" i="16" s="1"/>
  <c r="O43" i="16"/>
  <c r="P43" i="16"/>
  <c r="A43" i="16"/>
  <c r="B43" i="16" s="1"/>
  <c r="O42" i="16"/>
  <c r="P42" i="16"/>
  <c r="A42" i="16"/>
  <c r="B42" i="16" s="1"/>
  <c r="O41" i="16"/>
  <c r="P41" i="16"/>
  <c r="A41" i="16"/>
  <c r="B41" i="16" s="1"/>
  <c r="O40" i="16"/>
  <c r="P40" i="16"/>
  <c r="A40" i="16"/>
  <c r="B40" i="16" s="1"/>
  <c r="O39" i="16"/>
  <c r="P39" i="16"/>
  <c r="A39" i="16"/>
  <c r="B39" i="16" s="1"/>
  <c r="O38" i="16"/>
  <c r="P38" i="16"/>
  <c r="A38" i="16"/>
  <c r="B38" i="16" s="1"/>
  <c r="O37" i="16"/>
  <c r="P37" i="16"/>
  <c r="A37" i="16"/>
  <c r="B37" i="16" s="1"/>
  <c r="O36" i="16"/>
  <c r="P36" i="16"/>
  <c r="A36" i="16"/>
  <c r="B36" i="16" s="1"/>
  <c r="O35" i="16"/>
  <c r="P35" i="16"/>
  <c r="A35" i="16"/>
  <c r="B35" i="16" s="1"/>
  <c r="O34" i="16"/>
  <c r="P34" i="16"/>
  <c r="A34" i="16"/>
  <c r="B34" i="16" s="1"/>
  <c r="O33" i="16"/>
  <c r="P33" i="16"/>
  <c r="A33" i="16"/>
  <c r="B33" i="16" s="1"/>
  <c r="O32" i="16"/>
  <c r="P32" i="16"/>
  <c r="A32" i="16"/>
  <c r="B32" i="16" s="1"/>
  <c r="O31" i="16"/>
  <c r="P31" i="16"/>
  <c r="A31" i="16"/>
  <c r="B31" i="16" s="1"/>
  <c r="O30" i="16"/>
  <c r="P30" i="16"/>
  <c r="A30" i="16"/>
  <c r="B30" i="16" s="1"/>
  <c r="O29" i="16"/>
  <c r="P29" i="16"/>
  <c r="A29" i="16"/>
  <c r="B29" i="16" s="1"/>
  <c r="O28" i="16"/>
  <c r="P28" i="16"/>
  <c r="A28" i="16"/>
  <c r="B28" i="16" s="1"/>
  <c r="O27" i="16"/>
  <c r="P27" i="16"/>
  <c r="A27" i="16"/>
  <c r="B27" i="16" s="1"/>
  <c r="O26" i="16"/>
  <c r="P26" i="16"/>
  <c r="A26" i="16"/>
  <c r="B26" i="16" s="1"/>
  <c r="O25" i="16"/>
  <c r="P25" i="16"/>
  <c r="A25" i="16"/>
  <c r="B25" i="16" s="1"/>
  <c r="O24" i="16"/>
  <c r="P24" i="16"/>
  <c r="A24" i="16"/>
  <c r="B24" i="16" s="1"/>
  <c r="O23" i="16"/>
  <c r="P23" i="16"/>
  <c r="A23" i="16"/>
  <c r="B23" i="16" s="1"/>
  <c r="O22" i="16"/>
  <c r="P22" i="16"/>
  <c r="A22" i="16"/>
  <c r="B22" i="16" s="1"/>
  <c r="O21" i="16"/>
  <c r="P21" i="16"/>
  <c r="A21" i="16"/>
  <c r="B21" i="16" s="1"/>
  <c r="O20" i="16"/>
  <c r="P20" i="16"/>
  <c r="A20" i="16"/>
  <c r="B20" i="16" s="1"/>
  <c r="O19" i="16"/>
  <c r="P19" i="16"/>
  <c r="A19" i="16"/>
  <c r="B19" i="16" s="1"/>
  <c r="O18" i="16"/>
  <c r="P18" i="16"/>
  <c r="A18" i="16"/>
  <c r="B18" i="16" s="1"/>
  <c r="O17" i="16"/>
  <c r="P17" i="16"/>
  <c r="A17" i="16"/>
  <c r="B17" i="16" s="1"/>
  <c r="O16" i="16"/>
  <c r="P16" i="16"/>
  <c r="A16" i="16"/>
  <c r="B16" i="16" s="1"/>
  <c r="O15" i="16"/>
  <c r="P15" i="16"/>
  <c r="A15" i="16"/>
  <c r="B15" i="16" s="1"/>
  <c r="O14" i="16"/>
  <c r="P14" i="16"/>
  <c r="A14" i="16"/>
  <c r="B14" i="16" s="1"/>
  <c r="O13" i="16"/>
  <c r="V13" i="16"/>
  <c r="U13" i="16"/>
  <c r="T13" i="16"/>
  <c r="P13" i="16"/>
  <c r="A13" i="16"/>
  <c r="B13" i="16" s="1"/>
  <c r="O12" i="16"/>
  <c r="V12" i="16"/>
  <c r="U12" i="16"/>
  <c r="T12" i="16"/>
  <c r="P12" i="16"/>
  <c r="A12" i="16"/>
  <c r="B12" i="16" s="1"/>
  <c r="O11" i="16"/>
  <c r="V11" i="16"/>
  <c r="U11" i="16"/>
  <c r="T11" i="16"/>
  <c r="P11" i="16"/>
  <c r="A11" i="16"/>
  <c r="B11" i="16" s="1"/>
  <c r="O10" i="16"/>
  <c r="V10" i="16"/>
  <c r="U10" i="16"/>
  <c r="T10" i="16"/>
  <c r="P10" i="16"/>
  <c r="A10" i="16"/>
  <c r="B10" i="16" s="1"/>
  <c r="O9" i="16"/>
  <c r="V9" i="16"/>
  <c r="U9" i="16"/>
  <c r="T9" i="16"/>
  <c r="P9" i="16"/>
  <c r="A9" i="16"/>
  <c r="B9" i="16" s="1"/>
  <c r="O8" i="16"/>
  <c r="V8" i="16"/>
  <c r="U8" i="16"/>
  <c r="T8" i="16"/>
  <c r="P8" i="16"/>
  <c r="A8" i="16"/>
  <c r="B8" i="16" s="1"/>
  <c r="O7" i="16"/>
  <c r="V7" i="16"/>
  <c r="U7" i="16"/>
  <c r="T7" i="16"/>
  <c r="P7" i="16"/>
  <c r="A7" i="16"/>
  <c r="B7" i="16" s="1"/>
  <c r="O6" i="16"/>
  <c r="V6" i="16"/>
  <c r="U6" i="16"/>
  <c r="T6" i="16"/>
  <c r="P6" i="16"/>
  <c r="A6" i="16"/>
  <c r="B6" i="16" s="1"/>
  <c r="O5" i="16"/>
  <c r="V5" i="16"/>
  <c r="U5" i="16"/>
  <c r="T5" i="16"/>
  <c r="P5" i="16"/>
  <c r="A5" i="16"/>
  <c r="B5" i="16" s="1"/>
  <c r="O4" i="16"/>
  <c r="V4" i="16"/>
  <c r="U4" i="16"/>
  <c r="T4" i="16"/>
  <c r="P4" i="16"/>
  <c r="A4" i="16"/>
  <c r="B4" i="16" s="1"/>
  <c r="O3" i="16"/>
  <c r="V3" i="16"/>
  <c r="U3" i="16"/>
  <c r="T3" i="16"/>
  <c r="P3" i="16"/>
  <c r="A3" i="16"/>
  <c r="B3" i="16" s="1"/>
  <c r="O2" i="16"/>
  <c r="V2" i="16"/>
  <c r="U2" i="16"/>
  <c r="T2" i="16"/>
  <c r="P2" i="16"/>
  <c r="A2" i="16"/>
  <c r="B2" i="16" s="1"/>
  <c r="V1" i="16"/>
  <c r="U1" i="16"/>
  <c r="T1" i="16"/>
  <c r="S1" i="16"/>
  <c r="R1" i="16"/>
  <c r="Q1" i="16"/>
  <c r="P1" i="16"/>
  <c r="C1" i="16"/>
  <c r="A1" i="16"/>
  <c r="L121" i="15"/>
  <c r="B121" i="15"/>
  <c r="L120" i="15"/>
  <c r="B120" i="15"/>
  <c r="L119" i="15"/>
  <c r="B119" i="15"/>
  <c r="L118" i="15"/>
  <c r="B118" i="15"/>
  <c r="L117" i="15"/>
  <c r="B117" i="15"/>
  <c r="L116" i="15"/>
  <c r="B116" i="15"/>
  <c r="L115" i="15"/>
  <c r="B115" i="15"/>
  <c r="L114" i="15"/>
  <c r="B114" i="15"/>
  <c r="L113" i="15"/>
  <c r="B113" i="15"/>
  <c r="L112" i="15"/>
  <c r="B112" i="15"/>
  <c r="L111" i="15"/>
  <c r="B111" i="15"/>
  <c r="L110" i="15"/>
  <c r="B110" i="15"/>
  <c r="L109" i="15"/>
  <c r="B109" i="15"/>
  <c r="L108" i="15"/>
  <c r="B108" i="15"/>
  <c r="L107" i="15"/>
  <c r="B107" i="15"/>
  <c r="L106" i="15"/>
  <c r="B106" i="15"/>
  <c r="L105" i="15"/>
  <c r="B105" i="15"/>
  <c r="L104" i="15"/>
  <c r="B104" i="15"/>
  <c r="L103" i="15"/>
  <c r="B103" i="15"/>
  <c r="L102" i="15"/>
  <c r="B102" i="15"/>
  <c r="L101" i="15"/>
  <c r="B101" i="15"/>
  <c r="L100" i="15"/>
  <c r="B100" i="15"/>
  <c r="L99" i="15"/>
  <c r="B99" i="15"/>
  <c r="L98" i="15"/>
  <c r="B98" i="15"/>
  <c r="L97" i="15"/>
  <c r="B97" i="15"/>
  <c r="L96" i="15"/>
  <c r="B96" i="15"/>
  <c r="L95" i="15"/>
  <c r="B95" i="15"/>
  <c r="L94" i="15"/>
  <c r="B94" i="15"/>
  <c r="L93" i="15"/>
  <c r="B93" i="15"/>
  <c r="L92" i="15"/>
  <c r="B92" i="15"/>
  <c r="L91" i="15"/>
  <c r="B91" i="15"/>
  <c r="L90" i="15"/>
  <c r="B90" i="15"/>
  <c r="L89" i="15"/>
  <c r="B89" i="15"/>
  <c r="L88" i="15"/>
  <c r="B88" i="15"/>
  <c r="L87" i="15"/>
  <c r="B87" i="15"/>
  <c r="L86" i="15"/>
  <c r="B86" i="15"/>
  <c r="L85" i="15"/>
  <c r="B85" i="15"/>
  <c r="L84" i="15"/>
  <c r="B84" i="15"/>
  <c r="L83" i="15"/>
  <c r="B83" i="15"/>
  <c r="L82" i="15"/>
  <c r="B82" i="15"/>
  <c r="L81" i="15"/>
  <c r="B81" i="15"/>
  <c r="L80" i="15"/>
  <c r="B80" i="15"/>
  <c r="L79" i="15"/>
  <c r="B79" i="15"/>
  <c r="L78" i="15"/>
  <c r="B78" i="15"/>
  <c r="L77" i="15"/>
  <c r="B77" i="15"/>
  <c r="L76" i="15"/>
  <c r="B76" i="15"/>
  <c r="L75" i="15"/>
  <c r="B75" i="15"/>
  <c r="L74" i="15"/>
  <c r="B74" i="15"/>
  <c r="L73" i="15"/>
  <c r="B73" i="15"/>
  <c r="L72" i="15"/>
  <c r="B72" i="15"/>
  <c r="L71" i="15"/>
  <c r="B71" i="15"/>
  <c r="L70" i="15"/>
  <c r="B70" i="15"/>
  <c r="L69" i="15"/>
  <c r="B69" i="15"/>
  <c r="L68" i="15"/>
  <c r="B68" i="15"/>
  <c r="L67" i="15"/>
  <c r="B67" i="15"/>
  <c r="L66" i="15"/>
  <c r="B66" i="15"/>
  <c r="L65" i="15"/>
  <c r="B65" i="15"/>
  <c r="L64" i="15"/>
  <c r="B64" i="15"/>
  <c r="L63" i="15"/>
  <c r="B63" i="15"/>
  <c r="L62" i="15"/>
  <c r="B62" i="15"/>
  <c r="L61" i="15"/>
  <c r="A61" i="15"/>
  <c r="B61" i="15" s="1"/>
  <c r="L60" i="15"/>
  <c r="A60" i="15"/>
  <c r="B60" i="15" s="1"/>
  <c r="L59" i="15"/>
  <c r="A59" i="15"/>
  <c r="B59" i="15" s="1"/>
  <c r="L58" i="15"/>
  <c r="A58" i="15"/>
  <c r="B58" i="15" s="1"/>
  <c r="L57" i="15"/>
  <c r="A57" i="15"/>
  <c r="B57" i="15" s="1"/>
  <c r="L56" i="15"/>
  <c r="A56" i="15"/>
  <c r="B56" i="15" s="1"/>
  <c r="L55" i="15"/>
  <c r="A55" i="15"/>
  <c r="B55" i="15" s="1"/>
  <c r="L54" i="15"/>
  <c r="A54" i="15"/>
  <c r="B54" i="15" s="1"/>
  <c r="L53" i="15"/>
  <c r="A53" i="15"/>
  <c r="B53" i="15" s="1"/>
  <c r="L52" i="15"/>
  <c r="A52" i="15"/>
  <c r="B52" i="15" s="1"/>
  <c r="L51" i="15"/>
  <c r="A51" i="15"/>
  <c r="B51" i="15" s="1"/>
  <c r="L50" i="15"/>
  <c r="B50" i="15"/>
  <c r="A50" i="15"/>
  <c r="L49" i="15"/>
  <c r="A49" i="15"/>
  <c r="B49" i="15" s="1"/>
  <c r="L48" i="15"/>
  <c r="A48" i="15"/>
  <c r="B48" i="15" s="1"/>
  <c r="L47" i="15"/>
  <c r="A47" i="15"/>
  <c r="B47" i="15" s="1"/>
  <c r="L46" i="15"/>
  <c r="A46" i="15"/>
  <c r="B46" i="15" s="1"/>
  <c r="L45" i="15"/>
  <c r="A45" i="15"/>
  <c r="B45" i="15" s="1"/>
  <c r="L44" i="15"/>
  <c r="A44" i="15"/>
  <c r="B44" i="15" s="1"/>
  <c r="L43" i="15"/>
  <c r="A43" i="15"/>
  <c r="B43" i="15" s="1"/>
  <c r="L42" i="15"/>
  <c r="A42" i="15"/>
  <c r="B42" i="15" s="1"/>
  <c r="L41" i="15"/>
  <c r="A41" i="15"/>
  <c r="B41" i="15" s="1"/>
  <c r="L40" i="15"/>
  <c r="A40" i="15"/>
  <c r="B40" i="15" s="1"/>
  <c r="L39" i="15"/>
  <c r="G39" i="15"/>
  <c r="P39" i="15" s="1"/>
  <c r="A39" i="15"/>
  <c r="B39" i="15" s="1"/>
  <c r="L38" i="15"/>
  <c r="A38" i="15"/>
  <c r="B38" i="15" s="1"/>
  <c r="L37" i="15"/>
  <c r="A37" i="15"/>
  <c r="B37" i="15" s="1"/>
  <c r="L36" i="15"/>
  <c r="A36" i="15"/>
  <c r="B36" i="15" s="1"/>
  <c r="L35" i="15"/>
  <c r="A35" i="15"/>
  <c r="B35" i="15" s="1"/>
  <c r="L34" i="15"/>
  <c r="A34" i="15"/>
  <c r="B34" i="15" s="1"/>
  <c r="L33" i="15"/>
  <c r="A33" i="15"/>
  <c r="B33" i="15" s="1"/>
  <c r="L32" i="15"/>
  <c r="A32" i="15"/>
  <c r="B32" i="15" s="1"/>
  <c r="L31" i="15"/>
  <c r="A31" i="15"/>
  <c r="B31" i="15" s="1"/>
  <c r="L30" i="15"/>
  <c r="A30" i="15"/>
  <c r="B30" i="15" s="1"/>
  <c r="L29" i="15"/>
  <c r="A29" i="15"/>
  <c r="B29" i="15" s="1"/>
  <c r="L28" i="15"/>
  <c r="A28" i="15"/>
  <c r="B28" i="15" s="1"/>
  <c r="L27" i="15"/>
  <c r="A27" i="15"/>
  <c r="B27" i="15" s="1"/>
  <c r="L26" i="15"/>
  <c r="A26" i="15"/>
  <c r="B26" i="15" s="1"/>
  <c r="L25" i="15"/>
  <c r="A25" i="15"/>
  <c r="B25" i="15" s="1"/>
  <c r="L24" i="15"/>
  <c r="A24" i="15"/>
  <c r="B24" i="15" s="1"/>
  <c r="L23" i="15"/>
  <c r="A23" i="15"/>
  <c r="B23" i="15" s="1"/>
  <c r="L22" i="15"/>
  <c r="A22" i="15"/>
  <c r="B22" i="15" s="1"/>
  <c r="L21" i="15"/>
  <c r="A21" i="15"/>
  <c r="B21" i="15" s="1"/>
  <c r="L20" i="15"/>
  <c r="A20" i="15"/>
  <c r="B20" i="15" s="1"/>
  <c r="L19" i="15"/>
  <c r="A19" i="15"/>
  <c r="B19" i="15" s="1"/>
  <c r="L18" i="15"/>
  <c r="A18" i="15"/>
  <c r="B18" i="15" s="1"/>
  <c r="L17" i="15"/>
  <c r="A17" i="15"/>
  <c r="B17" i="15" s="1"/>
  <c r="L16" i="15"/>
  <c r="A16" i="15"/>
  <c r="B16" i="15" s="1"/>
  <c r="L15" i="15"/>
  <c r="G15" i="15"/>
  <c r="P15" i="15" s="1"/>
  <c r="A15" i="15"/>
  <c r="B15" i="15" s="1"/>
  <c r="L14" i="15"/>
  <c r="A14" i="15"/>
  <c r="B14" i="15" s="1"/>
  <c r="L13" i="15"/>
  <c r="J13" i="15"/>
  <c r="S13" i="15" s="1"/>
  <c r="I13" i="15"/>
  <c r="R13" i="15" s="1"/>
  <c r="G13" i="15"/>
  <c r="P13" i="15" s="1"/>
  <c r="A13" i="15"/>
  <c r="B13" i="15" s="1"/>
  <c r="L12" i="15"/>
  <c r="J12" i="15"/>
  <c r="S12" i="15" s="1"/>
  <c r="I12" i="15"/>
  <c r="R12" i="15" s="1"/>
  <c r="G12" i="15"/>
  <c r="P12" i="15" s="1"/>
  <c r="A12" i="15"/>
  <c r="B12" i="15" s="1"/>
  <c r="L11" i="15"/>
  <c r="J11" i="15"/>
  <c r="S11" i="15" s="1"/>
  <c r="I11" i="15"/>
  <c r="R11" i="15" s="1"/>
  <c r="G11" i="15"/>
  <c r="P11" i="15" s="1"/>
  <c r="A11" i="15"/>
  <c r="B11" i="15" s="1"/>
  <c r="L10" i="15"/>
  <c r="J10" i="15"/>
  <c r="S10" i="15" s="1"/>
  <c r="I10" i="15"/>
  <c r="R10" i="15" s="1"/>
  <c r="H10" i="15"/>
  <c r="Q10" i="15" s="1"/>
  <c r="G10" i="15"/>
  <c r="P10" i="15" s="1"/>
  <c r="A10" i="15"/>
  <c r="B10" i="15" s="1"/>
  <c r="L9" i="15"/>
  <c r="J9" i="15"/>
  <c r="S9" i="15" s="1"/>
  <c r="I9" i="15"/>
  <c r="R9" i="15" s="1"/>
  <c r="G9" i="15"/>
  <c r="P9" i="15" s="1"/>
  <c r="A9" i="15"/>
  <c r="B9" i="15" s="1"/>
  <c r="L8" i="15"/>
  <c r="J8" i="15"/>
  <c r="S8" i="15" s="1"/>
  <c r="I8" i="15"/>
  <c r="R8" i="15" s="1"/>
  <c r="G8" i="15"/>
  <c r="P8" i="15" s="1"/>
  <c r="A8" i="15"/>
  <c r="B8" i="15" s="1"/>
  <c r="L7" i="15"/>
  <c r="J7" i="15"/>
  <c r="S7" i="15" s="1"/>
  <c r="I7" i="15"/>
  <c r="R7" i="15" s="1"/>
  <c r="G7" i="15"/>
  <c r="P7" i="15" s="1"/>
  <c r="A7" i="15"/>
  <c r="B7" i="15" s="1"/>
  <c r="L6" i="15"/>
  <c r="J6" i="15"/>
  <c r="S6" i="15" s="1"/>
  <c r="I6" i="15"/>
  <c r="R6" i="15" s="1"/>
  <c r="G6" i="15"/>
  <c r="P6" i="15" s="1"/>
  <c r="A6" i="15"/>
  <c r="B6" i="15" s="1"/>
  <c r="L5" i="15"/>
  <c r="J5" i="15"/>
  <c r="S5" i="15" s="1"/>
  <c r="I5" i="15"/>
  <c r="R5" i="15" s="1"/>
  <c r="G5" i="15"/>
  <c r="P5" i="15" s="1"/>
  <c r="A5" i="15"/>
  <c r="B5" i="15" s="1"/>
  <c r="L4" i="15"/>
  <c r="J4" i="15"/>
  <c r="S4" i="15" s="1"/>
  <c r="I4" i="15"/>
  <c r="R4" i="15" s="1"/>
  <c r="G4" i="15"/>
  <c r="P4" i="15" s="1"/>
  <c r="A4" i="15"/>
  <c r="B4" i="15" s="1"/>
  <c r="L3" i="15"/>
  <c r="J3" i="15"/>
  <c r="S3" i="15" s="1"/>
  <c r="I3" i="15"/>
  <c r="R3" i="15" s="1"/>
  <c r="G3" i="15"/>
  <c r="P3" i="15" s="1"/>
  <c r="A3" i="15"/>
  <c r="B3" i="15" s="1"/>
  <c r="L2" i="15"/>
  <c r="J2" i="15"/>
  <c r="S2" i="15" s="1"/>
  <c r="I2" i="15"/>
  <c r="R2" i="15" s="1"/>
  <c r="G2" i="15"/>
  <c r="P2" i="15" s="1"/>
  <c r="A2" i="15"/>
  <c r="B2" i="15" s="1"/>
  <c r="J1" i="15"/>
  <c r="S1" i="15" s="1"/>
  <c r="I1" i="15"/>
  <c r="R1" i="15" s="1"/>
  <c r="H1" i="15"/>
  <c r="Q1" i="15" s="1"/>
  <c r="G1" i="15"/>
  <c r="P1" i="15" s="1"/>
  <c r="F1" i="15"/>
  <c r="O1" i="15" s="1"/>
  <c r="E1" i="15"/>
  <c r="N1" i="15" s="1"/>
  <c r="D1" i="15"/>
  <c r="M1" i="15" s="1"/>
  <c r="C1" i="15"/>
  <c r="A1" i="15"/>
  <c r="K121" i="14"/>
  <c r="B121" i="14"/>
  <c r="K120" i="14"/>
  <c r="B120" i="14"/>
  <c r="K119" i="14"/>
  <c r="B119" i="14"/>
  <c r="K118" i="14"/>
  <c r="B118" i="14"/>
  <c r="K117" i="14"/>
  <c r="B117" i="14"/>
  <c r="K116" i="14"/>
  <c r="B116" i="14"/>
  <c r="K115" i="14"/>
  <c r="B115" i="14"/>
  <c r="K114" i="14"/>
  <c r="B114" i="14"/>
  <c r="K113" i="14"/>
  <c r="B113" i="14"/>
  <c r="K112" i="14"/>
  <c r="B112" i="14"/>
  <c r="K111" i="14"/>
  <c r="B111" i="14"/>
  <c r="K110" i="14"/>
  <c r="B110" i="14"/>
  <c r="K109" i="14"/>
  <c r="B109" i="14"/>
  <c r="K108" i="14"/>
  <c r="B108" i="14"/>
  <c r="K107" i="14"/>
  <c r="B107" i="14"/>
  <c r="K106" i="14"/>
  <c r="B106" i="14"/>
  <c r="K105" i="14"/>
  <c r="B105" i="14"/>
  <c r="K104" i="14"/>
  <c r="B104" i="14"/>
  <c r="K103" i="14"/>
  <c r="B103" i="14"/>
  <c r="K102" i="14"/>
  <c r="B102" i="14"/>
  <c r="K101" i="14"/>
  <c r="B101" i="14"/>
  <c r="K100" i="14"/>
  <c r="B100" i="14"/>
  <c r="K99" i="14"/>
  <c r="B99" i="14"/>
  <c r="K98" i="14"/>
  <c r="B98" i="14"/>
  <c r="K97" i="14"/>
  <c r="H97" i="14"/>
  <c r="P97" i="14" s="1"/>
  <c r="A97" i="14"/>
  <c r="B97" i="14" s="1"/>
  <c r="K96" i="14"/>
  <c r="H96" i="14"/>
  <c r="P96" i="14" s="1"/>
  <c r="A96" i="14"/>
  <c r="B96" i="14" s="1"/>
  <c r="K95" i="14"/>
  <c r="H95" i="14"/>
  <c r="P95" i="14" s="1"/>
  <c r="A95" i="14"/>
  <c r="B95" i="14" s="1"/>
  <c r="K94" i="14"/>
  <c r="H94" i="14"/>
  <c r="P94" i="14" s="1"/>
  <c r="A94" i="14"/>
  <c r="B94" i="14" s="1"/>
  <c r="K93" i="14"/>
  <c r="H93" i="14"/>
  <c r="P93" i="14" s="1"/>
  <c r="A93" i="14"/>
  <c r="B93" i="14" s="1"/>
  <c r="K92" i="14"/>
  <c r="H92" i="14"/>
  <c r="P92" i="14" s="1"/>
  <c r="A92" i="14"/>
  <c r="B92" i="14" s="1"/>
  <c r="K91" i="14"/>
  <c r="H91" i="14"/>
  <c r="P91" i="14" s="1"/>
  <c r="A91" i="14"/>
  <c r="B91" i="14" s="1"/>
  <c r="K90" i="14"/>
  <c r="H90" i="14"/>
  <c r="P90" i="14" s="1"/>
  <c r="A90" i="14"/>
  <c r="B90" i="14" s="1"/>
  <c r="K89" i="14"/>
  <c r="H89" i="14"/>
  <c r="P89" i="14" s="1"/>
  <c r="A89" i="14"/>
  <c r="B89" i="14" s="1"/>
  <c r="K88" i="14"/>
  <c r="H88" i="14"/>
  <c r="P88" i="14" s="1"/>
  <c r="A88" i="14"/>
  <c r="B88" i="14" s="1"/>
  <c r="K87" i="14"/>
  <c r="H87" i="14"/>
  <c r="P87" i="14" s="1"/>
  <c r="A87" i="14"/>
  <c r="B87" i="14" s="1"/>
  <c r="K86" i="14"/>
  <c r="H86" i="14"/>
  <c r="P86" i="14" s="1"/>
  <c r="A86" i="14"/>
  <c r="B86" i="14" s="1"/>
  <c r="K85" i="14"/>
  <c r="H85" i="14"/>
  <c r="P85" i="14" s="1"/>
  <c r="A85" i="14"/>
  <c r="B85" i="14" s="1"/>
  <c r="K84" i="14"/>
  <c r="H84" i="14"/>
  <c r="P84" i="14" s="1"/>
  <c r="A84" i="14"/>
  <c r="B84" i="14" s="1"/>
  <c r="K83" i="14"/>
  <c r="H83" i="14"/>
  <c r="P83" i="14" s="1"/>
  <c r="A83" i="14"/>
  <c r="B83" i="14" s="1"/>
  <c r="K82" i="14"/>
  <c r="H82" i="14"/>
  <c r="P82" i="14" s="1"/>
  <c r="A82" i="14"/>
  <c r="B82" i="14" s="1"/>
  <c r="K81" i="14"/>
  <c r="H81" i="14"/>
  <c r="P81" i="14" s="1"/>
  <c r="A81" i="14"/>
  <c r="B81" i="14" s="1"/>
  <c r="K80" i="14"/>
  <c r="H80" i="14"/>
  <c r="P80" i="14" s="1"/>
  <c r="A80" i="14"/>
  <c r="B80" i="14" s="1"/>
  <c r="K79" i="14"/>
  <c r="H79" i="14"/>
  <c r="P79" i="14" s="1"/>
  <c r="A79" i="14"/>
  <c r="B79" i="14" s="1"/>
  <c r="K78" i="14"/>
  <c r="H78" i="14"/>
  <c r="P78" i="14" s="1"/>
  <c r="A78" i="14"/>
  <c r="B78" i="14" s="1"/>
  <c r="K77" i="14"/>
  <c r="H77" i="14"/>
  <c r="P77" i="14" s="1"/>
  <c r="A77" i="14"/>
  <c r="B77" i="14" s="1"/>
  <c r="K76" i="14"/>
  <c r="H76" i="14"/>
  <c r="P76" i="14" s="1"/>
  <c r="A76" i="14"/>
  <c r="B76" i="14" s="1"/>
  <c r="K75" i="14"/>
  <c r="H75" i="14"/>
  <c r="P75" i="14" s="1"/>
  <c r="A75" i="14"/>
  <c r="B75" i="14" s="1"/>
  <c r="K74" i="14"/>
  <c r="H74" i="14"/>
  <c r="P74" i="14" s="1"/>
  <c r="A74" i="14"/>
  <c r="B74" i="14" s="1"/>
  <c r="K73" i="14"/>
  <c r="H73" i="14"/>
  <c r="P73" i="14" s="1"/>
  <c r="A73" i="14"/>
  <c r="B73" i="14" s="1"/>
  <c r="K72" i="14"/>
  <c r="H72" i="14"/>
  <c r="P72" i="14" s="1"/>
  <c r="A72" i="14"/>
  <c r="B72" i="14" s="1"/>
  <c r="K71" i="14"/>
  <c r="H71" i="14"/>
  <c r="P71" i="14" s="1"/>
  <c r="A71" i="14"/>
  <c r="B71" i="14" s="1"/>
  <c r="K70" i="14"/>
  <c r="H70" i="14"/>
  <c r="P70" i="14" s="1"/>
  <c r="A70" i="14"/>
  <c r="B70" i="14" s="1"/>
  <c r="K69" i="14"/>
  <c r="H69" i="14"/>
  <c r="P69" i="14" s="1"/>
  <c r="A69" i="14"/>
  <c r="B69" i="14" s="1"/>
  <c r="K68" i="14"/>
  <c r="H68" i="14"/>
  <c r="P68" i="14" s="1"/>
  <c r="A68" i="14"/>
  <c r="B68" i="14" s="1"/>
  <c r="K67" i="14"/>
  <c r="H67" i="14"/>
  <c r="P67" i="14" s="1"/>
  <c r="A67" i="14"/>
  <c r="B67" i="14" s="1"/>
  <c r="K66" i="14"/>
  <c r="H66" i="14"/>
  <c r="P66" i="14" s="1"/>
  <c r="A66" i="14"/>
  <c r="B66" i="14" s="1"/>
  <c r="K65" i="14"/>
  <c r="H65" i="14"/>
  <c r="P65" i="14" s="1"/>
  <c r="A65" i="14"/>
  <c r="B65" i="14" s="1"/>
  <c r="K64" i="14"/>
  <c r="H64" i="14"/>
  <c r="P64" i="14" s="1"/>
  <c r="A64" i="14"/>
  <c r="B64" i="14" s="1"/>
  <c r="K63" i="14"/>
  <c r="H63" i="14"/>
  <c r="P63" i="14" s="1"/>
  <c r="A63" i="14"/>
  <c r="B63" i="14" s="1"/>
  <c r="K62" i="14"/>
  <c r="H62" i="14"/>
  <c r="P62" i="14" s="1"/>
  <c r="A62" i="14"/>
  <c r="B62" i="14" s="1"/>
  <c r="K61" i="14"/>
  <c r="H61" i="14"/>
  <c r="P61" i="14" s="1"/>
  <c r="A61" i="14"/>
  <c r="B61" i="14" s="1"/>
  <c r="K60" i="14"/>
  <c r="H60" i="14"/>
  <c r="P60" i="14" s="1"/>
  <c r="A60" i="14"/>
  <c r="B60" i="14" s="1"/>
  <c r="K59" i="14"/>
  <c r="H59" i="14"/>
  <c r="P59" i="14" s="1"/>
  <c r="A59" i="14"/>
  <c r="B59" i="14" s="1"/>
  <c r="K58" i="14"/>
  <c r="H58" i="14"/>
  <c r="P58" i="14" s="1"/>
  <c r="A58" i="14"/>
  <c r="B58" i="14" s="1"/>
  <c r="K57" i="14"/>
  <c r="H57" i="14"/>
  <c r="P57" i="14" s="1"/>
  <c r="A57" i="14"/>
  <c r="B57" i="14" s="1"/>
  <c r="K56" i="14"/>
  <c r="H56" i="14"/>
  <c r="P56" i="14" s="1"/>
  <c r="A56" i="14"/>
  <c r="B56" i="14" s="1"/>
  <c r="K55" i="14"/>
  <c r="H55" i="14"/>
  <c r="P55" i="14" s="1"/>
  <c r="A55" i="14"/>
  <c r="B55" i="14" s="1"/>
  <c r="K54" i="14"/>
  <c r="H54" i="14"/>
  <c r="P54" i="14" s="1"/>
  <c r="A54" i="14"/>
  <c r="B54" i="14" s="1"/>
  <c r="K53" i="14"/>
  <c r="H53" i="14"/>
  <c r="P53" i="14" s="1"/>
  <c r="A53" i="14"/>
  <c r="B53" i="14" s="1"/>
  <c r="K52" i="14"/>
  <c r="H52" i="14"/>
  <c r="P52" i="14" s="1"/>
  <c r="A52" i="14"/>
  <c r="B52" i="14" s="1"/>
  <c r="K51" i="14"/>
  <c r="H51" i="14"/>
  <c r="P51" i="14" s="1"/>
  <c r="A51" i="14"/>
  <c r="B51" i="14" s="1"/>
  <c r="K50" i="14"/>
  <c r="H50" i="14"/>
  <c r="P50" i="14" s="1"/>
  <c r="A50" i="14"/>
  <c r="B50" i="14" s="1"/>
  <c r="K49" i="14"/>
  <c r="H49" i="14"/>
  <c r="P49" i="14" s="1"/>
  <c r="A49" i="14"/>
  <c r="B49" i="14" s="1"/>
  <c r="K48" i="14"/>
  <c r="H48" i="14"/>
  <c r="P48" i="14" s="1"/>
  <c r="A48" i="14"/>
  <c r="B48" i="14" s="1"/>
  <c r="K47" i="14"/>
  <c r="H47" i="14"/>
  <c r="P47" i="14" s="1"/>
  <c r="A47" i="14"/>
  <c r="B47" i="14" s="1"/>
  <c r="K46" i="14"/>
  <c r="H46" i="14"/>
  <c r="P46" i="14" s="1"/>
  <c r="A46" i="14"/>
  <c r="B46" i="14" s="1"/>
  <c r="K45" i="14"/>
  <c r="H45" i="14"/>
  <c r="P45" i="14" s="1"/>
  <c r="A45" i="14"/>
  <c r="B45" i="14" s="1"/>
  <c r="K44" i="14"/>
  <c r="H44" i="14"/>
  <c r="P44" i="14" s="1"/>
  <c r="A44" i="14"/>
  <c r="B44" i="14" s="1"/>
  <c r="K43" i="14"/>
  <c r="H43" i="14"/>
  <c r="P43" i="14" s="1"/>
  <c r="A43" i="14"/>
  <c r="B43" i="14" s="1"/>
  <c r="K42" i="14"/>
  <c r="H42" i="14"/>
  <c r="P42" i="14" s="1"/>
  <c r="A42" i="14"/>
  <c r="B42" i="14" s="1"/>
  <c r="K41" i="14"/>
  <c r="H41" i="14"/>
  <c r="P41" i="14" s="1"/>
  <c r="A41" i="14"/>
  <c r="B41" i="14" s="1"/>
  <c r="K40" i="14"/>
  <c r="H40" i="14"/>
  <c r="P40" i="14" s="1"/>
  <c r="A40" i="14"/>
  <c r="B40" i="14" s="1"/>
  <c r="K39" i="14"/>
  <c r="H39" i="14"/>
  <c r="P39" i="14" s="1"/>
  <c r="F39" i="14"/>
  <c r="N39" i="14" s="1"/>
  <c r="A39" i="14"/>
  <c r="B39" i="14" s="1"/>
  <c r="K38" i="14"/>
  <c r="H38" i="14"/>
  <c r="P38" i="14" s="1"/>
  <c r="A38" i="14"/>
  <c r="B38" i="14" s="1"/>
  <c r="K37" i="14"/>
  <c r="H37" i="14"/>
  <c r="P37" i="14" s="1"/>
  <c r="A37" i="14"/>
  <c r="B37" i="14" s="1"/>
  <c r="K36" i="14"/>
  <c r="H36" i="14"/>
  <c r="P36" i="14" s="1"/>
  <c r="A36" i="14"/>
  <c r="B36" i="14" s="1"/>
  <c r="K35" i="14"/>
  <c r="H35" i="14"/>
  <c r="P35" i="14" s="1"/>
  <c r="A35" i="14"/>
  <c r="B35" i="14" s="1"/>
  <c r="K34" i="14"/>
  <c r="H34" i="14"/>
  <c r="P34" i="14" s="1"/>
  <c r="A34" i="14"/>
  <c r="B34" i="14" s="1"/>
  <c r="K33" i="14"/>
  <c r="H33" i="14"/>
  <c r="P33" i="14" s="1"/>
  <c r="A33" i="14"/>
  <c r="B33" i="14" s="1"/>
  <c r="K32" i="14"/>
  <c r="H32" i="14"/>
  <c r="P32" i="14" s="1"/>
  <c r="A32" i="14"/>
  <c r="B32" i="14" s="1"/>
  <c r="K31" i="14"/>
  <c r="H31" i="14"/>
  <c r="P31" i="14" s="1"/>
  <c r="A31" i="14"/>
  <c r="B31" i="14" s="1"/>
  <c r="K30" i="14"/>
  <c r="H30" i="14"/>
  <c r="P30" i="14" s="1"/>
  <c r="A30" i="14"/>
  <c r="B30" i="14" s="1"/>
  <c r="K29" i="14"/>
  <c r="H29" i="14"/>
  <c r="P29" i="14" s="1"/>
  <c r="A29" i="14"/>
  <c r="B29" i="14" s="1"/>
  <c r="K28" i="14"/>
  <c r="H28" i="14"/>
  <c r="P28" i="14" s="1"/>
  <c r="A28" i="14"/>
  <c r="B28" i="14" s="1"/>
  <c r="K27" i="14"/>
  <c r="H27" i="14"/>
  <c r="P27" i="14" s="1"/>
  <c r="A27" i="14"/>
  <c r="B27" i="14" s="1"/>
  <c r="K26" i="14"/>
  <c r="H26" i="14"/>
  <c r="P26" i="14" s="1"/>
  <c r="A26" i="14"/>
  <c r="B26" i="14" s="1"/>
  <c r="K25" i="14"/>
  <c r="H25" i="14"/>
  <c r="P25" i="14" s="1"/>
  <c r="A25" i="14"/>
  <c r="B25" i="14" s="1"/>
  <c r="K24" i="14"/>
  <c r="H24" i="14"/>
  <c r="P24" i="14" s="1"/>
  <c r="A24" i="14"/>
  <c r="B24" i="14" s="1"/>
  <c r="K23" i="14"/>
  <c r="H23" i="14"/>
  <c r="P23" i="14" s="1"/>
  <c r="A23" i="14"/>
  <c r="B23" i="14" s="1"/>
  <c r="K22" i="14"/>
  <c r="H22" i="14"/>
  <c r="P22" i="14" s="1"/>
  <c r="A22" i="14"/>
  <c r="B22" i="14" s="1"/>
  <c r="K21" i="14"/>
  <c r="H21" i="14"/>
  <c r="P21" i="14" s="1"/>
  <c r="A21" i="14"/>
  <c r="B21" i="14" s="1"/>
  <c r="K20" i="14"/>
  <c r="H20" i="14"/>
  <c r="P20" i="14" s="1"/>
  <c r="A20" i="14"/>
  <c r="B20" i="14" s="1"/>
  <c r="K19" i="14"/>
  <c r="H19" i="14"/>
  <c r="P19" i="14" s="1"/>
  <c r="A19" i="14"/>
  <c r="B19" i="14" s="1"/>
  <c r="K18" i="14"/>
  <c r="H18" i="14"/>
  <c r="P18" i="14" s="1"/>
  <c r="A18" i="14"/>
  <c r="B18" i="14" s="1"/>
  <c r="K17" i="14"/>
  <c r="H17" i="14"/>
  <c r="P17" i="14" s="1"/>
  <c r="A17" i="14"/>
  <c r="B17" i="14" s="1"/>
  <c r="K16" i="14"/>
  <c r="H16" i="14"/>
  <c r="P16" i="14" s="1"/>
  <c r="A16" i="14"/>
  <c r="B16" i="14" s="1"/>
  <c r="K15" i="14"/>
  <c r="H15" i="14"/>
  <c r="P15" i="14" s="1"/>
  <c r="F15" i="14"/>
  <c r="N15" i="14" s="1"/>
  <c r="A15" i="14"/>
  <c r="B15" i="14" s="1"/>
  <c r="K14" i="14"/>
  <c r="H14" i="14"/>
  <c r="P14" i="14" s="1"/>
  <c r="A14" i="14"/>
  <c r="B14" i="14" s="1"/>
  <c r="K13" i="14"/>
  <c r="H13" i="14"/>
  <c r="P13" i="14" s="1"/>
  <c r="F13" i="14"/>
  <c r="N13" i="14" s="1"/>
  <c r="A13" i="14"/>
  <c r="B13" i="14" s="1"/>
  <c r="K12" i="14"/>
  <c r="H12" i="14"/>
  <c r="P12" i="14" s="1"/>
  <c r="F12" i="14"/>
  <c r="N12" i="14" s="1"/>
  <c r="A12" i="14"/>
  <c r="B12" i="14" s="1"/>
  <c r="K11" i="14"/>
  <c r="H11" i="14"/>
  <c r="P11" i="14" s="1"/>
  <c r="F11" i="14"/>
  <c r="N11" i="14" s="1"/>
  <c r="A11" i="14"/>
  <c r="B11" i="14" s="1"/>
  <c r="K10" i="14"/>
  <c r="H10" i="14"/>
  <c r="P10" i="14" s="1"/>
  <c r="G10" i="14"/>
  <c r="O10" i="14" s="1"/>
  <c r="F10" i="14"/>
  <c r="N10" i="14" s="1"/>
  <c r="A10" i="14"/>
  <c r="B10" i="14" s="1"/>
  <c r="K9" i="14"/>
  <c r="H9" i="14"/>
  <c r="P9" i="14" s="1"/>
  <c r="F9" i="14"/>
  <c r="N9" i="14" s="1"/>
  <c r="A9" i="14"/>
  <c r="B9" i="14" s="1"/>
  <c r="K8" i="14"/>
  <c r="H8" i="14"/>
  <c r="P8" i="14" s="1"/>
  <c r="F8" i="14"/>
  <c r="N8" i="14" s="1"/>
  <c r="A8" i="14"/>
  <c r="B8" i="14" s="1"/>
  <c r="K7" i="14"/>
  <c r="H7" i="14"/>
  <c r="P7" i="14" s="1"/>
  <c r="F7" i="14"/>
  <c r="N7" i="14" s="1"/>
  <c r="A7" i="14"/>
  <c r="B7" i="14" s="1"/>
  <c r="K6" i="14"/>
  <c r="H6" i="14"/>
  <c r="P6" i="14" s="1"/>
  <c r="F6" i="14"/>
  <c r="N6" i="14" s="1"/>
  <c r="A6" i="14"/>
  <c r="B6" i="14" s="1"/>
  <c r="K5" i="14"/>
  <c r="H5" i="14"/>
  <c r="P5" i="14" s="1"/>
  <c r="F5" i="14"/>
  <c r="N5" i="14" s="1"/>
  <c r="A5" i="14"/>
  <c r="B5" i="14" s="1"/>
  <c r="K4" i="14"/>
  <c r="H4" i="14"/>
  <c r="P4" i="14" s="1"/>
  <c r="F4" i="14"/>
  <c r="N4" i="14" s="1"/>
  <c r="A4" i="14"/>
  <c r="B4" i="14" s="1"/>
  <c r="K3" i="14"/>
  <c r="H3" i="14"/>
  <c r="P3" i="14" s="1"/>
  <c r="F3" i="14"/>
  <c r="N3" i="14" s="1"/>
  <c r="A3" i="14"/>
  <c r="B3" i="14" s="1"/>
  <c r="K2" i="14"/>
  <c r="H2" i="14"/>
  <c r="P2" i="14" s="1"/>
  <c r="F2" i="14"/>
  <c r="N2" i="14" s="1"/>
  <c r="A2" i="14"/>
  <c r="B2" i="14" s="1"/>
  <c r="I1" i="14"/>
  <c r="Q1" i="14" s="1"/>
  <c r="H1" i="14"/>
  <c r="P1" i="14" s="1"/>
  <c r="G1" i="14"/>
  <c r="O1" i="14" s="1"/>
  <c r="F1" i="14"/>
  <c r="N1" i="14" s="1"/>
  <c r="E1" i="14"/>
  <c r="M1" i="14" s="1"/>
  <c r="D1" i="14"/>
  <c r="L1" i="14" s="1"/>
  <c r="C1" i="14"/>
  <c r="A1" i="14"/>
  <c r="O97" i="10"/>
  <c r="P97" i="10"/>
  <c r="A97" i="10"/>
  <c r="B97" i="10" s="1"/>
  <c r="O96" i="10"/>
  <c r="P96" i="10"/>
  <c r="A96" i="10"/>
  <c r="B96" i="10" s="1"/>
  <c r="O95" i="10"/>
  <c r="P95" i="10"/>
  <c r="A95" i="10"/>
  <c r="B95" i="10" s="1"/>
  <c r="O94" i="10"/>
  <c r="P94" i="10"/>
  <c r="A94" i="10"/>
  <c r="B94" i="10" s="1"/>
  <c r="O93" i="10"/>
  <c r="P93" i="10"/>
  <c r="A93" i="10"/>
  <c r="B93" i="10" s="1"/>
  <c r="O92" i="10"/>
  <c r="P92" i="10"/>
  <c r="A92" i="10"/>
  <c r="B92" i="10" s="1"/>
  <c r="O91" i="10"/>
  <c r="P91" i="10"/>
  <c r="A91" i="10"/>
  <c r="B91" i="10" s="1"/>
  <c r="O90" i="10"/>
  <c r="P90" i="10"/>
  <c r="A90" i="10"/>
  <c r="B90" i="10" s="1"/>
  <c r="O89" i="10"/>
  <c r="P89" i="10"/>
  <c r="A89" i="10"/>
  <c r="B89" i="10" s="1"/>
  <c r="O88" i="10"/>
  <c r="P88" i="10"/>
  <c r="A88" i="10"/>
  <c r="B88" i="10" s="1"/>
  <c r="O87" i="10"/>
  <c r="P87" i="10"/>
  <c r="A87" i="10"/>
  <c r="B87" i="10" s="1"/>
  <c r="O86" i="10"/>
  <c r="P86" i="10"/>
  <c r="A86" i="10"/>
  <c r="B86" i="10" s="1"/>
  <c r="O85" i="10"/>
  <c r="P85" i="10"/>
  <c r="A85" i="10"/>
  <c r="B85" i="10" s="1"/>
  <c r="O84" i="10"/>
  <c r="P84" i="10"/>
  <c r="A84" i="10"/>
  <c r="B84" i="10" s="1"/>
  <c r="O83" i="10"/>
  <c r="P83" i="10"/>
  <c r="A83" i="10"/>
  <c r="B83" i="10" s="1"/>
  <c r="O82" i="10"/>
  <c r="P82" i="10"/>
  <c r="A82" i="10"/>
  <c r="B82" i="10" s="1"/>
  <c r="O81" i="10"/>
  <c r="P81" i="10"/>
  <c r="A81" i="10"/>
  <c r="B81" i="10" s="1"/>
  <c r="O80" i="10"/>
  <c r="P80" i="10"/>
  <c r="A80" i="10"/>
  <c r="B80" i="10" s="1"/>
  <c r="O79" i="10"/>
  <c r="P79" i="10"/>
  <c r="A79" i="10"/>
  <c r="B79" i="10" s="1"/>
  <c r="O78" i="10"/>
  <c r="P78" i="10"/>
  <c r="A78" i="10"/>
  <c r="B78" i="10" s="1"/>
  <c r="O77" i="10"/>
  <c r="P77" i="10"/>
  <c r="A77" i="10"/>
  <c r="B77" i="10" s="1"/>
  <c r="O76" i="10"/>
  <c r="P76" i="10"/>
  <c r="A76" i="10"/>
  <c r="B76" i="10" s="1"/>
  <c r="O75" i="10"/>
  <c r="P75" i="10"/>
  <c r="A75" i="10"/>
  <c r="B75" i="10" s="1"/>
  <c r="O74" i="10"/>
  <c r="P74" i="10"/>
  <c r="A74" i="10"/>
  <c r="B74" i="10" s="1"/>
  <c r="O73" i="10"/>
  <c r="P73" i="10"/>
  <c r="A73" i="10"/>
  <c r="B73" i="10" s="1"/>
  <c r="O72" i="10"/>
  <c r="P72" i="10"/>
  <c r="A72" i="10"/>
  <c r="B72" i="10" s="1"/>
  <c r="O71" i="10"/>
  <c r="P71" i="10"/>
  <c r="A71" i="10"/>
  <c r="B71" i="10" s="1"/>
  <c r="O70" i="10"/>
  <c r="P70" i="10"/>
  <c r="A70" i="10"/>
  <c r="B70" i="10" s="1"/>
  <c r="O69" i="10"/>
  <c r="P69" i="10"/>
  <c r="A69" i="10"/>
  <c r="B69" i="10" s="1"/>
  <c r="O68" i="10"/>
  <c r="P68" i="10"/>
  <c r="A68" i="10"/>
  <c r="B68" i="10" s="1"/>
  <c r="O67" i="10"/>
  <c r="P67" i="10"/>
  <c r="A67" i="10"/>
  <c r="B67" i="10" s="1"/>
  <c r="O66" i="10"/>
  <c r="P66" i="10"/>
  <c r="A66" i="10"/>
  <c r="B66" i="10" s="1"/>
  <c r="O65" i="10"/>
  <c r="P65" i="10"/>
  <c r="A65" i="10"/>
  <c r="B65" i="10" s="1"/>
  <c r="O64" i="10"/>
  <c r="P64" i="10"/>
  <c r="A64" i="10"/>
  <c r="B64" i="10" s="1"/>
  <c r="O63" i="10"/>
  <c r="P63" i="10"/>
  <c r="A63" i="10"/>
  <c r="B63" i="10" s="1"/>
  <c r="O62" i="10"/>
  <c r="P62" i="10"/>
  <c r="A62" i="10"/>
  <c r="B62" i="10" s="1"/>
  <c r="O61" i="10"/>
  <c r="P61" i="10"/>
  <c r="A61" i="10"/>
  <c r="B61" i="10" s="1"/>
  <c r="O60" i="10"/>
  <c r="P60" i="10"/>
  <c r="A60" i="10"/>
  <c r="B60" i="10" s="1"/>
  <c r="O59" i="10"/>
  <c r="P59" i="10"/>
  <c r="A59" i="10"/>
  <c r="B59" i="10" s="1"/>
  <c r="O58" i="10"/>
  <c r="P58" i="10"/>
  <c r="A58" i="10"/>
  <c r="B58" i="10" s="1"/>
  <c r="O57" i="10"/>
  <c r="P57" i="10"/>
  <c r="A57" i="10"/>
  <c r="B57" i="10" s="1"/>
  <c r="O56" i="10"/>
  <c r="P56" i="10"/>
  <c r="A56" i="10"/>
  <c r="B56" i="10" s="1"/>
  <c r="O55" i="10"/>
  <c r="P55" i="10"/>
  <c r="A55" i="10"/>
  <c r="B55" i="10" s="1"/>
  <c r="O54" i="10"/>
  <c r="P54" i="10"/>
  <c r="A54" i="10"/>
  <c r="B54" i="10" s="1"/>
  <c r="O53" i="10"/>
  <c r="P53" i="10"/>
  <c r="A53" i="10"/>
  <c r="B53" i="10" s="1"/>
  <c r="O52" i="10"/>
  <c r="P52" i="10"/>
  <c r="A52" i="10"/>
  <c r="B52" i="10" s="1"/>
  <c r="O51" i="10"/>
  <c r="P51" i="10"/>
  <c r="A51" i="10"/>
  <c r="B51" i="10" s="1"/>
  <c r="O50" i="10"/>
  <c r="P50" i="10"/>
  <c r="A50" i="10"/>
  <c r="B50" i="10" s="1"/>
  <c r="O49" i="10"/>
  <c r="P49" i="10"/>
  <c r="A49" i="10"/>
  <c r="B49" i="10" s="1"/>
  <c r="O48" i="10"/>
  <c r="P48" i="10"/>
  <c r="A48" i="10"/>
  <c r="B48" i="10" s="1"/>
  <c r="O47" i="10"/>
  <c r="P47" i="10"/>
  <c r="A47" i="10"/>
  <c r="B47" i="10" s="1"/>
  <c r="O46" i="10"/>
  <c r="P46" i="10"/>
  <c r="A46" i="10"/>
  <c r="B46" i="10" s="1"/>
  <c r="O45" i="10"/>
  <c r="P45" i="10"/>
  <c r="A45" i="10"/>
  <c r="B45" i="10" s="1"/>
  <c r="O44" i="10"/>
  <c r="P44" i="10"/>
  <c r="A44" i="10"/>
  <c r="B44" i="10" s="1"/>
  <c r="O43" i="10"/>
  <c r="P43" i="10"/>
  <c r="A43" i="10"/>
  <c r="B43" i="10" s="1"/>
  <c r="O42" i="10"/>
  <c r="P42" i="10"/>
  <c r="A42" i="10"/>
  <c r="B42" i="10" s="1"/>
  <c r="O41" i="10"/>
  <c r="P41" i="10"/>
  <c r="A41" i="10"/>
  <c r="B41" i="10" s="1"/>
  <c r="O40" i="10"/>
  <c r="P40" i="10"/>
  <c r="A40" i="10"/>
  <c r="B40" i="10" s="1"/>
  <c r="O39" i="10"/>
  <c r="P39" i="10"/>
  <c r="A39" i="10"/>
  <c r="B39" i="10" s="1"/>
  <c r="O38" i="10"/>
  <c r="P38" i="10"/>
  <c r="A38" i="10"/>
  <c r="B38" i="10" s="1"/>
  <c r="O37" i="10"/>
  <c r="P37" i="10"/>
  <c r="A37" i="10"/>
  <c r="B37" i="10" s="1"/>
  <c r="O36" i="10"/>
  <c r="P36" i="10"/>
  <c r="A36" i="10"/>
  <c r="B36" i="10" s="1"/>
  <c r="O35" i="10"/>
  <c r="P35" i="10"/>
  <c r="A35" i="10"/>
  <c r="B35" i="10" s="1"/>
  <c r="O34" i="10"/>
  <c r="P34" i="10"/>
  <c r="A34" i="10"/>
  <c r="B34" i="10" s="1"/>
  <c r="O33" i="10"/>
  <c r="P33" i="10"/>
  <c r="A33" i="10"/>
  <c r="B33" i="10" s="1"/>
  <c r="O32" i="10"/>
  <c r="P32" i="10"/>
  <c r="A32" i="10"/>
  <c r="B32" i="10" s="1"/>
  <c r="O31" i="10"/>
  <c r="P31" i="10"/>
  <c r="A31" i="10"/>
  <c r="B31" i="10" s="1"/>
  <c r="O30" i="10"/>
  <c r="P30" i="10"/>
  <c r="A30" i="10"/>
  <c r="B30" i="10" s="1"/>
  <c r="O29" i="10"/>
  <c r="P29" i="10"/>
  <c r="A29" i="10"/>
  <c r="B29" i="10" s="1"/>
  <c r="O28" i="10"/>
  <c r="P28" i="10"/>
  <c r="A28" i="10"/>
  <c r="B28" i="10" s="1"/>
  <c r="O27" i="10"/>
  <c r="P27" i="10"/>
  <c r="A27" i="10"/>
  <c r="B27" i="10" s="1"/>
  <c r="O26" i="10"/>
  <c r="P26" i="10"/>
  <c r="A26" i="10"/>
  <c r="B26" i="10" s="1"/>
  <c r="O25" i="10"/>
  <c r="P25" i="10"/>
  <c r="A25" i="10"/>
  <c r="B25" i="10" s="1"/>
  <c r="O24" i="10"/>
  <c r="P24" i="10"/>
  <c r="A24" i="10"/>
  <c r="B24" i="10" s="1"/>
  <c r="O23" i="10"/>
  <c r="P23" i="10"/>
  <c r="A23" i="10"/>
  <c r="B23" i="10" s="1"/>
  <c r="O22" i="10"/>
  <c r="P22" i="10"/>
  <c r="A22" i="10"/>
  <c r="B22" i="10" s="1"/>
  <c r="O21" i="10"/>
  <c r="P21" i="10"/>
  <c r="A21" i="10"/>
  <c r="B21" i="10" s="1"/>
  <c r="O20" i="10"/>
  <c r="P20" i="10"/>
  <c r="A20" i="10"/>
  <c r="B20" i="10" s="1"/>
  <c r="O19" i="10"/>
  <c r="P19" i="10"/>
  <c r="A19" i="10"/>
  <c r="B19" i="10" s="1"/>
  <c r="O18" i="10"/>
  <c r="P18" i="10"/>
  <c r="A18" i="10"/>
  <c r="B18" i="10" s="1"/>
  <c r="O17" i="10"/>
  <c r="P17" i="10"/>
  <c r="A17" i="10"/>
  <c r="B17" i="10" s="1"/>
  <c r="O16" i="10"/>
  <c r="P16" i="10"/>
  <c r="A16" i="10"/>
  <c r="B16" i="10" s="1"/>
  <c r="O15" i="10"/>
  <c r="P15" i="10"/>
  <c r="A15" i="10"/>
  <c r="B15" i="10" s="1"/>
  <c r="O14" i="10"/>
  <c r="P14" i="10"/>
  <c r="A14" i="10"/>
  <c r="B14" i="10" s="1"/>
  <c r="O13" i="10"/>
  <c r="V13" i="10"/>
  <c r="U13" i="10"/>
  <c r="T13" i="10"/>
  <c r="P13" i="10"/>
  <c r="A13" i="10"/>
  <c r="B13" i="10" s="1"/>
  <c r="O12" i="10"/>
  <c r="V12" i="10"/>
  <c r="U12" i="10"/>
  <c r="T12" i="10"/>
  <c r="P12" i="10"/>
  <c r="A12" i="10"/>
  <c r="B12" i="10" s="1"/>
  <c r="O11" i="10"/>
  <c r="V11" i="10"/>
  <c r="U11" i="10"/>
  <c r="T11" i="10"/>
  <c r="P11" i="10"/>
  <c r="A11" i="10"/>
  <c r="B11" i="10" s="1"/>
  <c r="O10" i="10"/>
  <c r="V10" i="10"/>
  <c r="U10" i="10"/>
  <c r="T10" i="10"/>
  <c r="P10" i="10"/>
  <c r="A10" i="10"/>
  <c r="B10" i="10" s="1"/>
  <c r="O9" i="10"/>
  <c r="V9" i="10"/>
  <c r="U9" i="10"/>
  <c r="T9" i="10"/>
  <c r="P9" i="10"/>
  <c r="A9" i="10"/>
  <c r="B9" i="10" s="1"/>
  <c r="O8" i="10"/>
  <c r="V8" i="10"/>
  <c r="U8" i="10"/>
  <c r="T8" i="10"/>
  <c r="P8" i="10"/>
  <c r="A8" i="10"/>
  <c r="B8" i="10" s="1"/>
  <c r="O7" i="10"/>
  <c r="V7" i="10"/>
  <c r="U7" i="10"/>
  <c r="T7" i="10"/>
  <c r="P7" i="10"/>
  <c r="A7" i="10"/>
  <c r="B7" i="10" s="1"/>
  <c r="O6" i="10"/>
  <c r="V6" i="10"/>
  <c r="U6" i="10"/>
  <c r="T6" i="10"/>
  <c r="P6" i="10"/>
  <c r="A6" i="10"/>
  <c r="B6" i="10" s="1"/>
  <c r="O5" i="10"/>
  <c r="V5" i="10"/>
  <c r="U5" i="10"/>
  <c r="T5" i="10"/>
  <c r="P5" i="10"/>
  <c r="A5" i="10"/>
  <c r="B5" i="10" s="1"/>
  <c r="O4" i="10"/>
  <c r="V4" i="10"/>
  <c r="U4" i="10"/>
  <c r="T4" i="10"/>
  <c r="P4" i="10"/>
  <c r="A4" i="10"/>
  <c r="B4" i="10" s="1"/>
  <c r="O3" i="10"/>
  <c r="V3" i="10"/>
  <c r="U3" i="10"/>
  <c r="T3" i="10"/>
  <c r="P3" i="10"/>
  <c r="A3" i="10"/>
  <c r="B3" i="10" s="1"/>
  <c r="O2" i="10"/>
  <c r="V2" i="10"/>
  <c r="U2" i="10"/>
  <c r="T2" i="10"/>
  <c r="P2" i="10"/>
  <c r="A2" i="10"/>
  <c r="B2" i="10" s="1"/>
  <c r="V1" i="10"/>
  <c r="U1" i="10"/>
  <c r="T1" i="10"/>
  <c r="S1" i="10"/>
  <c r="R1" i="10"/>
  <c r="Q1" i="10"/>
  <c r="P1" i="10"/>
  <c r="C1" i="10"/>
  <c r="A1" i="10"/>
  <c r="L97" i="8"/>
  <c r="A97" i="8"/>
  <c r="B97" i="8" s="1"/>
  <c r="L96" i="8"/>
  <c r="A96" i="8"/>
  <c r="B96" i="8" s="1"/>
  <c r="L95" i="8"/>
  <c r="A95" i="8"/>
  <c r="B95" i="8" s="1"/>
  <c r="L94" i="8"/>
  <c r="A94" i="8"/>
  <c r="B94" i="8" s="1"/>
  <c r="L93" i="8"/>
  <c r="A93" i="8"/>
  <c r="B93" i="8" s="1"/>
  <c r="L92" i="8"/>
  <c r="A92" i="8"/>
  <c r="B92" i="8" s="1"/>
  <c r="L91" i="8"/>
  <c r="A91" i="8"/>
  <c r="B91" i="8" s="1"/>
  <c r="L90" i="8"/>
  <c r="A90" i="8"/>
  <c r="B90" i="8" s="1"/>
  <c r="L89" i="8"/>
  <c r="A89" i="8"/>
  <c r="B89" i="8" s="1"/>
  <c r="L88" i="8"/>
  <c r="A88" i="8"/>
  <c r="B88" i="8" s="1"/>
  <c r="L87" i="8"/>
  <c r="A87" i="8"/>
  <c r="B87" i="8" s="1"/>
  <c r="L86" i="8"/>
  <c r="A86" i="8"/>
  <c r="B86" i="8" s="1"/>
  <c r="L85" i="8"/>
  <c r="A85" i="8"/>
  <c r="B85" i="8" s="1"/>
  <c r="L84" i="8"/>
  <c r="A84" i="8"/>
  <c r="B84" i="8" s="1"/>
  <c r="L83" i="8"/>
  <c r="A83" i="8"/>
  <c r="B83" i="8" s="1"/>
  <c r="L82" i="8"/>
  <c r="A82" i="8"/>
  <c r="B82" i="8" s="1"/>
  <c r="L81" i="8"/>
  <c r="A81" i="8"/>
  <c r="B81" i="8" s="1"/>
  <c r="L80" i="8"/>
  <c r="A80" i="8"/>
  <c r="B80" i="8" s="1"/>
  <c r="L79" i="8"/>
  <c r="A79" i="8"/>
  <c r="B79" i="8" s="1"/>
  <c r="L78" i="8"/>
  <c r="A78" i="8"/>
  <c r="B78" i="8" s="1"/>
  <c r="L77" i="8"/>
  <c r="A77" i="8"/>
  <c r="B77" i="8" s="1"/>
  <c r="L76" i="8"/>
  <c r="A76" i="8"/>
  <c r="B76" i="8" s="1"/>
  <c r="L75" i="8"/>
  <c r="A75" i="8"/>
  <c r="B75" i="8" s="1"/>
  <c r="L74" i="8"/>
  <c r="A74" i="8"/>
  <c r="B74" i="8" s="1"/>
  <c r="L73" i="8"/>
  <c r="A73" i="8"/>
  <c r="B73" i="8" s="1"/>
  <c r="L72" i="8"/>
  <c r="A72" i="8"/>
  <c r="B72" i="8" s="1"/>
  <c r="L71" i="8"/>
  <c r="A71" i="8"/>
  <c r="B71" i="8" s="1"/>
  <c r="L70" i="8"/>
  <c r="A70" i="8"/>
  <c r="B70" i="8" s="1"/>
  <c r="L69" i="8"/>
  <c r="A69" i="8"/>
  <c r="B69" i="8" s="1"/>
  <c r="L68" i="8"/>
  <c r="A68" i="8"/>
  <c r="B68" i="8" s="1"/>
  <c r="L67" i="8"/>
  <c r="A67" i="8"/>
  <c r="B67" i="8" s="1"/>
  <c r="L66" i="8"/>
  <c r="A66" i="8"/>
  <c r="B66" i="8" s="1"/>
  <c r="L65" i="8"/>
  <c r="A65" i="8"/>
  <c r="B65" i="8" s="1"/>
  <c r="L64" i="8"/>
  <c r="A64" i="8"/>
  <c r="B64" i="8" s="1"/>
  <c r="L63" i="8"/>
  <c r="A63" i="8"/>
  <c r="B63" i="8" s="1"/>
  <c r="L62" i="8"/>
  <c r="A62" i="8"/>
  <c r="B62" i="8" s="1"/>
  <c r="L61" i="8"/>
  <c r="A61" i="8"/>
  <c r="B61" i="8" s="1"/>
  <c r="L60" i="8"/>
  <c r="A60" i="8"/>
  <c r="B60" i="8" s="1"/>
  <c r="L59" i="8"/>
  <c r="A59" i="8"/>
  <c r="B59" i="8" s="1"/>
  <c r="L58" i="8"/>
  <c r="A58" i="8"/>
  <c r="B58" i="8" s="1"/>
  <c r="L57" i="8"/>
  <c r="A57" i="8"/>
  <c r="B57" i="8" s="1"/>
  <c r="L56" i="8"/>
  <c r="A56" i="8"/>
  <c r="B56" i="8" s="1"/>
  <c r="L55" i="8"/>
  <c r="A55" i="8"/>
  <c r="B55" i="8" s="1"/>
  <c r="L54" i="8"/>
  <c r="A54" i="8"/>
  <c r="B54" i="8" s="1"/>
  <c r="L53" i="8"/>
  <c r="A53" i="8"/>
  <c r="B53" i="8" s="1"/>
  <c r="L52" i="8"/>
  <c r="A52" i="8"/>
  <c r="B52" i="8" s="1"/>
  <c r="L51" i="8"/>
  <c r="A51" i="8"/>
  <c r="B51" i="8" s="1"/>
  <c r="L50" i="8"/>
  <c r="A50" i="8"/>
  <c r="B50" i="8" s="1"/>
  <c r="L49" i="8"/>
  <c r="A49" i="8"/>
  <c r="B49" i="8" s="1"/>
  <c r="L48" i="8"/>
  <c r="A48" i="8"/>
  <c r="B48" i="8" s="1"/>
  <c r="L47" i="8"/>
  <c r="A47" i="8"/>
  <c r="B47" i="8" s="1"/>
  <c r="L46" i="8"/>
  <c r="A46" i="8"/>
  <c r="B46" i="8" s="1"/>
  <c r="L45" i="8"/>
  <c r="A45" i="8"/>
  <c r="B45" i="8" s="1"/>
  <c r="L44" i="8"/>
  <c r="A44" i="8"/>
  <c r="B44" i="8" s="1"/>
  <c r="L43" i="8"/>
  <c r="A43" i="8"/>
  <c r="B43" i="8" s="1"/>
  <c r="L42" i="8"/>
  <c r="A42" i="8"/>
  <c r="B42" i="8" s="1"/>
  <c r="L41" i="8"/>
  <c r="A41" i="8"/>
  <c r="B41" i="8" s="1"/>
  <c r="L40" i="8"/>
  <c r="A40" i="8"/>
  <c r="B40" i="8" s="1"/>
  <c r="L39" i="8"/>
  <c r="G39" i="8"/>
  <c r="P39" i="8" s="1"/>
  <c r="A39" i="8"/>
  <c r="B39" i="8" s="1"/>
  <c r="L38" i="8"/>
  <c r="A38" i="8"/>
  <c r="B38" i="8" s="1"/>
  <c r="L37" i="8"/>
  <c r="A37" i="8"/>
  <c r="B37" i="8" s="1"/>
  <c r="L36" i="8"/>
  <c r="A36" i="8"/>
  <c r="B36" i="8" s="1"/>
  <c r="L35" i="8"/>
  <c r="A35" i="8"/>
  <c r="B35" i="8" s="1"/>
  <c r="L34" i="8"/>
  <c r="A34" i="8"/>
  <c r="B34" i="8" s="1"/>
  <c r="L33" i="8"/>
  <c r="A33" i="8"/>
  <c r="B33" i="8" s="1"/>
  <c r="L32" i="8"/>
  <c r="A32" i="8"/>
  <c r="B32" i="8" s="1"/>
  <c r="L31" i="8"/>
  <c r="A31" i="8"/>
  <c r="B31" i="8" s="1"/>
  <c r="L30" i="8"/>
  <c r="A30" i="8"/>
  <c r="B30" i="8" s="1"/>
  <c r="L29" i="8"/>
  <c r="A29" i="8"/>
  <c r="B29" i="8" s="1"/>
  <c r="L28" i="8"/>
  <c r="A28" i="8"/>
  <c r="B28" i="8" s="1"/>
  <c r="L27" i="8"/>
  <c r="A27" i="8"/>
  <c r="B27" i="8" s="1"/>
  <c r="L26" i="8"/>
  <c r="A26" i="8"/>
  <c r="B26" i="8" s="1"/>
  <c r="L25" i="8"/>
  <c r="A25" i="8"/>
  <c r="B25" i="8" s="1"/>
  <c r="L24" i="8"/>
  <c r="A24" i="8"/>
  <c r="B24" i="8" s="1"/>
  <c r="L23" i="8"/>
  <c r="A23" i="8"/>
  <c r="B23" i="8" s="1"/>
  <c r="L22" i="8"/>
  <c r="A22" i="8"/>
  <c r="B22" i="8" s="1"/>
  <c r="L21" i="8"/>
  <c r="A21" i="8"/>
  <c r="B21" i="8" s="1"/>
  <c r="L20" i="8"/>
  <c r="A20" i="8"/>
  <c r="B20" i="8" s="1"/>
  <c r="L19" i="8"/>
  <c r="A19" i="8"/>
  <c r="B19" i="8" s="1"/>
  <c r="L18" i="8"/>
  <c r="A18" i="8"/>
  <c r="B18" i="8" s="1"/>
  <c r="L17" i="8"/>
  <c r="A17" i="8"/>
  <c r="B17" i="8" s="1"/>
  <c r="L16" i="8"/>
  <c r="A16" i="8"/>
  <c r="B16" i="8" s="1"/>
  <c r="L15" i="8"/>
  <c r="G15" i="8"/>
  <c r="P15" i="8" s="1"/>
  <c r="A15" i="8"/>
  <c r="B15" i="8" s="1"/>
  <c r="L14" i="8"/>
  <c r="A14" i="8"/>
  <c r="B14" i="8" s="1"/>
  <c r="L13" i="8"/>
  <c r="J13" i="8"/>
  <c r="S13" i="8" s="1"/>
  <c r="I13" i="8"/>
  <c r="R13" i="8" s="1"/>
  <c r="G13" i="8"/>
  <c r="P13" i="8" s="1"/>
  <c r="A13" i="8"/>
  <c r="B13" i="8" s="1"/>
  <c r="L12" i="8"/>
  <c r="J12" i="8"/>
  <c r="S12" i="8" s="1"/>
  <c r="I12" i="8"/>
  <c r="R12" i="8" s="1"/>
  <c r="G12" i="8"/>
  <c r="P12" i="8" s="1"/>
  <c r="A12" i="8"/>
  <c r="B12" i="8" s="1"/>
  <c r="L11" i="8"/>
  <c r="J11" i="8"/>
  <c r="S11" i="8" s="1"/>
  <c r="I11" i="8"/>
  <c r="R11" i="8" s="1"/>
  <c r="G11" i="8"/>
  <c r="P11" i="8" s="1"/>
  <c r="A11" i="8"/>
  <c r="B11" i="8" s="1"/>
  <c r="L10" i="8"/>
  <c r="J10" i="8"/>
  <c r="S10" i="8" s="1"/>
  <c r="I10" i="8"/>
  <c r="R10" i="8" s="1"/>
  <c r="H10" i="8"/>
  <c r="Q10" i="8" s="1"/>
  <c r="G10" i="8"/>
  <c r="P10" i="8" s="1"/>
  <c r="A10" i="8"/>
  <c r="B10" i="8" s="1"/>
  <c r="L9" i="8"/>
  <c r="J9" i="8"/>
  <c r="S9" i="8" s="1"/>
  <c r="I9" i="8"/>
  <c r="R9" i="8" s="1"/>
  <c r="G9" i="8"/>
  <c r="P9" i="8" s="1"/>
  <c r="A9" i="8"/>
  <c r="B9" i="8" s="1"/>
  <c r="L8" i="8"/>
  <c r="J8" i="8"/>
  <c r="S8" i="8" s="1"/>
  <c r="I8" i="8"/>
  <c r="R8" i="8" s="1"/>
  <c r="G8" i="8"/>
  <c r="P8" i="8" s="1"/>
  <c r="A8" i="8"/>
  <c r="B8" i="8" s="1"/>
  <c r="L7" i="8"/>
  <c r="J7" i="8"/>
  <c r="S7" i="8" s="1"/>
  <c r="I7" i="8"/>
  <c r="R7" i="8" s="1"/>
  <c r="G7" i="8"/>
  <c r="P7" i="8" s="1"/>
  <c r="A7" i="8"/>
  <c r="B7" i="8" s="1"/>
  <c r="L6" i="8"/>
  <c r="J6" i="8"/>
  <c r="S6" i="8" s="1"/>
  <c r="I6" i="8"/>
  <c r="R6" i="8" s="1"/>
  <c r="G6" i="8"/>
  <c r="P6" i="8" s="1"/>
  <c r="A6" i="8"/>
  <c r="B6" i="8" s="1"/>
  <c r="L5" i="8"/>
  <c r="J5" i="8"/>
  <c r="S5" i="8" s="1"/>
  <c r="I5" i="8"/>
  <c r="R5" i="8" s="1"/>
  <c r="G5" i="8"/>
  <c r="P5" i="8" s="1"/>
  <c r="A5" i="8"/>
  <c r="B5" i="8" s="1"/>
  <c r="L4" i="8"/>
  <c r="J4" i="8"/>
  <c r="S4" i="8" s="1"/>
  <c r="I4" i="8"/>
  <c r="R4" i="8" s="1"/>
  <c r="G4" i="8"/>
  <c r="P4" i="8" s="1"/>
  <c r="A4" i="8"/>
  <c r="B4" i="8" s="1"/>
  <c r="L3" i="8"/>
  <c r="J3" i="8"/>
  <c r="S3" i="8" s="1"/>
  <c r="I3" i="8"/>
  <c r="R3" i="8" s="1"/>
  <c r="G3" i="8"/>
  <c r="P3" i="8" s="1"/>
  <c r="A3" i="8"/>
  <c r="B3" i="8" s="1"/>
  <c r="L2" i="8"/>
  <c r="J2" i="8"/>
  <c r="S2" i="8" s="1"/>
  <c r="I2" i="8"/>
  <c r="R2" i="8" s="1"/>
  <c r="G2" i="8"/>
  <c r="P2" i="8" s="1"/>
  <c r="A2" i="8"/>
  <c r="B2" i="8" s="1"/>
  <c r="J1" i="8"/>
  <c r="S1" i="8" s="1"/>
  <c r="I1" i="8"/>
  <c r="R1" i="8" s="1"/>
  <c r="H1" i="8"/>
  <c r="Q1" i="8" s="1"/>
  <c r="G1" i="8"/>
  <c r="P1" i="8" s="1"/>
  <c r="F1" i="8"/>
  <c r="O1" i="8" s="1"/>
  <c r="E1" i="8"/>
  <c r="N1" i="8" s="1"/>
  <c r="D1" i="8"/>
  <c r="M1" i="8" s="1"/>
  <c r="C1" i="8"/>
  <c r="A1" i="8"/>
  <c r="K97" i="6"/>
  <c r="H97" i="6"/>
  <c r="P97" i="6" s="1"/>
  <c r="A97" i="6"/>
  <c r="B97" i="6" s="1"/>
  <c r="K96" i="6"/>
  <c r="H96" i="6"/>
  <c r="P96" i="6" s="1"/>
  <c r="A96" i="6"/>
  <c r="B96" i="6" s="1"/>
  <c r="K95" i="6"/>
  <c r="H95" i="6"/>
  <c r="P95" i="6" s="1"/>
  <c r="A95" i="6"/>
  <c r="B95" i="6" s="1"/>
  <c r="K94" i="6"/>
  <c r="H94" i="6"/>
  <c r="P94" i="6" s="1"/>
  <c r="A94" i="6"/>
  <c r="B94" i="6" s="1"/>
  <c r="K93" i="6"/>
  <c r="H93" i="6"/>
  <c r="P93" i="6" s="1"/>
  <c r="A93" i="6"/>
  <c r="B93" i="6" s="1"/>
  <c r="K92" i="6"/>
  <c r="H92" i="6"/>
  <c r="P92" i="6" s="1"/>
  <c r="A92" i="6"/>
  <c r="B92" i="6" s="1"/>
  <c r="K91" i="6"/>
  <c r="H91" i="6"/>
  <c r="P91" i="6" s="1"/>
  <c r="A91" i="6"/>
  <c r="B91" i="6" s="1"/>
  <c r="K90" i="6"/>
  <c r="H90" i="6"/>
  <c r="P90" i="6" s="1"/>
  <c r="A90" i="6"/>
  <c r="B90" i="6" s="1"/>
  <c r="K89" i="6"/>
  <c r="H89" i="6"/>
  <c r="P89" i="6" s="1"/>
  <c r="A89" i="6"/>
  <c r="B89" i="6" s="1"/>
  <c r="K88" i="6"/>
  <c r="H88" i="6"/>
  <c r="P88" i="6" s="1"/>
  <c r="A88" i="6"/>
  <c r="B88" i="6" s="1"/>
  <c r="K87" i="6"/>
  <c r="H87" i="6"/>
  <c r="P87" i="6" s="1"/>
  <c r="A87" i="6"/>
  <c r="B87" i="6" s="1"/>
  <c r="K86" i="6"/>
  <c r="H86" i="6"/>
  <c r="P86" i="6" s="1"/>
  <c r="A86" i="6"/>
  <c r="B86" i="6" s="1"/>
  <c r="K85" i="6"/>
  <c r="H85" i="6"/>
  <c r="P85" i="6" s="1"/>
  <c r="A85" i="6"/>
  <c r="B85" i="6" s="1"/>
  <c r="K84" i="6"/>
  <c r="H84" i="6"/>
  <c r="P84" i="6" s="1"/>
  <c r="A84" i="6"/>
  <c r="B84" i="6" s="1"/>
  <c r="K83" i="6"/>
  <c r="H83" i="6"/>
  <c r="P83" i="6" s="1"/>
  <c r="A83" i="6"/>
  <c r="B83" i="6" s="1"/>
  <c r="K82" i="6"/>
  <c r="H82" i="6"/>
  <c r="P82" i="6" s="1"/>
  <c r="A82" i="6"/>
  <c r="B82" i="6" s="1"/>
  <c r="K81" i="6"/>
  <c r="H81" i="6"/>
  <c r="P81" i="6" s="1"/>
  <c r="A81" i="6"/>
  <c r="B81" i="6" s="1"/>
  <c r="K80" i="6"/>
  <c r="H80" i="6"/>
  <c r="P80" i="6" s="1"/>
  <c r="A80" i="6"/>
  <c r="B80" i="6" s="1"/>
  <c r="K79" i="6"/>
  <c r="H79" i="6"/>
  <c r="P79" i="6" s="1"/>
  <c r="A79" i="6"/>
  <c r="B79" i="6" s="1"/>
  <c r="K78" i="6"/>
  <c r="H78" i="6"/>
  <c r="P78" i="6" s="1"/>
  <c r="A78" i="6"/>
  <c r="B78" i="6" s="1"/>
  <c r="K77" i="6"/>
  <c r="H77" i="6"/>
  <c r="P77" i="6" s="1"/>
  <c r="A77" i="6"/>
  <c r="B77" i="6" s="1"/>
  <c r="K76" i="6"/>
  <c r="H76" i="6"/>
  <c r="P76" i="6" s="1"/>
  <c r="A76" i="6"/>
  <c r="B76" i="6" s="1"/>
  <c r="K75" i="6"/>
  <c r="H75" i="6"/>
  <c r="P75" i="6" s="1"/>
  <c r="A75" i="6"/>
  <c r="B75" i="6" s="1"/>
  <c r="K74" i="6"/>
  <c r="H74" i="6"/>
  <c r="P74" i="6" s="1"/>
  <c r="A74" i="6"/>
  <c r="B74" i="6" s="1"/>
  <c r="K73" i="6"/>
  <c r="H73" i="6"/>
  <c r="P73" i="6" s="1"/>
  <c r="A73" i="6"/>
  <c r="B73" i="6" s="1"/>
  <c r="K72" i="6"/>
  <c r="H72" i="6"/>
  <c r="P72" i="6" s="1"/>
  <c r="A72" i="6"/>
  <c r="B72" i="6" s="1"/>
  <c r="K71" i="6"/>
  <c r="H71" i="6"/>
  <c r="P71" i="6" s="1"/>
  <c r="A71" i="6"/>
  <c r="B71" i="6" s="1"/>
  <c r="K70" i="6"/>
  <c r="H70" i="6"/>
  <c r="P70" i="6" s="1"/>
  <c r="A70" i="6"/>
  <c r="B70" i="6" s="1"/>
  <c r="K69" i="6"/>
  <c r="H69" i="6"/>
  <c r="P69" i="6" s="1"/>
  <c r="A69" i="6"/>
  <c r="B69" i="6" s="1"/>
  <c r="K68" i="6"/>
  <c r="H68" i="6"/>
  <c r="P68" i="6" s="1"/>
  <c r="A68" i="6"/>
  <c r="B68" i="6" s="1"/>
  <c r="K67" i="6"/>
  <c r="H67" i="6"/>
  <c r="P67" i="6" s="1"/>
  <c r="A67" i="6"/>
  <c r="B67" i="6" s="1"/>
  <c r="K66" i="6"/>
  <c r="H66" i="6"/>
  <c r="P66" i="6" s="1"/>
  <c r="A66" i="6"/>
  <c r="B66" i="6" s="1"/>
  <c r="K65" i="6"/>
  <c r="H65" i="6"/>
  <c r="P65" i="6" s="1"/>
  <c r="A65" i="6"/>
  <c r="B65" i="6" s="1"/>
  <c r="K64" i="6"/>
  <c r="H64" i="6"/>
  <c r="P64" i="6" s="1"/>
  <c r="A64" i="6"/>
  <c r="B64" i="6" s="1"/>
  <c r="K63" i="6"/>
  <c r="H63" i="6"/>
  <c r="P63" i="6" s="1"/>
  <c r="A63" i="6"/>
  <c r="B63" i="6" s="1"/>
  <c r="K62" i="6"/>
  <c r="H62" i="6"/>
  <c r="P62" i="6" s="1"/>
  <c r="A62" i="6"/>
  <c r="B62" i="6" s="1"/>
  <c r="K61" i="6"/>
  <c r="H61" i="6"/>
  <c r="P61" i="6" s="1"/>
  <c r="A61" i="6"/>
  <c r="B61" i="6" s="1"/>
  <c r="K60" i="6"/>
  <c r="H60" i="6"/>
  <c r="P60" i="6" s="1"/>
  <c r="A60" i="6"/>
  <c r="B60" i="6" s="1"/>
  <c r="K59" i="6"/>
  <c r="H59" i="6"/>
  <c r="P59" i="6" s="1"/>
  <c r="A59" i="6"/>
  <c r="B59" i="6" s="1"/>
  <c r="K58" i="6"/>
  <c r="H58" i="6"/>
  <c r="P58" i="6" s="1"/>
  <c r="A58" i="6"/>
  <c r="B58" i="6" s="1"/>
  <c r="K57" i="6"/>
  <c r="H57" i="6"/>
  <c r="P57" i="6" s="1"/>
  <c r="A57" i="6"/>
  <c r="B57" i="6" s="1"/>
  <c r="K56" i="6"/>
  <c r="H56" i="6"/>
  <c r="P56" i="6" s="1"/>
  <c r="A56" i="6"/>
  <c r="B56" i="6" s="1"/>
  <c r="K55" i="6"/>
  <c r="H55" i="6"/>
  <c r="P55" i="6" s="1"/>
  <c r="A55" i="6"/>
  <c r="B55" i="6" s="1"/>
  <c r="K54" i="6"/>
  <c r="H54" i="6"/>
  <c r="P54" i="6" s="1"/>
  <c r="A54" i="6"/>
  <c r="B54" i="6" s="1"/>
  <c r="K53" i="6"/>
  <c r="H53" i="6"/>
  <c r="P53" i="6" s="1"/>
  <c r="A53" i="6"/>
  <c r="B53" i="6" s="1"/>
  <c r="K52" i="6"/>
  <c r="H52" i="6"/>
  <c r="P52" i="6" s="1"/>
  <c r="A52" i="6"/>
  <c r="B52" i="6" s="1"/>
  <c r="K51" i="6"/>
  <c r="H51" i="6"/>
  <c r="P51" i="6" s="1"/>
  <c r="A51" i="6"/>
  <c r="B51" i="6" s="1"/>
  <c r="K50" i="6"/>
  <c r="H50" i="6"/>
  <c r="P50" i="6" s="1"/>
  <c r="A50" i="6"/>
  <c r="B50" i="6" s="1"/>
  <c r="K49" i="6"/>
  <c r="H49" i="6"/>
  <c r="P49" i="6" s="1"/>
  <c r="A49" i="6"/>
  <c r="B49" i="6" s="1"/>
  <c r="K48" i="6"/>
  <c r="H48" i="6"/>
  <c r="P48" i="6" s="1"/>
  <c r="A48" i="6"/>
  <c r="B48" i="6" s="1"/>
  <c r="K47" i="6"/>
  <c r="H47" i="6"/>
  <c r="P47" i="6" s="1"/>
  <c r="A47" i="6"/>
  <c r="B47" i="6" s="1"/>
  <c r="K46" i="6"/>
  <c r="H46" i="6"/>
  <c r="P46" i="6" s="1"/>
  <c r="A46" i="6"/>
  <c r="B46" i="6" s="1"/>
  <c r="K45" i="6"/>
  <c r="H45" i="6"/>
  <c r="P45" i="6" s="1"/>
  <c r="A45" i="6"/>
  <c r="B45" i="6" s="1"/>
  <c r="K44" i="6"/>
  <c r="H44" i="6"/>
  <c r="P44" i="6" s="1"/>
  <c r="A44" i="6"/>
  <c r="B44" i="6" s="1"/>
  <c r="K43" i="6"/>
  <c r="H43" i="6"/>
  <c r="P43" i="6" s="1"/>
  <c r="A43" i="6"/>
  <c r="B43" i="6" s="1"/>
  <c r="K42" i="6"/>
  <c r="H42" i="6"/>
  <c r="P42" i="6" s="1"/>
  <c r="A42" i="6"/>
  <c r="B42" i="6" s="1"/>
  <c r="K41" i="6"/>
  <c r="H41" i="6"/>
  <c r="P41" i="6" s="1"/>
  <c r="A41" i="6"/>
  <c r="B41" i="6" s="1"/>
  <c r="K40" i="6"/>
  <c r="H40" i="6"/>
  <c r="P40" i="6" s="1"/>
  <c r="A40" i="6"/>
  <c r="B40" i="6" s="1"/>
  <c r="K39" i="6"/>
  <c r="H39" i="6"/>
  <c r="P39" i="6" s="1"/>
  <c r="F39" i="6"/>
  <c r="N39" i="6" s="1"/>
  <c r="A39" i="6"/>
  <c r="B39" i="6" s="1"/>
  <c r="K38" i="6"/>
  <c r="H38" i="6"/>
  <c r="P38" i="6" s="1"/>
  <c r="A38" i="6"/>
  <c r="B38" i="6" s="1"/>
  <c r="K37" i="6"/>
  <c r="H37" i="6"/>
  <c r="P37" i="6" s="1"/>
  <c r="A37" i="6"/>
  <c r="B37" i="6" s="1"/>
  <c r="K36" i="6"/>
  <c r="H36" i="6"/>
  <c r="P36" i="6" s="1"/>
  <c r="A36" i="6"/>
  <c r="B36" i="6" s="1"/>
  <c r="K35" i="6"/>
  <c r="H35" i="6"/>
  <c r="P35" i="6" s="1"/>
  <c r="A35" i="6"/>
  <c r="B35" i="6" s="1"/>
  <c r="K34" i="6"/>
  <c r="H34" i="6"/>
  <c r="P34" i="6" s="1"/>
  <c r="A34" i="6"/>
  <c r="B34" i="6" s="1"/>
  <c r="K33" i="6"/>
  <c r="H33" i="6"/>
  <c r="P33" i="6" s="1"/>
  <c r="A33" i="6"/>
  <c r="B33" i="6" s="1"/>
  <c r="K32" i="6"/>
  <c r="H32" i="6"/>
  <c r="P32" i="6" s="1"/>
  <c r="A32" i="6"/>
  <c r="B32" i="6" s="1"/>
  <c r="K31" i="6"/>
  <c r="H31" i="6"/>
  <c r="P31" i="6" s="1"/>
  <c r="A31" i="6"/>
  <c r="B31" i="6" s="1"/>
  <c r="K30" i="6"/>
  <c r="H30" i="6"/>
  <c r="P30" i="6" s="1"/>
  <c r="A30" i="6"/>
  <c r="B30" i="6" s="1"/>
  <c r="K29" i="6"/>
  <c r="H29" i="6"/>
  <c r="P29" i="6" s="1"/>
  <c r="A29" i="6"/>
  <c r="B29" i="6" s="1"/>
  <c r="K28" i="6"/>
  <c r="H28" i="6"/>
  <c r="P28" i="6" s="1"/>
  <c r="A28" i="6"/>
  <c r="B28" i="6" s="1"/>
  <c r="K27" i="6"/>
  <c r="H27" i="6"/>
  <c r="P27" i="6" s="1"/>
  <c r="A27" i="6"/>
  <c r="B27" i="6" s="1"/>
  <c r="K26" i="6"/>
  <c r="H26" i="6"/>
  <c r="P26" i="6" s="1"/>
  <c r="A26" i="6"/>
  <c r="B26" i="6" s="1"/>
  <c r="K25" i="6"/>
  <c r="H25" i="6"/>
  <c r="P25" i="6" s="1"/>
  <c r="A25" i="6"/>
  <c r="B25" i="6" s="1"/>
  <c r="K24" i="6"/>
  <c r="H24" i="6"/>
  <c r="P24" i="6" s="1"/>
  <c r="A24" i="6"/>
  <c r="B24" i="6" s="1"/>
  <c r="K23" i="6"/>
  <c r="H23" i="6"/>
  <c r="P23" i="6" s="1"/>
  <c r="A23" i="6"/>
  <c r="B23" i="6" s="1"/>
  <c r="K22" i="6"/>
  <c r="H22" i="6"/>
  <c r="P22" i="6" s="1"/>
  <c r="A22" i="6"/>
  <c r="B22" i="6" s="1"/>
  <c r="K21" i="6"/>
  <c r="H21" i="6"/>
  <c r="P21" i="6" s="1"/>
  <c r="A21" i="6"/>
  <c r="B21" i="6" s="1"/>
  <c r="K20" i="6"/>
  <c r="H20" i="6"/>
  <c r="P20" i="6" s="1"/>
  <c r="A20" i="6"/>
  <c r="B20" i="6" s="1"/>
  <c r="K19" i="6"/>
  <c r="H19" i="6"/>
  <c r="P19" i="6" s="1"/>
  <c r="A19" i="6"/>
  <c r="B19" i="6" s="1"/>
  <c r="K18" i="6"/>
  <c r="H18" i="6"/>
  <c r="P18" i="6" s="1"/>
  <c r="A18" i="6"/>
  <c r="B18" i="6" s="1"/>
  <c r="K17" i="6"/>
  <c r="H17" i="6"/>
  <c r="P17" i="6" s="1"/>
  <c r="A17" i="6"/>
  <c r="B17" i="6" s="1"/>
  <c r="K16" i="6"/>
  <c r="H16" i="6"/>
  <c r="P16" i="6" s="1"/>
  <c r="A16" i="6"/>
  <c r="B16" i="6" s="1"/>
  <c r="K15" i="6"/>
  <c r="H15" i="6"/>
  <c r="P15" i="6" s="1"/>
  <c r="F15" i="6"/>
  <c r="N15" i="6" s="1"/>
  <c r="A15" i="6"/>
  <c r="B15" i="6" s="1"/>
  <c r="K14" i="6"/>
  <c r="H14" i="6"/>
  <c r="P14" i="6" s="1"/>
  <c r="A14" i="6"/>
  <c r="B14" i="6" s="1"/>
  <c r="K13" i="6"/>
  <c r="H13" i="6"/>
  <c r="P13" i="6" s="1"/>
  <c r="F13" i="6"/>
  <c r="N13" i="6" s="1"/>
  <c r="A13" i="6"/>
  <c r="B13" i="6" s="1"/>
  <c r="K12" i="6"/>
  <c r="H12" i="6"/>
  <c r="P12" i="6" s="1"/>
  <c r="F12" i="6"/>
  <c r="N12" i="6" s="1"/>
  <c r="A12" i="6"/>
  <c r="B12" i="6" s="1"/>
  <c r="K11" i="6"/>
  <c r="H11" i="6"/>
  <c r="P11" i="6" s="1"/>
  <c r="F11" i="6"/>
  <c r="N11" i="6" s="1"/>
  <c r="A11" i="6"/>
  <c r="B11" i="6" s="1"/>
  <c r="K10" i="6"/>
  <c r="H10" i="6"/>
  <c r="P10" i="6" s="1"/>
  <c r="G10" i="6"/>
  <c r="O10" i="6" s="1"/>
  <c r="F10" i="6"/>
  <c r="N10" i="6" s="1"/>
  <c r="A10" i="6"/>
  <c r="B10" i="6" s="1"/>
  <c r="K9" i="6"/>
  <c r="H9" i="6"/>
  <c r="P9" i="6" s="1"/>
  <c r="F9" i="6"/>
  <c r="N9" i="6" s="1"/>
  <c r="A9" i="6"/>
  <c r="B9" i="6" s="1"/>
  <c r="K8" i="6"/>
  <c r="H8" i="6"/>
  <c r="P8" i="6" s="1"/>
  <c r="F8" i="6"/>
  <c r="N8" i="6" s="1"/>
  <c r="A8" i="6"/>
  <c r="B8" i="6" s="1"/>
  <c r="K7" i="6"/>
  <c r="H7" i="6"/>
  <c r="P7" i="6" s="1"/>
  <c r="F7" i="6"/>
  <c r="N7" i="6" s="1"/>
  <c r="A7" i="6"/>
  <c r="B7" i="6" s="1"/>
  <c r="K6" i="6"/>
  <c r="H6" i="6"/>
  <c r="P6" i="6" s="1"/>
  <c r="F6" i="6"/>
  <c r="N6" i="6" s="1"/>
  <c r="A6" i="6"/>
  <c r="B6" i="6" s="1"/>
  <c r="K5" i="6"/>
  <c r="H5" i="6"/>
  <c r="P5" i="6" s="1"/>
  <c r="F5" i="6"/>
  <c r="N5" i="6" s="1"/>
  <c r="A5" i="6"/>
  <c r="B5" i="6" s="1"/>
  <c r="K4" i="6"/>
  <c r="H4" i="6"/>
  <c r="P4" i="6" s="1"/>
  <c r="F4" i="6"/>
  <c r="N4" i="6" s="1"/>
  <c r="A4" i="6"/>
  <c r="B4" i="6" s="1"/>
  <c r="K3" i="6"/>
  <c r="H3" i="6"/>
  <c r="P3" i="6" s="1"/>
  <c r="F3" i="6"/>
  <c r="N3" i="6" s="1"/>
  <c r="A3" i="6"/>
  <c r="B3" i="6" s="1"/>
  <c r="K2" i="6"/>
  <c r="H2" i="6"/>
  <c r="P2" i="6" s="1"/>
  <c r="F2" i="6"/>
  <c r="N2" i="6" s="1"/>
  <c r="A2" i="6"/>
  <c r="B2" i="6" s="1"/>
  <c r="I1" i="6"/>
  <c r="Q1" i="6" s="1"/>
  <c r="H1" i="6"/>
  <c r="P1" i="6" s="1"/>
  <c r="G1" i="6"/>
  <c r="O1" i="6" s="1"/>
  <c r="F1" i="6"/>
  <c r="N1" i="6" s="1"/>
  <c r="E1" i="6"/>
  <c r="M1" i="6" s="1"/>
  <c r="D1" i="6"/>
  <c r="L1" i="6" s="1"/>
  <c r="C1" i="6"/>
  <c r="A1" i="6"/>
  <c r="C261" i="3"/>
  <c r="B257" i="3"/>
  <c r="C253" i="3"/>
  <c r="Q55" i="3"/>
  <c r="P55" i="3"/>
  <c r="O55" i="3"/>
  <c r="N55" i="3"/>
  <c r="M55" i="3"/>
  <c r="L55" i="3"/>
  <c r="K55" i="3"/>
  <c r="J55" i="3"/>
  <c r="I55" i="3"/>
  <c r="H55" i="3"/>
  <c r="G55" i="3"/>
  <c r="F55" i="3"/>
  <c r="Q54" i="3"/>
  <c r="P54" i="3"/>
  <c r="O54" i="3"/>
  <c r="N54" i="3"/>
  <c r="M54" i="3"/>
  <c r="L54" i="3"/>
  <c r="K54" i="3"/>
  <c r="J54" i="3"/>
  <c r="I54" i="3"/>
  <c r="H54" i="3"/>
  <c r="G54" i="3"/>
  <c r="F54" i="3"/>
  <c r="Q53" i="3"/>
  <c r="P53" i="3"/>
  <c r="O53" i="3"/>
  <c r="N53" i="3"/>
  <c r="M53" i="3"/>
  <c r="L53" i="3"/>
  <c r="K53" i="3"/>
  <c r="J53" i="3"/>
  <c r="I53" i="3"/>
  <c r="H53" i="3"/>
  <c r="G53" i="3"/>
  <c r="F53" i="3"/>
  <c r="Q52" i="3"/>
  <c r="P52" i="3"/>
  <c r="O52" i="3"/>
  <c r="N52" i="3"/>
  <c r="M52" i="3"/>
  <c r="L52" i="3"/>
  <c r="K52" i="3"/>
  <c r="J52" i="3"/>
  <c r="I52" i="3"/>
  <c r="H52" i="3"/>
  <c r="G52" i="3"/>
  <c r="F52" i="3"/>
  <c r="Q51" i="3"/>
  <c r="P51" i="3"/>
  <c r="O51" i="3"/>
  <c r="N51" i="3"/>
  <c r="M51" i="3"/>
  <c r="L51" i="3"/>
  <c r="K51" i="3"/>
  <c r="J51" i="3"/>
  <c r="I51" i="3"/>
  <c r="H51" i="3"/>
  <c r="G51" i="3"/>
  <c r="F51" i="3"/>
  <c r="Q50" i="3"/>
  <c r="P50" i="3"/>
  <c r="O50" i="3"/>
  <c r="N50" i="3"/>
  <c r="M50" i="3"/>
  <c r="L50" i="3"/>
  <c r="K50" i="3"/>
  <c r="J50" i="3"/>
  <c r="I50" i="3"/>
  <c r="H50" i="3"/>
  <c r="G50" i="3"/>
  <c r="F50" i="3"/>
  <c r="Q49" i="3"/>
  <c r="P49" i="3"/>
  <c r="O49" i="3"/>
  <c r="N49" i="3"/>
  <c r="M49" i="3"/>
  <c r="L49" i="3"/>
  <c r="K49" i="3"/>
  <c r="J49" i="3"/>
  <c r="I49" i="3"/>
  <c r="H49" i="3"/>
  <c r="G49" i="3"/>
  <c r="F49" i="3"/>
  <c r="Q48" i="3"/>
  <c r="P48" i="3"/>
  <c r="O48" i="3"/>
  <c r="N48" i="3"/>
  <c r="M48" i="3"/>
  <c r="L48" i="3"/>
  <c r="K48" i="3"/>
  <c r="J48" i="3"/>
  <c r="I48" i="3"/>
  <c r="H48" i="3"/>
  <c r="G48" i="3"/>
  <c r="F48" i="3"/>
  <c r="Q47" i="3"/>
  <c r="P47" i="3"/>
  <c r="O47" i="3"/>
  <c r="N47" i="3"/>
  <c r="M47" i="3"/>
  <c r="L47" i="3"/>
  <c r="K47" i="3"/>
  <c r="J47" i="3"/>
  <c r="I47" i="3"/>
  <c r="H47" i="3"/>
  <c r="G47" i="3"/>
  <c r="F47" i="3"/>
  <c r="Q46" i="3"/>
  <c r="P46" i="3"/>
  <c r="O46" i="3"/>
  <c r="N46" i="3"/>
  <c r="M46" i="3"/>
  <c r="L46" i="3"/>
  <c r="K46" i="3"/>
  <c r="J46" i="3"/>
  <c r="I46" i="3"/>
  <c r="H46" i="3"/>
  <c r="G46" i="3"/>
  <c r="F46" i="3"/>
  <c r="Q45" i="3"/>
  <c r="P45" i="3"/>
  <c r="O45" i="3"/>
  <c r="N45" i="3"/>
  <c r="M45" i="3"/>
  <c r="L45" i="3"/>
  <c r="K45" i="3"/>
  <c r="J45" i="3"/>
  <c r="I45" i="3"/>
  <c r="H45" i="3"/>
  <c r="G45" i="3"/>
  <c r="F45" i="3"/>
  <c r="Q44" i="3"/>
  <c r="P44" i="3"/>
  <c r="O44" i="3"/>
  <c r="N44" i="3"/>
  <c r="M44" i="3"/>
  <c r="L44" i="3"/>
  <c r="K44" i="3"/>
  <c r="J44" i="3"/>
  <c r="I44" i="3"/>
  <c r="H44" i="3"/>
  <c r="G44" i="3"/>
  <c r="F44" i="3"/>
  <c r="Q43" i="3"/>
  <c r="P43" i="3"/>
  <c r="O43" i="3"/>
  <c r="N43" i="3"/>
  <c r="M43" i="3"/>
  <c r="L43" i="3"/>
  <c r="K43" i="3"/>
  <c r="J43" i="3"/>
  <c r="I43" i="3"/>
  <c r="H43" i="3"/>
  <c r="G43" i="3"/>
  <c r="F43" i="3"/>
  <c r="Q42" i="3"/>
  <c r="P42" i="3"/>
  <c r="O42" i="3"/>
  <c r="N42" i="3"/>
  <c r="M42" i="3"/>
  <c r="L42" i="3"/>
  <c r="K42" i="3"/>
  <c r="J42" i="3"/>
  <c r="I42" i="3"/>
  <c r="H42" i="3"/>
  <c r="G42" i="3"/>
  <c r="F42" i="3"/>
  <c r="Q41" i="3"/>
  <c r="P41" i="3"/>
  <c r="O41" i="3"/>
  <c r="N41" i="3"/>
  <c r="M41" i="3"/>
  <c r="L41" i="3"/>
  <c r="K41" i="3"/>
  <c r="J41" i="3"/>
  <c r="I41" i="3"/>
  <c r="H41" i="3"/>
  <c r="G41" i="3"/>
  <c r="F41" i="3"/>
  <c r="Q40" i="3"/>
  <c r="P40" i="3"/>
  <c r="O40" i="3"/>
  <c r="N40" i="3"/>
  <c r="M40" i="3"/>
  <c r="L40" i="3"/>
  <c r="K40" i="3"/>
  <c r="J40" i="3"/>
  <c r="I40" i="3"/>
  <c r="H40" i="3"/>
  <c r="G40" i="3"/>
  <c r="F40" i="3"/>
  <c r="Q39" i="3"/>
  <c r="P39" i="3"/>
  <c r="O39" i="3"/>
  <c r="N39" i="3"/>
  <c r="M39" i="3"/>
  <c r="L39" i="3"/>
  <c r="K39" i="3"/>
  <c r="J39" i="3"/>
  <c r="I39" i="3"/>
  <c r="H39" i="3"/>
  <c r="G39" i="3"/>
  <c r="F39" i="3"/>
  <c r="Q38" i="3"/>
  <c r="P38" i="3"/>
  <c r="O38" i="3"/>
  <c r="N38" i="3"/>
  <c r="M38" i="3"/>
  <c r="L38" i="3"/>
  <c r="K38" i="3"/>
  <c r="J38" i="3"/>
  <c r="I38" i="3"/>
  <c r="H38" i="3"/>
  <c r="G38" i="3"/>
  <c r="F38" i="3"/>
  <c r="Q37" i="3"/>
  <c r="P37" i="3"/>
  <c r="O37" i="3"/>
  <c r="N37" i="3"/>
  <c r="M37" i="3"/>
  <c r="L37" i="3"/>
  <c r="K37" i="3"/>
  <c r="J37" i="3"/>
  <c r="I37" i="3"/>
  <c r="H37" i="3"/>
  <c r="G37" i="3"/>
  <c r="F37" i="3"/>
  <c r="Q36" i="3"/>
  <c r="P36" i="3"/>
  <c r="O36" i="3"/>
  <c r="N36" i="3"/>
  <c r="M36" i="3"/>
  <c r="L36" i="3"/>
  <c r="K36" i="3"/>
  <c r="J36" i="3"/>
  <c r="I36" i="3"/>
  <c r="H36" i="3"/>
  <c r="G36" i="3"/>
  <c r="G59" i="3" s="1"/>
  <c r="F36" i="3"/>
  <c r="Q35" i="3"/>
  <c r="P35" i="3"/>
  <c r="O35" i="3"/>
  <c r="N35" i="3"/>
  <c r="M35" i="3"/>
  <c r="L35" i="3"/>
  <c r="K35" i="3"/>
  <c r="J35" i="3"/>
  <c r="I35" i="3"/>
  <c r="H35" i="3"/>
  <c r="G35" i="3"/>
  <c r="F35" i="3"/>
  <c r="Q34" i="3"/>
  <c r="P34" i="3"/>
  <c r="O34" i="3"/>
  <c r="N34" i="3"/>
  <c r="M34" i="3"/>
  <c r="L34" i="3"/>
  <c r="K34" i="3"/>
  <c r="J34" i="3"/>
  <c r="I34" i="3"/>
  <c r="H34" i="3"/>
  <c r="G34" i="3"/>
  <c r="F34" i="3"/>
  <c r="Q23" i="3"/>
  <c r="P23" i="3"/>
  <c r="O23" i="3"/>
  <c r="N23" i="3"/>
  <c r="M23" i="3"/>
  <c r="L23" i="3"/>
  <c r="K23" i="3"/>
  <c r="J23" i="3"/>
  <c r="I23" i="3"/>
  <c r="H23" i="3"/>
  <c r="G23" i="3"/>
  <c r="F23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Q9" i="3"/>
  <c r="P9" i="3"/>
  <c r="O9" i="3"/>
  <c r="N9" i="3"/>
  <c r="M9" i="3"/>
  <c r="L9" i="3"/>
  <c r="K9" i="3"/>
  <c r="J9" i="3"/>
  <c r="I9" i="3"/>
  <c r="H9" i="3"/>
  <c r="G9" i="3"/>
  <c r="F9" i="3"/>
  <c r="E9" i="3"/>
  <c r="Q8" i="3"/>
  <c r="P8" i="3"/>
  <c r="O8" i="3"/>
  <c r="N8" i="3"/>
  <c r="M8" i="3"/>
  <c r="L8" i="3"/>
  <c r="K8" i="3"/>
  <c r="J8" i="3"/>
  <c r="I8" i="3"/>
  <c r="H8" i="3"/>
  <c r="G8" i="3"/>
  <c r="F8" i="3"/>
  <c r="E8" i="3"/>
  <c r="Q7" i="3"/>
  <c r="P7" i="3"/>
  <c r="O7" i="3"/>
  <c r="N7" i="3"/>
  <c r="M7" i="3"/>
  <c r="L7" i="3"/>
  <c r="K7" i="3"/>
  <c r="J7" i="3"/>
  <c r="I7" i="3"/>
  <c r="H7" i="3"/>
  <c r="G7" i="3"/>
  <c r="F7" i="3"/>
  <c r="E7" i="3"/>
  <c r="Q6" i="3"/>
  <c r="P6" i="3"/>
  <c r="O6" i="3"/>
  <c r="N6" i="3"/>
  <c r="M6" i="3"/>
  <c r="L6" i="3"/>
  <c r="K6" i="3"/>
  <c r="J6" i="3"/>
  <c r="I6" i="3"/>
  <c r="H6" i="3"/>
  <c r="G6" i="3"/>
  <c r="F6" i="3"/>
  <c r="E6" i="3"/>
  <c r="Q5" i="3"/>
  <c r="P5" i="3"/>
  <c r="O5" i="3"/>
  <c r="N5" i="3"/>
  <c r="M5" i="3"/>
  <c r="L5" i="3"/>
  <c r="K5" i="3"/>
  <c r="J5" i="3"/>
  <c r="I5" i="3"/>
  <c r="H5" i="3"/>
  <c r="G5" i="3"/>
  <c r="F5" i="3"/>
  <c r="E5" i="3"/>
  <c r="Q4" i="3"/>
  <c r="P4" i="3"/>
  <c r="O4" i="3"/>
  <c r="N4" i="3"/>
  <c r="M4" i="3"/>
  <c r="L4" i="3"/>
  <c r="K4" i="3"/>
  <c r="J4" i="3"/>
  <c r="I4" i="3"/>
  <c r="H4" i="3"/>
  <c r="G4" i="3"/>
  <c r="F4" i="3"/>
  <c r="E4" i="3"/>
  <c r="Q3" i="3"/>
  <c r="P3" i="3"/>
  <c r="O3" i="3"/>
  <c r="N3" i="3"/>
  <c r="M3" i="3"/>
  <c r="L3" i="3"/>
  <c r="K3" i="3"/>
  <c r="J3" i="3"/>
  <c r="I3" i="3"/>
  <c r="H3" i="3"/>
  <c r="G3" i="3"/>
  <c r="F3" i="3"/>
  <c r="E3" i="3"/>
  <c r="Q2" i="3"/>
  <c r="P2" i="3"/>
  <c r="O2" i="3"/>
  <c r="N2" i="3"/>
  <c r="M2" i="3"/>
  <c r="L2" i="3"/>
  <c r="K2" i="3"/>
  <c r="J2" i="3"/>
  <c r="I2" i="3"/>
  <c r="H2" i="3"/>
  <c r="G2" i="3"/>
  <c r="F2" i="3"/>
  <c r="B87" i="25"/>
  <c r="B86" i="25"/>
  <c r="B85" i="25"/>
  <c r="B84" i="25"/>
  <c r="B83" i="25"/>
  <c r="B82" i="25"/>
  <c r="B81" i="25"/>
  <c r="L79" i="25"/>
  <c r="K79" i="25"/>
  <c r="J79" i="25"/>
  <c r="I79" i="25"/>
  <c r="H79" i="25"/>
  <c r="G79" i="25"/>
  <c r="F79" i="25"/>
  <c r="E79" i="25"/>
  <c r="D79" i="25"/>
  <c r="B75" i="25"/>
  <c r="B74" i="25"/>
  <c r="B73" i="25"/>
  <c r="B72" i="25"/>
  <c r="B71" i="25"/>
  <c r="B70" i="25"/>
  <c r="B69" i="25"/>
  <c r="L67" i="25"/>
  <c r="K67" i="25"/>
  <c r="J67" i="25"/>
  <c r="I67" i="25"/>
  <c r="H67" i="25"/>
  <c r="G67" i="25"/>
  <c r="F67" i="25"/>
  <c r="E67" i="25"/>
  <c r="D67" i="25"/>
  <c r="L63" i="25"/>
  <c r="K63" i="25"/>
  <c r="J63" i="25"/>
  <c r="I63" i="25"/>
  <c r="H63" i="25"/>
  <c r="G63" i="25"/>
  <c r="F63" i="25"/>
  <c r="E63" i="25"/>
  <c r="D63" i="25"/>
  <c r="C63" i="25"/>
  <c r="B63" i="25"/>
  <c r="L62" i="25"/>
  <c r="K62" i="25"/>
  <c r="J62" i="25"/>
  <c r="I62" i="25"/>
  <c r="H62" i="25"/>
  <c r="G62" i="25"/>
  <c r="F62" i="25"/>
  <c r="E62" i="25"/>
  <c r="D62" i="25"/>
  <c r="C62" i="25"/>
  <c r="B62" i="25"/>
  <c r="L61" i="25"/>
  <c r="K61" i="25"/>
  <c r="J61" i="25"/>
  <c r="I61" i="25"/>
  <c r="H61" i="25"/>
  <c r="G61" i="25"/>
  <c r="F61" i="25"/>
  <c r="E61" i="25"/>
  <c r="D61" i="25"/>
  <c r="C61" i="25"/>
  <c r="B61" i="25"/>
  <c r="L60" i="25"/>
  <c r="K60" i="25"/>
  <c r="J60" i="25"/>
  <c r="I60" i="25"/>
  <c r="H60" i="25"/>
  <c r="G60" i="25"/>
  <c r="F60" i="25"/>
  <c r="E60" i="25"/>
  <c r="D60" i="25"/>
  <c r="C60" i="25"/>
  <c r="B60" i="25"/>
  <c r="L59" i="25"/>
  <c r="K59" i="25"/>
  <c r="J59" i="25"/>
  <c r="I59" i="25"/>
  <c r="H59" i="25"/>
  <c r="G59" i="25"/>
  <c r="F59" i="25"/>
  <c r="E59" i="25"/>
  <c r="D59" i="25"/>
  <c r="C59" i="25"/>
  <c r="B59" i="25"/>
  <c r="L58" i="25"/>
  <c r="K58" i="25"/>
  <c r="J58" i="25"/>
  <c r="I58" i="25"/>
  <c r="H58" i="25"/>
  <c r="G58" i="25"/>
  <c r="F58" i="25"/>
  <c r="E58" i="25"/>
  <c r="D58" i="25"/>
  <c r="C58" i="25"/>
  <c r="B58" i="25"/>
  <c r="B57" i="25"/>
  <c r="L55" i="25"/>
  <c r="K55" i="25"/>
  <c r="J55" i="25"/>
  <c r="I55" i="25"/>
  <c r="H55" i="25"/>
  <c r="G55" i="25"/>
  <c r="F55" i="25"/>
  <c r="E55" i="25"/>
  <c r="D55" i="25"/>
  <c r="C49" i="25"/>
  <c r="L45" i="25"/>
  <c r="K45" i="25"/>
  <c r="J45" i="25"/>
  <c r="I45" i="25"/>
  <c r="H45" i="25"/>
  <c r="G45" i="25"/>
  <c r="F45" i="25"/>
  <c r="E45" i="25"/>
  <c r="D45" i="25"/>
  <c r="C45" i="25"/>
  <c r="L44" i="25"/>
  <c r="K44" i="25"/>
  <c r="J44" i="25"/>
  <c r="B43" i="25"/>
  <c r="B42" i="25"/>
  <c r="B41" i="25"/>
  <c r="B40" i="25"/>
  <c r="L38" i="25"/>
  <c r="K38" i="25"/>
  <c r="J38" i="25"/>
  <c r="I38" i="25"/>
  <c r="H38" i="25"/>
  <c r="G38" i="25"/>
  <c r="F38" i="25"/>
  <c r="E38" i="25"/>
  <c r="D38" i="25"/>
  <c r="L33" i="25"/>
  <c r="K33" i="25"/>
  <c r="J33" i="25"/>
  <c r="I33" i="25"/>
  <c r="H33" i="25"/>
  <c r="G33" i="25"/>
  <c r="F33" i="25"/>
  <c r="E33" i="25"/>
  <c r="D33" i="25"/>
  <c r="C33" i="25"/>
  <c r="L32" i="25"/>
  <c r="K32" i="25"/>
  <c r="J32" i="25"/>
  <c r="B31" i="25"/>
  <c r="B30" i="25"/>
  <c r="B29" i="25"/>
  <c r="B28" i="25"/>
  <c r="L26" i="25"/>
  <c r="K26" i="25"/>
  <c r="J26" i="25"/>
  <c r="I26" i="25"/>
  <c r="H26" i="25"/>
  <c r="G26" i="25"/>
  <c r="F26" i="25"/>
  <c r="E26" i="25"/>
  <c r="D26" i="25"/>
  <c r="L21" i="25"/>
  <c r="K21" i="25"/>
  <c r="J21" i="25"/>
  <c r="I21" i="25"/>
  <c r="H21" i="25"/>
  <c r="G21" i="25"/>
  <c r="F21" i="25"/>
  <c r="E21" i="25"/>
  <c r="D21" i="25"/>
  <c r="C21" i="25"/>
  <c r="L20" i="25"/>
  <c r="K20" i="25"/>
  <c r="J20" i="25"/>
  <c r="B19" i="25"/>
  <c r="B18" i="25"/>
  <c r="B17" i="25"/>
  <c r="B16" i="25"/>
  <c r="L14" i="25"/>
  <c r="K14" i="25"/>
  <c r="J14" i="25"/>
  <c r="I14" i="25"/>
  <c r="H14" i="25"/>
  <c r="G14" i="25"/>
  <c r="F14" i="25"/>
  <c r="E14" i="25"/>
  <c r="D14" i="25"/>
  <c r="C10" i="25"/>
  <c r="C9" i="25"/>
  <c r="L3" i="25"/>
  <c r="K3" i="25"/>
  <c r="J3" i="25"/>
  <c r="I3" i="25"/>
  <c r="H3" i="25"/>
  <c r="G3" i="25"/>
  <c r="F3" i="25"/>
  <c r="E3" i="25"/>
  <c r="D3" i="25"/>
  <c r="AJ97" i="2"/>
  <c r="AI97" i="2"/>
  <c r="AH97" i="2"/>
  <c r="AG97" i="2"/>
  <c r="V97" i="2"/>
  <c r="L97" i="2"/>
  <c r="K97" i="2"/>
  <c r="H97" i="2"/>
  <c r="C97" i="2"/>
  <c r="B97" i="2"/>
  <c r="AJ96" i="2"/>
  <c r="AI96" i="2"/>
  <c r="AH96" i="2"/>
  <c r="AG96" i="2"/>
  <c r="V96" i="2"/>
  <c r="L96" i="2"/>
  <c r="K96" i="2"/>
  <c r="H96" i="2"/>
  <c r="C96" i="2"/>
  <c r="B96" i="2"/>
  <c r="AJ95" i="2"/>
  <c r="AI95" i="2"/>
  <c r="AH95" i="2"/>
  <c r="AG95" i="2"/>
  <c r="E95" i="10" s="1"/>
  <c r="V95" i="2"/>
  <c r="L95" i="2"/>
  <c r="K95" i="2"/>
  <c r="H95" i="2"/>
  <c r="C95" i="2"/>
  <c r="B95" i="2"/>
  <c r="AJ94" i="2"/>
  <c r="AI94" i="2"/>
  <c r="AH94" i="2"/>
  <c r="AG94" i="2"/>
  <c r="V94" i="2"/>
  <c r="L94" i="2"/>
  <c r="K94" i="2"/>
  <c r="H94" i="2"/>
  <c r="C94" i="2"/>
  <c r="B94" i="2"/>
  <c r="AJ93" i="2"/>
  <c r="AI93" i="2"/>
  <c r="AH93" i="2"/>
  <c r="AG93" i="2"/>
  <c r="V93" i="2"/>
  <c r="L93" i="2"/>
  <c r="K93" i="2"/>
  <c r="H93" i="2"/>
  <c r="C93" i="2"/>
  <c r="B93" i="2"/>
  <c r="AJ92" i="2"/>
  <c r="AI92" i="2"/>
  <c r="AH92" i="2"/>
  <c r="AG92" i="2"/>
  <c r="V92" i="2"/>
  <c r="L92" i="2"/>
  <c r="K92" i="2"/>
  <c r="H92" i="2"/>
  <c r="C92" i="2"/>
  <c r="B92" i="2"/>
  <c r="AJ91" i="2"/>
  <c r="AI91" i="2"/>
  <c r="AH91" i="2"/>
  <c r="AG91" i="2"/>
  <c r="E91" i="10" s="1"/>
  <c r="V91" i="2"/>
  <c r="L91" i="2"/>
  <c r="K91" i="2"/>
  <c r="H91" i="2"/>
  <c r="C91" i="2"/>
  <c r="B91" i="2"/>
  <c r="AJ90" i="2"/>
  <c r="AI90" i="2"/>
  <c r="AH90" i="2"/>
  <c r="F90" i="10" s="1"/>
  <c r="AG90" i="2"/>
  <c r="V90" i="2"/>
  <c r="L90" i="2"/>
  <c r="K90" i="2"/>
  <c r="H90" i="2"/>
  <c r="C90" i="2"/>
  <c r="B90" i="2"/>
  <c r="AJ89" i="2"/>
  <c r="AI89" i="2"/>
  <c r="AH89" i="2"/>
  <c r="AG89" i="2"/>
  <c r="V89" i="2"/>
  <c r="L89" i="2"/>
  <c r="K89" i="2"/>
  <c r="H89" i="2"/>
  <c r="C89" i="2"/>
  <c r="B89" i="2"/>
  <c r="AJ88" i="2"/>
  <c r="AI88" i="2"/>
  <c r="AH88" i="2"/>
  <c r="F88" i="10" s="1"/>
  <c r="AG88" i="2"/>
  <c r="V88" i="2"/>
  <c r="L88" i="2"/>
  <c r="K88" i="2"/>
  <c r="H88" i="2"/>
  <c r="C88" i="2"/>
  <c r="B88" i="2"/>
  <c r="AL87" i="2"/>
  <c r="AJ87" i="2"/>
  <c r="AI87" i="2"/>
  <c r="AH87" i="2"/>
  <c r="AG87" i="2"/>
  <c r="E87" i="10" s="1"/>
  <c r="V87" i="2"/>
  <c r="L87" i="2"/>
  <c r="K87" i="2"/>
  <c r="H87" i="2"/>
  <c r="C87" i="2"/>
  <c r="B87" i="2"/>
  <c r="AJ86" i="2"/>
  <c r="AI86" i="2"/>
  <c r="AH86" i="2"/>
  <c r="AG86" i="2"/>
  <c r="V86" i="2"/>
  <c r="L86" i="2"/>
  <c r="K86" i="2"/>
  <c r="H86" i="2"/>
  <c r="C86" i="2"/>
  <c r="B86" i="2"/>
  <c r="AJ85" i="2"/>
  <c r="AI85" i="2"/>
  <c r="AH85" i="2"/>
  <c r="AG85" i="2"/>
  <c r="V85" i="2"/>
  <c r="L85" i="2"/>
  <c r="K85" i="2"/>
  <c r="H85" i="2"/>
  <c r="C85" i="2"/>
  <c r="B85" i="2"/>
  <c r="AJ84" i="2"/>
  <c r="AI84" i="2"/>
  <c r="AH84" i="2"/>
  <c r="AG84" i="2"/>
  <c r="V84" i="2"/>
  <c r="L84" i="2"/>
  <c r="K84" i="2"/>
  <c r="H84" i="2"/>
  <c r="C84" i="2"/>
  <c r="B84" i="2"/>
  <c r="AJ83" i="2"/>
  <c r="AI83" i="2"/>
  <c r="AH83" i="2"/>
  <c r="AG83" i="2"/>
  <c r="E83" i="10" s="1"/>
  <c r="V83" i="2"/>
  <c r="L83" i="2"/>
  <c r="K83" i="2"/>
  <c r="H83" i="2"/>
  <c r="C83" i="2"/>
  <c r="B83" i="2"/>
  <c r="AJ82" i="2"/>
  <c r="AI82" i="2"/>
  <c r="AH82" i="2"/>
  <c r="AG82" i="2"/>
  <c r="V82" i="2"/>
  <c r="L82" i="2"/>
  <c r="K82" i="2"/>
  <c r="H82" i="2"/>
  <c r="C82" i="2"/>
  <c r="B82" i="2"/>
  <c r="AJ81" i="2"/>
  <c r="AI81" i="2"/>
  <c r="AH81" i="2"/>
  <c r="AG81" i="2"/>
  <c r="V81" i="2"/>
  <c r="L81" i="2"/>
  <c r="K81" i="2"/>
  <c r="H81" i="2"/>
  <c r="C81" i="2"/>
  <c r="B81" i="2"/>
  <c r="AJ80" i="2"/>
  <c r="AI80" i="2"/>
  <c r="AH80" i="2"/>
  <c r="AG80" i="2"/>
  <c r="V80" i="2"/>
  <c r="L80" i="2"/>
  <c r="K80" i="2"/>
  <c r="H80" i="2"/>
  <c r="C80" i="2"/>
  <c r="B80" i="2"/>
  <c r="AJ79" i="2"/>
  <c r="AI79" i="2"/>
  <c r="AH79" i="2"/>
  <c r="AG79" i="2"/>
  <c r="E79" i="10" s="1"/>
  <c r="V79" i="2"/>
  <c r="L79" i="2"/>
  <c r="K79" i="2"/>
  <c r="H79" i="2"/>
  <c r="C79" i="2"/>
  <c r="B79" i="2"/>
  <c r="AJ78" i="2"/>
  <c r="AI78" i="2"/>
  <c r="AH78" i="2"/>
  <c r="AG78" i="2"/>
  <c r="V78" i="2"/>
  <c r="L78" i="2"/>
  <c r="K78" i="2"/>
  <c r="H78" i="2"/>
  <c r="C78" i="2"/>
  <c r="B78" i="2"/>
  <c r="AJ77" i="2"/>
  <c r="AI77" i="2"/>
  <c r="AH77" i="2"/>
  <c r="AG77" i="2"/>
  <c r="V77" i="2"/>
  <c r="L77" i="2"/>
  <c r="K77" i="2"/>
  <c r="H77" i="2"/>
  <c r="C77" i="2"/>
  <c r="B77" i="2"/>
  <c r="AJ76" i="2"/>
  <c r="AI76" i="2"/>
  <c r="AH76" i="2"/>
  <c r="AG76" i="2"/>
  <c r="V76" i="2"/>
  <c r="L76" i="2"/>
  <c r="K76" i="2"/>
  <c r="H76" i="2"/>
  <c r="C76" i="2"/>
  <c r="B76" i="2"/>
  <c r="AJ75" i="2"/>
  <c r="AI75" i="2"/>
  <c r="AH75" i="2"/>
  <c r="AG75" i="2"/>
  <c r="E75" i="10" s="1"/>
  <c r="V75" i="2"/>
  <c r="L75" i="2"/>
  <c r="K75" i="2"/>
  <c r="H75" i="2"/>
  <c r="C75" i="2"/>
  <c r="B75" i="2"/>
  <c r="AJ74" i="2"/>
  <c r="AI74" i="2"/>
  <c r="AH74" i="2"/>
  <c r="AG74" i="2"/>
  <c r="V74" i="2"/>
  <c r="L74" i="2"/>
  <c r="K74" i="2"/>
  <c r="H74" i="2"/>
  <c r="C74" i="2"/>
  <c r="B74" i="2"/>
  <c r="AJ73" i="2"/>
  <c r="AI73" i="2"/>
  <c r="AH73" i="2"/>
  <c r="AG73" i="2"/>
  <c r="V73" i="2"/>
  <c r="L73" i="2"/>
  <c r="K73" i="2"/>
  <c r="H73" i="2"/>
  <c r="C73" i="2"/>
  <c r="B73" i="2"/>
  <c r="AJ72" i="2"/>
  <c r="AI72" i="2"/>
  <c r="AH72" i="2"/>
  <c r="F72" i="10" s="1"/>
  <c r="AG72" i="2"/>
  <c r="V72" i="2"/>
  <c r="L72" i="2"/>
  <c r="K72" i="2"/>
  <c r="H72" i="2"/>
  <c r="C72" i="2"/>
  <c r="B72" i="2"/>
  <c r="AJ71" i="2"/>
  <c r="AI71" i="2"/>
  <c r="AH71" i="2"/>
  <c r="AG71" i="2"/>
  <c r="E71" i="10" s="1"/>
  <c r="V71" i="2"/>
  <c r="L71" i="2"/>
  <c r="K71" i="2"/>
  <c r="H71" i="2"/>
  <c r="C71" i="2"/>
  <c r="B71" i="2"/>
  <c r="AJ70" i="2"/>
  <c r="AI70" i="2"/>
  <c r="AH70" i="2"/>
  <c r="AG70" i="2"/>
  <c r="V70" i="2"/>
  <c r="L70" i="2"/>
  <c r="K70" i="2"/>
  <c r="H70" i="2"/>
  <c r="C70" i="2"/>
  <c r="B70" i="2"/>
  <c r="AJ69" i="2"/>
  <c r="AI69" i="2"/>
  <c r="AH69" i="2"/>
  <c r="AG69" i="2"/>
  <c r="V69" i="2"/>
  <c r="L69" i="2"/>
  <c r="K69" i="2"/>
  <c r="H69" i="2"/>
  <c r="C69" i="2"/>
  <c r="B69" i="2"/>
  <c r="AJ68" i="2"/>
  <c r="AI68" i="2"/>
  <c r="AH68" i="2"/>
  <c r="AG68" i="2"/>
  <c r="V68" i="2"/>
  <c r="L68" i="2"/>
  <c r="K68" i="2"/>
  <c r="H68" i="2"/>
  <c r="C68" i="2"/>
  <c r="B68" i="2"/>
  <c r="AJ67" i="2"/>
  <c r="AI67" i="2"/>
  <c r="AH67" i="2"/>
  <c r="AG67" i="2"/>
  <c r="E67" i="10" s="1"/>
  <c r="V67" i="2"/>
  <c r="L67" i="2"/>
  <c r="K67" i="2"/>
  <c r="H67" i="2"/>
  <c r="C67" i="2"/>
  <c r="B67" i="2"/>
  <c r="AJ66" i="2"/>
  <c r="AI66" i="2"/>
  <c r="AH66" i="2"/>
  <c r="AG66" i="2"/>
  <c r="V66" i="2"/>
  <c r="L66" i="2"/>
  <c r="K66" i="2"/>
  <c r="H66" i="2"/>
  <c r="C66" i="2"/>
  <c r="B66" i="2"/>
  <c r="AJ65" i="2"/>
  <c r="AI65" i="2"/>
  <c r="AH65" i="2"/>
  <c r="AG65" i="2"/>
  <c r="V65" i="2"/>
  <c r="L65" i="2"/>
  <c r="K65" i="2"/>
  <c r="H65" i="2"/>
  <c r="C65" i="2"/>
  <c r="B65" i="2"/>
  <c r="AJ64" i="2"/>
  <c r="AI64" i="2"/>
  <c r="AH64" i="2"/>
  <c r="AG64" i="2"/>
  <c r="V64" i="2"/>
  <c r="L64" i="2"/>
  <c r="K64" i="2"/>
  <c r="H64" i="2"/>
  <c r="C64" i="2"/>
  <c r="B64" i="2"/>
  <c r="AL63" i="2"/>
  <c r="AJ63" i="2"/>
  <c r="AI63" i="2"/>
  <c r="AH63" i="2"/>
  <c r="AG63" i="2"/>
  <c r="E63" i="10" s="1"/>
  <c r="V63" i="2"/>
  <c r="L63" i="2"/>
  <c r="K63" i="2"/>
  <c r="H63" i="2"/>
  <c r="C63" i="2"/>
  <c r="B63" i="2"/>
  <c r="AJ62" i="2"/>
  <c r="AI62" i="2"/>
  <c r="AH62" i="2"/>
  <c r="AG62" i="2"/>
  <c r="V62" i="2"/>
  <c r="L62" i="2"/>
  <c r="K62" i="2"/>
  <c r="H62" i="2"/>
  <c r="C62" i="2"/>
  <c r="B62" i="2"/>
  <c r="AL61" i="2"/>
  <c r="AJ61" i="2"/>
  <c r="AI61" i="2"/>
  <c r="AH61" i="2"/>
  <c r="AG61" i="2"/>
  <c r="V61" i="2"/>
  <c r="L61" i="2"/>
  <c r="K61" i="2"/>
  <c r="H61" i="2"/>
  <c r="C61" i="2"/>
  <c r="B61" i="2"/>
  <c r="AL60" i="2"/>
  <c r="AJ60" i="2"/>
  <c r="AI60" i="2"/>
  <c r="AH60" i="2"/>
  <c r="AG60" i="2"/>
  <c r="V60" i="2"/>
  <c r="L60" i="2"/>
  <c r="K60" i="2"/>
  <c r="H60" i="2"/>
  <c r="C60" i="2"/>
  <c r="B60" i="2"/>
  <c r="AL59" i="2"/>
  <c r="AJ59" i="2"/>
  <c r="AI59" i="2"/>
  <c r="AH59" i="2"/>
  <c r="AG59" i="2"/>
  <c r="E59" i="10" s="1"/>
  <c r="V59" i="2"/>
  <c r="L59" i="2"/>
  <c r="K59" i="2"/>
  <c r="H59" i="2"/>
  <c r="C59" i="2"/>
  <c r="B59" i="2"/>
  <c r="AL58" i="2"/>
  <c r="AJ58" i="2"/>
  <c r="AI58" i="2"/>
  <c r="AH58" i="2"/>
  <c r="AG58" i="2"/>
  <c r="V58" i="2"/>
  <c r="L58" i="2"/>
  <c r="K58" i="2"/>
  <c r="H58" i="2"/>
  <c r="C58" i="2"/>
  <c r="B58" i="2"/>
  <c r="AL57" i="2"/>
  <c r="AJ57" i="2"/>
  <c r="AI57" i="2"/>
  <c r="AH57" i="2"/>
  <c r="AG57" i="2"/>
  <c r="V57" i="2"/>
  <c r="L57" i="2"/>
  <c r="K57" i="2"/>
  <c r="H57" i="2"/>
  <c r="C57" i="2"/>
  <c r="B57" i="2"/>
  <c r="AL56" i="2"/>
  <c r="AJ56" i="2"/>
  <c r="AI56" i="2"/>
  <c r="AH56" i="2"/>
  <c r="AG56" i="2"/>
  <c r="V56" i="2"/>
  <c r="L56" i="2"/>
  <c r="K56" i="2"/>
  <c r="H56" i="2"/>
  <c r="C56" i="2"/>
  <c r="B56" i="2"/>
  <c r="AL55" i="2"/>
  <c r="AJ55" i="2"/>
  <c r="AI55" i="2"/>
  <c r="AH55" i="2"/>
  <c r="AG55" i="2"/>
  <c r="E55" i="10" s="1"/>
  <c r="V55" i="2"/>
  <c r="L55" i="2"/>
  <c r="K55" i="2"/>
  <c r="H55" i="2"/>
  <c r="C55" i="2"/>
  <c r="B55" i="2"/>
  <c r="AL54" i="2"/>
  <c r="AJ54" i="2"/>
  <c r="AI54" i="2"/>
  <c r="AH54" i="2"/>
  <c r="AG54" i="2"/>
  <c r="V54" i="2"/>
  <c r="L54" i="2"/>
  <c r="K54" i="2"/>
  <c r="H54" i="2"/>
  <c r="C54" i="2"/>
  <c r="B54" i="2"/>
  <c r="AL53" i="2"/>
  <c r="AJ53" i="2"/>
  <c r="AI53" i="2"/>
  <c r="AH53" i="2"/>
  <c r="AG53" i="2"/>
  <c r="V53" i="2"/>
  <c r="L53" i="2"/>
  <c r="K53" i="2"/>
  <c r="H53" i="2"/>
  <c r="C53" i="2"/>
  <c r="B53" i="2"/>
  <c r="AL52" i="2"/>
  <c r="AJ52" i="2"/>
  <c r="AI52" i="2"/>
  <c r="AH52" i="2"/>
  <c r="AG52" i="2"/>
  <c r="E52" i="10" s="1"/>
  <c r="V52" i="2"/>
  <c r="L52" i="2"/>
  <c r="K52" i="2"/>
  <c r="H52" i="2"/>
  <c r="C52" i="2"/>
  <c r="B52" i="2"/>
  <c r="AL51" i="2"/>
  <c r="AJ51" i="2"/>
  <c r="AI51" i="2"/>
  <c r="AH51" i="2"/>
  <c r="AG51" i="2"/>
  <c r="E51" i="10" s="1"/>
  <c r="V51" i="2"/>
  <c r="L51" i="2"/>
  <c r="K51" i="2"/>
  <c r="H51" i="2"/>
  <c r="C51" i="2"/>
  <c r="B51" i="2"/>
  <c r="AL50" i="2"/>
  <c r="AJ50" i="2"/>
  <c r="AI50" i="2"/>
  <c r="AH50" i="2"/>
  <c r="AG50" i="2"/>
  <c r="V50" i="2"/>
  <c r="L50" i="2"/>
  <c r="K50" i="2"/>
  <c r="H50" i="2"/>
  <c r="C50" i="2"/>
  <c r="B50" i="2"/>
  <c r="AJ49" i="2"/>
  <c r="AI49" i="2"/>
  <c r="AH49" i="2"/>
  <c r="F49" i="10" s="1"/>
  <c r="AG49" i="2"/>
  <c r="V49" i="2"/>
  <c r="L49" i="2"/>
  <c r="K49" i="2"/>
  <c r="H49" i="2"/>
  <c r="C49" i="2"/>
  <c r="B49" i="2"/>
  <c r="AJ48" i="2"/>
  <c r="AI48" i="2"/>
  <c r="AH48" i="2"/>
  <c r="AG48" i="2"/>
  <c r="E48" i="10" s="1"/>
  <c r="V48" i="2"/>
  <c r="L48" i="2"/>
  <c r="K48" i="2"/>
  <c r="H48" i="2"/>
  <c r="C48" i="2"/>
  <c r="B48" i="2"/>
  <c r="AJ47" i="2"/>
  <c r="AI47" i="2"/>
  <c r="AH47" i="2"/>
  <c r="AG47" i="2"/>
  <c r="E47" i="10" s="1"/>
  <c r="V47" i="2"/>
  <c r="L47" i="2"/>
  <c r="K47" i="2"/>
  <c r="H47" i="2"/>
  <c r="C47" i="2"/>
  <c r="B47" i="2"/>
  <c r="AJ46" i="2"/>
  <c r="AI46" i="2"/>
  <c r="AH46" i="2"/>
  <c r="AG46" i="2"/>
  <c r="V46" i="2"/>
  <c r="L46" i="2"/>
  <c r="K46" i="2"/>
  <c r="H46" i="2"/>
  <c r="C46" i="2"/>
  <c r="B46" i="2"/>
  <c r="AJ45" i="2"/>
  <c r="AI45" i="2"/>
  <c r="AH45" i="2"/>
  <c r="F45" i="10" s="1"/>
  <c r="AG45" i="2"/>
  <c r="V45" i="2"/>
  <c r="L45" i="2"/>
  <c r="K45" i="2"/>
  <c r="H45" i="2"/>
  <c r="G45" i="2"/>
  <c r="C45" i="2"/>
  <c r="B45" i="2"/>
  <c r="AJ44" i="2"/>
  <c r="AI44" i="2"/>
  <c r="AH44" i="2"/>
  <c r="AG44" i="2"/>
  <c r="V44" i="2"/>
  <c r="L44" i="2"/>
  <c r="K44" i="2"/>
  <c r="H44" i="2"/>
  <c r="B44" i="2"/>
  <c r="AJ43" i="2"/>
  <c r="AI43" i="2"/>
  <c r="AH43" i="2"/>
  <c r="AG43" i="2"/>
  <c r="E43" i="10" s="1"/>
  <c r="V43" i="2"/>
  <c r="L43" i="2"/>
  <c r="K43" i="2"/>
  <c r="H43" i="2"/>
  <c r="B43" i="2"/>
  <c r="AJ42" i="2"/>
  <c r="AI42" i="2"/>
  <c r="AH42" i="2"/>
  <c r="AG42" i="2"/>
  <c r="V42" i="2"/>
  <c r="L42" i="2"/>
  <c r="K42" i="2"/>
  <c r="H42" i="2"/>
  <c r="B42" i="2"/>
  <c r="AJ41" i="2"/>
  <c r="AI41" i="2"/>
  <c r="AH41" i="2"/>
  <c r="AG41" i="2"/>
  <c r="E41" i="10" s="1"/>
  <c r="V41" i="2"/>
  <c r="L41" i="2"/>
  <c r="K41" i="2"/>
  <c r="H41" i="2"/>
  <c r="B41" i="2"/>
  <c r="AJ40" i="2"/>
  <c r="AI40" i="2"/>
  <c r="AH40" i="2"/>
  <c r="AG40" i="2"/>
  <c r="V40" i="2"/>
  <c r="L40" i="2"/>
  <c r="K40" i="2"/>
  <c r="H40" i="2"/>
  <c r="B40" i="2"/>
  <c r="AJ39" i="2"/>
  <c r="AI39" i="2"/>
  <c r="AH39" i="2"/>
  <c r="AG39" i="2"/>
  <c r="V39" i="2"/>
  <c r="L39" i="2"/>
  <c r="K39" i="2"/>
  <c r="H39" i="2"/>
  <c r="B39" i="2"/>
  <c r="AJ38" i="2"/>
  <c r="AI38" i="2"/>
  <c r="AH38" i="2"/>
  <c r="AG38" i="2"/>
  <c r="E38" i="10" s="1"/>
  <c r="V38" i="2"/>
  <c r="L38" i="2"/>
  <c r="K38" i="2"/>
  <c r="H38" i="2"/>
  <c r="B38" i="2"/>
  <c r="AJ37" i="2"/>
  <c r="AI37" i="2"/>
  <c r="AH37" i="2"/>
  <c r="AG37" i="2"/>
  <c r="V37" i="2"/>
  <c r="L37" i="2"/>
  <c r="K37" i="2"/>
  <c r="H37" i="2"/>
  <c r="B37" i="2"/>
  <c r="AJ36" i="2"/>
  <c r="AI36" i="2"/>
  <c r="AH36" i="2"/>
  <c r="AG36" i="2"/>
  <c r="E36" i="10" s="1"/>
  <c r="V36" i="2"/>
  <c r="L36" i="2"/>
  <c r="K36" i="2"/>
  <c r="H36" i="2"/>
  <c r="B36" i="2"/>
  <c r="AJ35" i="2"/>
  <c r="AI35" i="2"/>
  <c r="AH35" i="2"/>
  <c r="AG35" i="2"/>
  <c r="E35" i="10" s="1"/>
  <c r="V35" i="2"/>
  <c r="L35" i="2"/>
  <c r="K35" i="2"/>
  <c r="H35" i="2"/>
  <c r="B35" i="2"/>
  <c r="AJ34" i="2"/>
  <c r="AI34" i="2"/>
  <c r="AH34" i="2"/>
  <c r="F34" i="10" s="1"/>
  <c r="AG34" i="2"/>
  <c r="V34" i="2"/>
  <c r="L34" i="2"/>
  <c r="K34" i="2"/>
  <c r="H34" i="2"/>
  <c r="B34" i="2"/>
  <c r="AJ33" i="2"/>
  <c r="AI33" i="2"/>
  <c r="AH33" i="2"/>
  <c r="F33" i="10" s="1"/>
  <c r="AG33" i="2"/>
  <c r="V33" i="2"/>
  <c r="L33" i="2"/>
  <c r="K33" i="2"/>
  <c r="H33" i="2"/>
  <c r="G33" i="2"/>
  <c r="G35" i="2" s="1"/>
  <c r="B33" i="2"/>
  <c r="AJ32" i="2"/>
  <c r="AI32" i="2"/>
  <c r="AH32" i="2"/>
  <c r="AG32" i="2"/>
  <c r="E32" i="10" s="1"/>
  <c r="V32" i="2"/>
  <c r="L32" i="2"/>
  <c r="K32" i="2"/>
  <c r="H32" i="2"/>
  <c r="G32" i="2"/>
  <c r="B32" i="2"/>
  <c r="AJ31" i="2"/>
  <c r="AI31" i="2"/>
  <c r="AH31" i="2"/>
  <c r="AG31" i="2"/>
  <c r="E31" i="10" s="1"/>
  <c r="V31" i="2"/>
  <c r="L31" i="2"/>
  <c r="K31" i="2"/>
  <c r="H31" i="2"/>
  <c r="G31" i="2"/>
  <c r="B31" i="2"/>
  <c r="AJ30" i="2"/>
  <c r="AI30" i="2"/>
  <c r="AH30" i="2"/>
  <c r="AG30" i="2"/>
  <c r="V30" i="2"/>
  <c r="L30" i="2"/>
  <c r="K30" i="2"/>
  <c r="H30" i="2"/>
  <c r="G30" i="2"/>
  <c r="B30" i="2"/>
  <c r="AJ29" i="2"/>
  <c r="AI29" i="2"/>
  <c r="AH29" i="2"/>
  <c r="F29" i="10" s="1"/>
  <c r="AG29" i="2"/>
  <c r="V29" i="2"/>
  <c r="U29" i="2"/>
  <c r="L29" i="2"/>
  <c r="K29" i="2"/>
  <c r="H29" i="2"/>
  <c r="B29" i="2"/>
  <c r="AJ28" i="2"/>
  <c r="AI28" i="2"/>
  <c r="AH28" i="2"/>
  <c r="AG28" i="2"/>
  <c r="E28" i="10" s="1"/>
  <c r="V28" i="2"/>
  <c r="L28" i="2"/>
  <c r="K28" i="2"/>
  <c r="H28" i="2"/>
  <c r="B28" i="2"/>
  <c r="AL27" i="2"/>
  <c r="AJ27" i="2"/>
  <c r="AI27" i="2"/>
  <c r="AH27" i="2"/>
  <c r="AG27" i="2"/>
  <c r="V27" i="2"/>
  <c r="L27" i="2"/>
  <c r="B27" i="2"/>
  <c r="AJ26" i="2"/>
  <c r="AI26" i="2"/>
  <c r="AH26" i="2"/>
  <c r="AG26" i="2"/>
  <c r="V26" i="2"/>
  <c r="L26" i="2"/>
  <c r="B26" i="2"/>
  <c r="BB25" i="2"/>
  <c r="BA25" i="2"/>
  <c r="AZ25" i="2"/>
  <c r="AY25" i="2"/>
  <c r="AX25" i="2"/>
  <c r="AX37" i="2" s="1"/>
  <c r="AX49" i="2" s="1"/>
  <c r="AX61" i="2" s="1"/>
  <c r="AX73" i="2" s="1"/>
  <c r="AX85" i="2" s="1"/>
  <c r="AX97" i="2" s="1"/>
  <c r="AW25" i="2"/>
  <c r="AV25" i="2"/>
  <c r="AU25" i="2"/>
  <c r="AT25" i="2"/>
  <c r="AS25" i="2"/>
  <c r="AR25" i="2"/>
  <c r="AQ25" i="2"/>
  <c r="AP25" i="2"/>
  <c r="AO25" i="2"/>
  <c r="AO37" i="2" s="1"/>
  <c r="AO49" i="2" s="1"/>
  <c r="AO61" i="2" s="1"/>
  <c r="AO73" i="2" s="1"/>
  <c r="AO85" i="2" s="1"/>
  <c r="AO97" i="2" s="1"/>
  <c r="AL25" i="2"/>
  <c r="AJ25" i="2"/>
  <c r="AI25" i="2"/>
  <c r="AH25" i="2"/>
  <c r="AG25" i="2"/>
  <c r="V25" i="2"/>
  <c r="L25" i="2"/>
  <c r="B25" i="2"/>
  <c r="BB24" i="2"/>
  <c r="BA24" i="2"/>
  <c r="AZ24" i="2"/>
  <c r="AY24" i="2"/>
  <c r="AX24" i="2"/>
  <c r="AX36" i="2" s="1"/>
  <c r="AX48" i="2" s="1"/>
  <c r="AX60" i="2" s="1"/>
  <c r="AX72" i="2" s="1"/>
  <c r="AX84" i="2" s="1"/>
  <c r="AX96" i="2" s="1"/>
  <c r="AW24" i="2"/>
  <c r="AV24" i="2"/>
  <c r="AU24" i="2"/>
  <c r="AU36" i="2" s="1"/>
  <c r="AT24" i="2"/>
  <c r="AT36" i="2" s="1"/>
  <c r="AS24" i="2"/>
  <c r="AR24" i="2"/>
  <c r="AQ24" i="2"/>
  <c r="AQ36" i="2" s="1"/>
  <c r="AQ48" i="2" s="1"/>
  <c r="AP24" i="2"/>
  <c r="AO24" i="2"/>
  <c r="AO36" i="2" s="1"/>
  <c r="AO48" i="2" s="1"/>
  <c r="AO60" i="2" s="1"/>
  <c r="AO72" i="2" s="1"/>
  <c r="AO84" i="2" s="1"/>
  <c r="AO96" i="2" s="1"/>
  <c r="AL24" i="2"/>
  <c r="AJ24" i="2"/>
  <c r="AI24" i="2"/>
  <c r="AH24" i="2"/>
  <c r="AG24" i="2"/>
  <c r="V24" i="2"/>
  <c r="L24" i="2"/>
  <c r="B24" i="2"/>
  <c r="BB23" i="2"/>
  <c r="BA23" i="2"/>
  <c r="AZ23" i="2"/>
  <c r="AZ35" i="2" s="1"/>
  <c r="AY23" i="2"/>
  <c r="AX23" i="2"/>
  <c r="AX35" i="2" s="1"/>
  <c r="AX47" i="2" s="1"/>
  <c r="AX59" i="2" s="1"/>
  <c r="AX71" i="2" s="1"/>
  <c r="AX83" i="2" s="1"/>
  <c r="AX95" i="2" s="1"/>
  <c r="AW23" i="2"/>
  <c r="AV23" i="2"/>
  <c r="AU23" i="2"/>
  <c r="AT23" i="2"/>
  <c r="AT35" i="2" s="1"/>
  <c r="AS23" i="2"/>
  <c r="AR23" i="2"/>
  <c r="AR35" i="2" s="1"/>
  <c r="AQ23" i="2"/>
  <c r="AP23" i="2"/>
  <c r="AO23" i="2"/>
  <c r="AO35" i="2" s="1"/>
  <c r="AO47" i="2" s="1"/>
  <c r="AO59" i="2" s="1"/>
  <c r="AO71" i="2" s="1"/>
  <c r="AO83" i="2" s="1"/>
  <c r="AO95" i="2" s="1"/>
  <c r="AL23" i="2"/>
  <c r="AJ23" i="2"/>
  <c r="AI23" i="2"/>
  <c r="AH23" i="2"/>
  <c r="AG23" i="2"/>
  <c r="V23" i="2"/>
  <c r="L23" i="2"/>
  <c r="B23" i="2"/>
  <c r="BC22" i="2"/>
  <c r="BC34" i="2" s="1"/>
  <c r="BB22" i="2"/>
  <c r="BA22" i="2"/>
  <c r="AZ22" i="2"/>
  <c r="AY22" i="2"/>
  <c r="AX22" i="2"/>
  <c r="AX34" i="2" s="1"/>
  <c r="AX46" i="2" s="1"/>
  <c r="AX58" i="2" s="1"/>
  <c r="AX70" i="2" s="1"/>
  <c r="AX82" i="2" s="1"/>
  <c r="AX94" i="2" s="1"/>
  <c r="AW22" i="2"/>
  <c r="AV22" i="2"/>
  <c r="AU22" i="2"/>
  <c r="AU34" i="2" s="1"/>
  <c r="AT22" i="2"/>
  <c r="AS22" i="2"/>
  <c r="AR22" i="2"/>
  <c r="AQ22" i="2"/>
  <c r="AP22" i="2"/>
  <c r="AO22" i="2"/>
  <c r="AO34" i="2" s="1"/>
  <c r="AO46" i="2" s="1"/>
  <c r="AO58" i="2" s="1"/>
  <c r="AO70" i="2" s="1"/>
  <c r="AO82" i="2" s="1"/>
  <c r="AO94" i="2" s="1"/>
  <c r="AL22" i="2"/>
  <c r="AJ22" i="2"/>
  <c r="AI22" i="2"/>
  <c r="AH22" i="2"/>
  <c r="AG22" i="2"/>
  <c r="V22" i="2"/>
  <c r="L22" i="2"/>
  <c r="B22" i="2"/>
  <c r="BB21" i="2"/>
  <c r="BA21" i="2"/>
  <c r="AZ21" i="2"/>
  <c r="AZ33" i="2" s="1"/>
  <c r="AY21" i="2"/>
  <c r="AX21" i="2"/>
  <c r="AX33" i="2" s="1"/>
  <c r="AX45" i="2" s="1"/>
  <c r="AX57" i="2" s="1"/>
  <c r="AX69" i="2" s="1"/>
  <c r="AX81" i="2" s="1"/>
  <c r="AX93" i="2" s="1"/>
  <c r="AW21" i="2"/>
  <c r="AV21" i="2"/>
  <c r="AU21" i="2"/>
  <c r="AT21" i="2"/>
  <c r="AT33" i="2" s="1"/>
  <c r="AS21" i="2"/>
  <c r="AR21" i="2"/>
  <c r="AR33" i="2" s="1"/>
  <c r="AQ21" i="2"/>
  <c r="AP21" i="2"/>
  <c r="AO21" i="2"/>
  <c r="AO33" i="2" s="1"/>
  <c r="AO45" i="2" s="1"/>
  <c r="AO57" i="2" s="1"/>
  <c r="AO69" i="2" s="1"/>
  <c r="AO81" i="2" s="1"/>
  <c r="AO93" i="2" s="1"/>
  <c r="AL21" i="2"/>
  <c r="AJ21" i="2"/>
  <c r="AI21" i="2"/>
  <c r="AH21" i="2"/>
  <c r="AG21" i="2"/>
  <c r="V21" i="2"/>
  <c r="L21" i="2"/>
  <c r="B21" i="2"/>
  <c r="BB20" i="2"/>
  <c r="BA20" i="2"/>
  <c r="AZ20" i="2"/>
  <c r="AZ32" i="2" s="1"/>
  <c r="AY20" i="2"/>
  <c r="AX20" i="2"/>
  <c r="AX32" i="2" s="1"/>
  <c r="AX44" i="2" s="1"/>
  <c r="AX56" i="2" s="1"/>
  <c r="AX68" i="2" s="1"/>
  <c r="AX80" i="2" s="1"/>
  <c r="AX92" i="2" s="1"/>
  <c r="AW20" i="2"/>
  <c r="AV20" i="2"/>
  <c r="AU20" i="2"/>
  <c r="AU32" i="2" s="1"/>
  <c r="AU44" i="2" s="1"/>
  <c r="AT20" i="2"/>
  <c r="AT32" i="2" s="1"/>
  <c r="AS20" i="2"/>
  <c r="AR20" i="2"/>
  <c r="AR32" i="2" s="1"/>
  <c r="AQ20" i="2"/>
  <c r="AQ32" i="2" s="1"/>
  <c r="AP20" i="2"/>
  <c r="AO20" i="2"/>
  <c r="AO32" i="2" s="1"/>
  <c r="AO44" i="2" s="1"/>
  <c r="AO56" i="2" s="1"/>
  <c r="AO68" i="2" s="1"/>
  <c r="AO80" i="2" s="1"/>
  <c r="AO92" i="2" s="1"/>
  <c r="AL20" i="2"/>
  <c r="AJ20" i="2"/>
  <c r="AI20" i="2"/>
  <c r="AH20" i="2"/>
  <c r="AG20" i="2"/>
  <c r="V20" i="2"/>
  <c r="L20" i="2"/>
  <c r="B20" i="2"/>
  <c r="BB19" i="2"/>
  <c r="BA19" i="2"/>
  <c r="AZ19" i="2"/>
  <c r="AZ31" i="2" s="1"/>
  <c r="J31" i="8" s="1"/>
  <c r="S31" i="8" s="1"/>
  <c r="AY19" i="2"/>
  <c r="AX19" i="2"/>
  <c r="AX31" i="2" s="1"/>
  <c r="AX43" i="2" s="1"/>
  <c r="AX55" i="2" s="1"/>
  <c r="AX67" i="2" s="1"/>
  <c r="AX79" i="2" s="1"/>
  <c r="AX91" i="2" s="1"/>
  <c r="AW19" i="2"/>
  <c r="AV19" i="2"/>
  <c r="AU19" i="2"/>
  <c r="AT19" i="2"/>
  <c r="AT31" i="2" s="1"/>
  <c r="AS19" i="2"/>
  <c r="AS31" i="2" s="1"/>
  <c r="AR19" i="2"/>
  <c r="AR31" i="2" s="1"/>
  <c r="AQ19" i="2"/>
  <c r="AP19" i="2"/>
  <c r="AO19" i="2"/>
  <c r="AO31" i="2" s="1"/>
  <c r="AO43" i="2" s="1"/>
  <c r="AO55" i="2" s="1"/>
  <c r="AO67" i="2" s="1"/>
  <c r="AO79" i="2" s="1"/>
  <c r="AO91" i="2" s="1"/>
  <c r="AL19" i="2"/>
  <c r="AJ19" i="2"/>
  <c r="AI19" i="2"/>
  <c r="AH19" i="2"/>
  <c r="AG19" i="2"/>
  <c r="V19" i="2"/>
  <c r="L19" i="2"/>
  <c r="B19" i="2"/>
  <c r="BB18" i="2"/>
  <c r="BA18" i="2"/>
  <c r="AZ18" i="2"/>
  <c r="AY18" i="2"/>
  <c r="AX18" i="2"/>
  <c r="AX30" i="2" s="1"/>
  <c r="AX42" i="2" s="1"/>
  <c r="AX54" i="2" s="1"/>
  <c r="AX66" i="2" s="1"/>
  <c r="AX78" i="2" s="1"/>
  <c r="AX90" i="2" s="1"/>
  <c r="AW18" i="2"/>
  <c r="AV18" i="2"/>
  <c r="AU18" i="2"/>
  <c r="AT18" i="2"/>
  <c r="AS18" i="2"/>
  <c r="AR18" i="2"/>
  <c r="AQ18" i="2"/>
  <c r="AQ30" i="2" s="1"/>
  <c r="AP18" i="2"/>
  <c r="AO18" i="2"/>
  <c r="AO30" i="2" s="1"/>
  <c r="AO42" i="2" s="1"/>
  <c r="AO54" i="2" s="1"/>
  <c r="AO66" i="2" s="1"/>
  <c r="AO78" i="2" s="1"/>
  <c r="AO90" i="2" s="1"/>
  <c r="AL18" i="2"/>
  <c r="AJ18" i="2"/>
  <c r="AI18" i="2"/>
  <c r="AH18" i="2"/>
  <c r="AG18" i="2"/>
  <c r="V18" i="2"/>
  <c r="L18" i="2"/>
  <c r="B18" i="2"/>
  <c r="BB17" i="2"/>
  <c r="BA17" i="2"/>
  <c r="AZ17" i="2"/>
  <c r="AZ29" i="2" s="1"/>
  <c r="J29" i="8" s="1"/>
  <c r="S29" i="8" s="1"/>
  <c r="AY17" i="2"/>
  <c r="AX17" i="2"/>
  <c r="AX29" i="2" s="1"/>
  <c r="AX41" i="2" s="1"/>
  <c r="AX53" i="2" s="1"/>
  <c r="AX65" i="2" s="1"/>
  <c r="AX77" i="2" s="1"/>
  <c r="AX89" i="2" s="1"/>
  <c r="AW17" i="2"/>
  <c r="AV17" i="2"/>
  <c r="AU17" i="2"/>
  <c r="AT17" i="2"/>
  <c r="AS17" i="2"/>
  <c r="AR17" i="2"/>
  <c r="AR29" i="2" s="1"/>
  <c r="AR41" i="2" s="1"/>
  <c r="AQ17" i="2"/>
  <c r="AP17" i="2"/>
  <c r="AO17" i="2"/>
  <c r="AO29" i="2" s="1"/>
  <c r="AO41" i="2" s="1"/>
  <c r="AO53" i="2" s="1"/>
  <c r="AO65" i="2" s="1"/>
  <c r="AO77" i="2" s="1"/>
  <c r="AO89" i="2" s="1"/>
  <c r="AL17" i="2"/>
  <c r="AJ17" i="2"/>
  <c r="AI17" i="2"/>
  <c r="AH17" i="2"/>
  <c r="AG17" i="2"/>
  <c r="V17" i="2"/>
  <c r="L17" i="2"/>
  <c r="B17" i="2"/>
  <c r="BB16" i="2"/>
  <c r="BA16" i="2"/>
  <c r="AZ16" i="2"/>
  <c r="AZ28" i="2" s="1"/>
  <c r="AY16" i="2"/>
  <c r="AX16" i="2"/>
  <c r="AX28" i="2" s="1"/>
  <c r="AX40" i="2" s="1"/>
  <c r="AX52" i="2" s="1"/>
  <c r="AX64" i="2" s="1"/>
  <c r="AX76" i="2" s="1"/>
  <c r="AX88" i="2" s="1"/>
  <c r="AW16" i="2"/>
  <c r="AV16" i="2"/>
  <c r="AU16" i="2"/>
  <c r="AU28" i="2" s="1"/>
  <c r="AU40" i="2" s="1"/>
  <c r="AT16" i="2"/>
  <c r="AT28" i="2" s="1"/>
  <c r="AS16" i="2"/>
  <c r="AR16" i="2"/>
  <c r="AR28" i="2" s="1"/>
  <c r="AQ16" i="2"/>
  <c r="AQ28" i="2" s="1"/>
  <c r="AP16" i="2"/>
  <c r="AO16" i="2"/>
  <c r="AO28" i="2" s="1"/>
  <c r="AO40" i="2" s="1"/>
  <c r="AO52" i="2" s="1"/>
  <c r="AO64" i="2" s="1"/>
  <c r="AO76" i="2" s="1"/>
  <c r="AO88" i="2" s="1"/>
  <c r="AL16" i="2"/>
  <c r="AJ16" i="2"/>
  <c r="AI16" i="2"/>
  <c r="AH16" i="2"/>
  <c r="AG16" i="2"/>
  <c r="V16" i="2"/>
  <c r="L16" i="2"/>
  <c r="B16" i="2"/>
  <c r="BB15" i="2"/>
  <c r="BA15" i="2"/>
  <c r="AZ15" i="2"/>
  <c r="AY15" i="2"/>
  <c r="AX15" i="2"/>
  <c r="AX27" i="2" s="1"/>
  <c r="AX39" i="2" s="1"/>
  <c r="AX51" i="2" s="1"/>
  <c r="AX63" i="2" s="1"/>
  <c r="AX75" i="2" s="1"/>
  <c r="AX87" i="2" s="1"/>
  <c r="AW15" i="2"/>
  <c r="AV15" i="2"/>
  <c r="AU15" i="2"/>
  <c r="AT15" i="2"/>
  <c r="AS15" i="2"/>
  <c r="AR15" i="2"/>
  <c r="AQ15" i="2"/>
  <c r="AP15" i="2"/>
  <c r="AO15" i="2"/>
  <c r="AO27" i="2" s="1"/>
  <c r="AO39" i="2" s="1"/>
  <c r="AO51" i="2" s="1"/>
  <c r="AO63" i="2" s="1"/>
  <c r="AO75" i="2" s="1"/>
  <c r="AO87" i="2" s="1"/>
  <c r="AJ15" i="2"/>
  <c r="AI15" i="2"/>
  <c r="AH15" i="2"/>
  <c r="F15" i="10" s="1"/>
  <c r="AG15" i="2"/>
  <c r="V15" i="2"/>
  <c r="L15" i="2"/>
  <c r="B15" i="2"/>
  <c r="BB14" i="2"/>
  <c r="BA14" i="2"/>
  <c r="AZ14" i="2"/>
  <c r="AZ26" i="2" s="1"/>
  <c r="AY14" i="2"/>
  <c r="AX14" i="2"/>
  <c r="AX26" i="2" s="1"/>
  <c r="AX38" i="2" s="1"/>
  <c r="AX50" i="2" s="1"/>
  <c r="AX62" i="2" s="1"/>
  <c r="AX74" i="2" s="1"/>
  <c r="AX86" i="2" s="1"/>
  <c r="AW14" i="2"/>
  <c r="AV14" i="2"/>
  <c r="AU14" i="2"/>
  <c r="AU26" i="2" s="1"/>
  <c r="AT14" i="2"/>
  <c r="AT26" i="2" s="1"/>
  <c r="AS14" i="2"/>
  <c r="AR14" i="2"/>
  <c r="AR26" i="2" s="1"/>
  <c r="AQ14" i="2"/>
  <c r="AQ26" i="2" s="1"/>
  <c r="AP14" i="2"/>
  <c r="AO14" i="2"/>
  <c r="AO26" i="2" s="1"/>
  <c r="AO38" i="2" s="1"/>
  <c r="AO50" i="2" s="1"/>
  <c r="AO62" i="2" s="1"/>
  <c r="AO74" i="2" s="1"/>
  <c r="AO86" i="2" s="1"/>
  <c r="AL14" i="2"/>
  <c r="AJ14" i="2"/>
  <c r="AI14" i="2"/>
  <c r="AH14" i="2"/>
  <c r="AG14" i="2"/>
  <c r="V14" i="2"/>
  <c r="L14" i="2"/>
  <c r="B14" i="2"/>
  <c r="BC13" i="2"/>
  <c r="BC25" i="2" s="1"/>
  <c r="AJ13" i="2"/>
  <c r="AI13" i="2"/>
  <c r="AH13" i="2"/>
  <c r="AG13" i="2"/>
  <c r="V13" i="2"/>
  <c r="L13" i="2"/>
  <c r="B13" i="2"/>
  <c r="BC12" i="2"/>
  <c r="G12" i="6" s="1"/>
  <c r="O12" i="6" s="1"/>
  <c r="AJ12" i="2"/>
  <c r="AI12" i="2"/>
  <c r="AH12" i="2"/>
  <c r="AG12" i="2"/>
  <c r="E12" i="10" s="1"/>
  <c r="V12" i="2"/>
  <c r="L12" i="2"/>
  <c r="B12" i="2"/>
  <c r="BC11" i="2"/>
  <c r="BC23" i="2" s="1"/>
  <c r="G23" i="6" s="1"/>
  <c r="O23" i="6" s="1"/>
  <c r="AJ11" i="2"/>
  <c r="AI11" i="2"/>
  <c r="AH11" i="2"/>
  <c r="F11" i="10" s="1"/>
  <c r="AG11" i="2"/>
  <c r="E11" i="10" s="1"/>
  <c r="V11" i="2"/>
  <c r="L11" i="2"/>
  <c r="B11" i="2"/>
  <c r="AJ10" i="2"/>
  <c r="AI10" i="2"/>
  <c r="AH10" i="2"/>
  <c r="AG10" i="2"/>
  <c r="E10" i="10" s="1"/>
  <c r="V10" i="2"/>
  <c r="L10" i="2"/>
  <c r="B10" i="2"/>
  <c r="BC9" i="2"/>
  <c r="BC21" i="2" s="1"/>
  <c r="AJ9" i="2"/>
  <c r="AI9" i="2"/>
  <c r="AH9" i="2"/>
  <c r="F9" i="10" s="1"/>
  <c r="AG9" i="2"/>
  <c r="V9" i="2"/>
  <c r="L9" i="2"/>
  <c r="B9" i="2"/>
  <c r="BC8" i="2"/>
  <c r="AJ8" i="2"/>
  <c r="AI8" i="2"/>
  <c r="AH8" i="2"/>
  <c r="F8" i="10" s="1"/>
  <c r="AG8" i="2"/>
  <c r="V8" i="2"/>
  <c r="L8" i="2"/>
  <c r="B8" i="2"/>
  <c r="BC7" i="2"/>
  <c r="AJ7" i="2"/>
  <c r="AI7" i="2"/>
  <c r="AH7" i="2"/>
  <c r="AG7" i="2"/>
  <c r="E7" i="10" s="1"/>
  <c r="V7" i="2"/>
  <c r="L7" i="2"/>
  <c r="B7" i="2"/>
  <c r="BC6" i="2"/>
  <c r="AJ6" i="2"/>
  <c r="AI6" i="2"/>
  <c r="AH6" i="2"/>
  <c r="AG6" i="2"/>
  <c r="E6" i="10" s="1"/>
  <c r="V6" i="2"/>
  <c r="L6" i="2"/>
  <c r="B6" i="2"/>
  <c r="BC5" i="2"/>
  <c r="AJ5" i="2"/>
  <c r="AI5" i="2"/>
  <c r="AH5" i="2"/>
  <c r="F5" i="10" s="1"/>
  <c r="AG5" i="2"/>
  <c r="V5" i="2"/>
  <c r="L5" i="2"/>
  <c r="B5" i="2"/>
  <c r="BC4" i="2"/>
  <c r="AJ4" i="2"/>
  <c r="AI4" i="2"/>
  <c r="AH4" i="2"/>
  <c r="AG4" i="2"/>
  <c r="V4" i="2"/>
  <c r="L4" i="2"/>
  <c r="B4" i="2"/>
  <c r="BC3" i="2"/>
  <c r="BC15" i="2" s="1"/>
  <c r="AJ3" i="2"/>
  <c r="AI3" i="2"/>
  <c r="AH3" i="2"/>
  <c r="AG3" i="2"/>
  <c r="E3" i="10" s="1"/>
  <c r="V3" i="2"/>
  <c r="L3" i="2"/>
  <c r="B3" i="2"/>
  <c r="BC2" i="2"/>
  <c r="AJ2" i="2"/>
  <c r="AI2" i="2"/>
  <c r="AH2" i="2"/>
  <c r="AG2" i="2"/>
  <c r="E2" i="10" s="1"/>
  <c r="V2" i="2"/>
  <c r="L2" i="2"/>
  <c r="B2" i="2"/>
  <c r="AV26" i="2" l="1"/>
  <c r="J14" i="16"/>
  <c r="J14" i="10"/>
  <c r="AY27" i="2"/>
  <c r="L15" i="16"/>
  <c r="X15" i="16" s="1"/>
  <c r="X15" i="10"/>
  <c r="I20" i="10"/>
  <c r="K20" i="16"/>
  <c r="W20" i="16" s="1"/>
  <c r="K20" i="10"/>
  <c r="W20" i="10" s="1"/>
  <c r="M23" i="16"/>
  <c r="Y23" i="16" s="1"/>
  <c r="Y23" i="10"/>
  <c r="AV36" i="2"/>
  <c r="J24" i="16"/>
  <c r="J24" i="10"/>
  <c r="M25" i="16"/>
  <c r="Y25" i="16" s="1"/>
  <c r="Y25" i="10"/>
  <c r="I14" i="10"/>
  <c r="K14" i="16"/>
  <c r="W14" i="16" s="1"/>
  <c r="K14" i="10"/>
  <c r="W14" i="10" s="1"/>
  <c r="AV27" i="2"/>
  <c r="J15" i="16"/>
  <c r="J15" i="10"/>
  <c r="AP28" i="2"/>
  <c r="I16" i="16"/>
  <c r="U16" i="16" s="1"/>
  <c r="M16" i="16"/>
  <c r="Y16" i="16" s="1"/>
  <c r="Y16" i="10"/>
  <c r="AV29" i="2"/>
  <c r="J17" i="16"/>
  <c r="J17" i="10"/>
  <c r="AP30" i="2"/>
  <c r="I18" i="16"/>
  <c r="M18" i="16"/>
  <c r="Y18" i="16" s="1"/>
  <c r="Y18" i="10"/>
  <c r="AV31" i="2"/>
  <c r="J19" i="16"/>
  <c r="J19" i="10"/>
  <c r="AP32" i="2"/>
  <c r="I20" i="16"/>
  <c r="M20" i="16"/>
  <c r="Y20" i="16" s="1"/>
  <c r="Y20" i="10"/>
  <c r="AV33" i="2"/>
  <c r="J21" i="16"/>
  <c r="J21" i="10"/>
  <c r="AP34" i="2"/>
  <c r="I22" i="16"/>
  <c r="M22" i="16"/>
  <c r="Y22" i="16" s="1"/>
  <c r="Y22" i="10"/>
  <c r="AY35" i="2"/>
  <c r="L23" i="16"/>
  <c r="X23" i="16" s="1"/>
  <c r="X23" i="10"/>
  <c r="I24" i="10"/>
  <c r="K24" i="16"/>
  <c r="W24" i="16" s="1"/>
  <c r="K24" i="10"/>
  <c r="W24" i="10" s="1"/>
  <c r="AY37" i="2"/>
  <c r="L25" i="16"/>
  <c r="X25" i="16" s="1"/>
  <c r="X25" i="10"/>
  <c r="AY29" i="2"/>
  <c r="L17" i="16"/>
  <c r="X17" i="16" s="1"/>
  <c r="X17" i="10"/>
  <c r="I18" i="10"/>
  <c r="U18" i="10" s="1"/>
  <c r="K18" i="16"/>
  <c r="W18" i="16" s="1"/>
  <c r="K18" i="10"/>
  <c r="W18" i="10" s="1"/>
  <c r="AY33" i="2"/>
  <c r="L21" i="16"/>
  <c r="X21" i="16" s="1"/>
  <c r="X21" i="10"/>
  <c r="M14" i="16"/>
  <c r="Y14" i="16" s="1"/>
  <c r="Y14" i="10"/>
  <c r="I17" i="10"/>
  <c r="U17" i="10" s="1"/>
  <c r="K17" i="16"/>
  <c r="W17" i="16" s="1"/>
  <c r="K17" i="10"/>
  <c r="W17" i="10" s="1"/>
  <c r="AY30" i="2"/>
  <c r="L18" i="16"/>
  <c r="X18" i="16" s="1"/>
  <c r="X18" i="10"/>
  <c r="K19" i="16"/>
  <c r="W19" i="16" s="1"/>
  <c r="K19" i="10"/>
  <c r="W19" i="10" s="1"/>
  <c r="AY32" i="2"/>
  <c r="L20" i="16"/>
  <c r="X20" i="16" s="1"/>
  <c r="X20" i="10"/>
  <c r="I21" i="10"/>
  <c r="K21" i="16"/>
  <c r="W21" i="16" s="1"/>
  <c r="K21" i="10"/>
  <c r="W21" i="10" s="1"/>
  <c r="AY34" i="2"/>
  <c r="L22" i="16"/>
  <c r="X22" i="16" s="1"/>
  <c r="X22" i="10"/>
  <c r="AV35" i="2"/>
  <c r="J23" i="16"/>
  <c r="J23" i="10"/>
  <c r="AP36" i="2"/>
  <c r="I24" i="16"/>
  <c r="M24" i="16"/>
  <c r="Y24" i="16" s="1"/>
  <c r="Y24" i="10"/>
  <c r="AV37" i="2"/>
  <c r="J25" i="16"/>
  <c r="J25" i="10"/>
  <c r="I16" i="10"/>
  <c r="K16" i="16"/>
  <c r="W16" i="16" s="1"/>
  <c r="K16" i="10"/>
  <c r="W16" i="10" s="1"/>
  <c r="AY31" i="2"/>
  <c r="X19" i="10"/>
  <c r="L19" i="16"/>
  <c r="X19" i="16" s="1"/>
  <c r="I22" i="10"/>
  <c r="K22" i="16"/>
  <c r="W22" i="16" s="1"/>
  <c r="K22" i="10"/>
  <c r="W22" i="10" s="1"/>
  <c r="AP35" i="2"/>
  <c r="I23" i="16"/>
  <c r="AP37" i="2"/>
  <c r="I25" i="16"/>
  <c r="D43" i="24"/>
  <c r="K5" i="18"/>
  <c r="J9" i="20"/>
  <c r="D26" i="24" s="1"/>
  <c r="J5" i="20"/>
  <c r="AA9" i="19"/>
  <c r="AA5" i="19"/>
  <c r="AA12" i="19"/>
  <c r="J12" i="20"/>
  <c r="G26" i="24" s="1"/>
  <c r="J8" i="20"/>
  <c r="C26" i="24" s="1"/>
  <c r="AA8" i="19"/>
  <c r="J11" i="20"/>
  <c r="F26" i="24" s="1"/>
  <c r="J7" i="20"/>
  <c r="AA11" i="19"/>
  <c r="AA7" i="19"/>
  <c r="AA6" i="19"/>
  <c r="J10" i="20"/>
  <c r="E26" i="24" s="1"/>
  <c r="J6" i="20"/>
  <c r="AA10" i="19"/>
  <c r="O10" i="18"/>
  <c r="F44" i="24" s="1"/>
  <c r="O6" i="18"/>
  <c r="O11" i="18"/>
  <c r="O9" i="18"/>
  <c r="E44" i="24" s="1"/>
  <c r="O5" i="18"/>
  <c r="K4" i="18"/>
  <c r="O8" i="18"/>
  <c r="D44" i="24" s="1"/>
  <c r="O4" i="18"/>
  <c r="O7" i="18"/>
  <c r="C44" i="24" s="1"/>
  <c r="AP26" i="2"/>
  <c r="I14" i="16"/>
  <c r="I15" i="10"/>
  <c r="K15" i="16"/>
  <c r="W15" i="16" s="1"/>
  <c r="K15" i="10"/>
  <c r="W15" i="10" s="1"/>
  <c r="AY28" i="2"/>
  <c r="L16" i="16"/>
  <c r="X16" i="16" s="1"/>
  <c r="X16" i="10"/>
  <c r="AY26" i="2"/>
  <c r="L14" i="16"/>
  <c r="X14" i="16" s="1"/>
  <c r="X14" i="10"/>
  <c r="AP27" i="2"/>
  <c r="I15" i="16"/>
  <c r="U15" i="16" s="1"/>
  <c r="M15" i="16"/>
  <c r="Y15" i="16" s="1"/>
  <c r="Y15" i="10"/>
  <c r="AV28" i="2"/>
  <c r="J16" i="16"/>
  <c r="V16" i="16" s="1"/>
  <c r="J16" i="10"/>
  <c r="AP29" i="2"/>
  <c r="I17" i="16"/>
  <c r="M17" i="16"/>
  <c r="Y17" i="16" s="1"/>
  <c r="Y17" i="10"/>
  <c r="AV30" i="2"/>
  <c r="J18" i="16"/>
  <c r="J18" i="10"/>
  <c r="V18" i="10" s="1"/>
  <c r="AP31" i="2"/>
  <c r="I19" i="16"/>
  <c r="M19" i="16"/>
  <c r="Y19" i="16" s="1"/>
  <c r="Y19" i="10"/>
  <c r="AV32" i="2"/>
  <c r="J20" i="16"/>
  <c r="J20" i="10"/>
  <c r="AP33" i="2"/>
  <c r="I21" i="16"/>
  <c r="M21" i="16"/>
  <c r="Y21" i="16" s="1"/>
  <c r="Y21" i="10"/>
  <c r="AV34" i="2"/>
  <c r="J22" i="16"/>
  <c r="J22" i="10"/>
  <c r="K23" i="16"/>
  <c r="W23" i="16" s="1"/>
  <c r="K23" i="10"/>
  <c r="W23" i="10" s="1"/>
  <c r="AY36" i="2"/>
  <c r="L24" i="16"/>
  <c r="X24" i="16" s="1"/>
  <c r="X24" i="10"/>
  <c r="I25" i="10"/>
  <c r="U25" i="10" s="1"/>
  <c r="K25" i="16"/>
  <c r="W25" i="16" s="1"/>
  <c r="K25" i="10"/>
  <c r="W25" i="10" s="1"/>
  <c r="M58" i="3"/>
  <c r="H76" i="3" s="1"/>
  <c r="G43" i="24"/>
  <c r="F4" i="10"/>
  <c r="Q7" i="10"/>
  <c r="F7" i="10"/>
  <c r="R7" i="10" s="1"/>
  <c r="BB26" i="2"/>
  <c r="D15" i="6"/>
  <c r="L15" i="6" s="1"/>
  <c r="E15" i="10"/>
  <c r="Q15" i="10" s="1"/>
  <c r="I16" i="6"/>
  <c r="Q16" i="6" s="1"/>
  <c r="G16" i="16"/>
  <c r="G16" i="10"/>
  <c r="S16" i="10" s="1"/>
  <c r="F17" i="10"/>
  <c r="R17" i="10" s="1"/>
  <c r="BA29" i="2"/>
  <c r="U17" i="16"/>
  <c r="I18" i="6"/>
  <c r="Q18" i="6" s="1"/>
  <c r="G18" i="16"/>
  <c r="S18" i="16" s="1"/>
  <c r="G18" i="10"/>
  <c r="AW31" i="2"/>
  <c r="I19" i="10"/>
  <c r="F21" i="10"/>
  <c r="R21" i="10" s="1"/>
  <c r="D23" i="6"/>
  <c r="L23" i="6" s="1"/>
  <c r="E23" i="10"/>
  <c r="AL35" i="2"/>
  <c r="T23" i="16"/>
  <c r="BB36" i="2"/>
  <c r="D25" i="6"/>
  <c r="L25" i="6" s="1"/>
  <c r="E25" i="10"/>
  <c r="G27" i="16"/>
  <c r="S27" i="16" s="1"/>
  <c r="G27" i="10"/>
  <c r="S27" i="10" s="1"/>
  <c r="E28" i="6"/>
  <c r="M28" i="6" s="1"/>
  <c r="F28" i="10"/>
  <c r="G31" i="16"/>
  <c r="S31" i="16" s="1"/>
  <c r="G31" i="10"/>
  <c r="S31" i="10" s="1"/>
  <c r="E32" i="6"/>
  <c r="M32" i="6" s="1"/>
  <c r="F32" i="10"/>
  <c r="Q35" i="10"/>
  <c r="F35" i="10"/>
  <c r="R35" i="10" s="1"/>
  <c r="G37" i="16"/>
  <c r="G37" i="10"/>
  <c r="Q43" i="10"/>
  <c r="F43" i="10"/>
  <c r="R43" i="10" s="1"/>
  <c r="D44" i="8"/>
  <c r="M44" i="8" s="1"/>
  <c r="E44" i="10"/>
  <c r="E60" i="6"/>
  <c r="M60" i="6" s="1"/>
  <c r="F60" i="10"/>
  <c r="R60" i="10" s="1"/>
  <c r="I62" i="6"/>
  <c r="Q62" i="6" s="1"/>
  <c r="G62" i="16"/>
  <c r="S62" i="16" s="1"/>
  <c r="G62" i="10"/>
  <c r="S62" i="10" s="1"/>
  <c r="Q63" i="10"/>
  <c r="F63" i="10"/>
  <c r="D65" i="8"/>
  <c r="M65" i="8" s="1"/>
  <c r="E65" i="10"/>
  <c r="Q65" i="10" s="1"/>
  <c r="D77" i="8"/>
  <c r="M77" i="8" s="1"/>
  <c r="E77" i="10"/>
  <c r="D85" i="8"/>
  <c r="M85" i="8" s="1"/>
  <c r="E85" i="10"/>
  <c r="Q85" i="10" s="1"/>
  <c r="F89" i="8"/>
  <c r="O89" i="8" s="1"/>
  <c r="G89" i="16"/>
  <c r="G101" i="16" s="1"/>
  <c r="G113" i="16" s="1"/>
  <c r="G89" i="10"/>
  <c r="F94" i="10"/>
  <c r="R94" i="10" s="1"/>
  <c r="E96" i="6"/>
  <c r="M96" i="6" s="1"/>
  <c r="F96" i="10"/>
  <c r="I11" i="6"/>
  <c r="Q11" i="6" s="1"/>
  <c r="G11" i="16"/>
  <c r="S11" i="16" s="1"/>
  <c r="G11" i="10"/>
  <c r="S11" i="10" s="1"/>
  <c r="I12" i="6"/>
  <c r="Q12" i="6" s="1"/>
  <c r="G12" i="16"/>
  <c r="S12" i="16" s="1"/>
  <c r="G12" i="10"/>
  <c r="S12" i="10" s="1"/>
  <c r="G13" i="16"/>
  <c r="S13" i="16" s="1"/>
  <c r="G13" i="10"/>
  <c r="S13" i="10" s="1"/>
  <c r="D16" i="8"/>
  <c r="M16" i="8" s="1"/>
  <c r="E16" i="10"/>
  <c r="Q16" i="10" s="1"/>
  <c r="D18" i="8"/>
  <c r="M18" i="8" s="1"/>
  <c r="E18" i="10"/>
  <c r="Q18" i="10" s="1"/>
  <c r="BB31" i="2"/>
  <c r="D22" i="8"/>
  <c r="M22" i="8" s="1"/>
  <c r="E22" i="10"/>
  <c r="Q22" i="10" s="1"/>
  <c r="AL70" i="2"/>
  <c r="AW35" i="2"/>
  <c r="I23" i="10"/>
  <c r="U23" i="10" s="1"/>
  <c r="I24" i="6"/>
  <c r="Q24" i="6" s="1"/>
  <c r="G24" i="16"/>
  <c r="G24" i="10"/>
  <c r="I26" i="6"/>
  <c r="Q26" i="6" s="1"/>
  <c r="G26" i="16"/>
  <c r="G26" i="10"/>
  <c r="D33" i="6"/>
  <c r="L33" i="6" s="1"/>
  <c r="E33" i="10"/>
  <c r="Q33" i="10" s="1"/>
  <c r="I34" i="6"/>
  <c r="Q34" i="6" s="1"/>
  <c r="G34" i="16"/>
  <c r="G34" i="10"/>
  <c r="F38" i="8"/>
  <c r="O38" i="8" s="1"/>
  <c r="G38" i="16"/>
  <c r="G38" i="10"/>
  <c r="D50" i="8"/>
  <c r="M50" i="8" s="1"/>
  <c r="E50" i="10"/>
  <c r="Q50" i="10" s="1"/>
  <c r="D54" i="8"/>
  <c r="M54" i="8" s="1"/>
  <c r="E54" i="10"/>
  <c r="Q54" i="10" s="1"/>
  <c r="F58" i="6"/>
  <c r="N58" i="6" s="1"/>
  <c r="I61" i="6"/>
  <c r="Q61" i="6" s="1"/>
  <c r="G61" i="16"/>
  <c r="G61" i="10"/>
  <c r="D62" i="8"/>
  <c r="M62" i="8" s="1"/>
  <c r="E62" i="10"/>
  <c r="F64" i="8"/>
  <c r="O64" i="8" s="1"/>
  <c r="G64" i="16"/>
  <c r="G64" i="10"/>
  <c r="E65" i="6"/>
  <c r="M65" i="6" s="1"/>
  <c r="F65" i="10"/>
  <c r="I66" i="6"/>
  <c r="Q66" i="6" s="1"/>
  <c r="G66" i="16"/>
  <c r="S66" i="16" s="1"/>
  <c r="G66" i="10"/>
  <c r="S66" i="10" s="1"/>
  <c r="E75" i="6"/>
  <c r="M75" i="6" s="1"/>
  <c r="F75" i="10"/>
  <c r="G2" i="16"/>
  <c r="S2" i="16" s="1"/>
  <c r="G2" i="10"/>
  <c r="S2" i="10" s="1"/>
  <c r="G3" i="16"/>
  <c r="S3" i="16" s="1"/>
  <c r="G3" i="10"/>
  <c r="S3" i="10" s="1"/>
  <c r="I4" i="6"/>
  <c r="Q4" i="6" s="1"/>
  <c r="G4" i="16"/>
  <c r="S4" i="16" s="1"/>
  <c r="G4" i="10"/>
  <c r="S4" i="10" s="1"/>
  <c r="G5" i="16"/>
  <c r="S5" i="16" s="1"/>
  <c r="G5" i="10"/>
  <c r="S5" i="10" s="1"/>
  <c r="F6" i="8"/>
  <c r="O6" i="8" s="1"/>
  <c r="G6" i="16"/>
  <c r="S6" i="16" s="1"/>
  <c r="G6" i="10"/>
  <c r="S6" i="10" s="1"/>
  <c r="G7" i="16"/>
  <c r="S7" i="16" s="1"/>
  <c r="G7" i="10"/>
  <c r="S7" i="10" s="1"/>
  <c r="I8" i="6"/>
  <c r="Q8" i="6" s="1"/>
  <c r="G8" i="16"/>
  <c r="S8" i="16" s="1"/>
  <c r="G8" i="10"/>
  <c r="S8" i="10" s="1"/>
  <c r="I9" i="6"/>
  <c r="Q9" i="6" s="1"/>
  <c r="G9" i="16"/>
  <c r="S9" i="16" s="1"/>
  <c r="G9" i="10"/>
  <c r="S9" i="10" s="1"/>
  <c r="F10" i="8"/>
  <c r="O10" i="8" s="1"/>
  <c r="G10" i="16"/>
  <c r="S10" i="16" s="1"/>
  <c r="G10" i="10"/>
  <c r="S10" i="10" s="1"/>
  <c r="D13" i="6"/>
  <c r="L13" i="6" s="1"/>
  <c r="E13" i="10"/>
  <c r="Q13" i="10" s="1"/>
  <c r="D14" i="8"/>
  <c r="M14" i="8" s="1"/>
  <c r="E14" i="10"/>
  <c r="AL26" i="2"/>
  <c r="F16" i="10"/>
  <c r="R16" i="10" s="1"/>
  <c r="BA28" i="2"/>
  <c r="G17" i="16"/>
  <c r="S17" i="16" s="1"/>
  <c r="G17" i="10"/>
  <c r="S17" i="10" s="1"/>
  <c r="F18" i="10"/>
  <c r="R18" i="10" s="1"/>
  <c r="BA30" i="2"/>
  <c r="G19" i="16"/>
  <c r="S19" i="16" s="1"/>
  <c r="G19" i="10"/>
  <c r="S19" i="10" s="1"/>
  <c r="F20" i="10"/>
  <c r="BA32" i="2"/>
  <c r="G21" i="16"/>
  <c r="G21" i="10"/>
  <c r="S21" i="10" s="1"/>
  <c r="F22" i="10"/>
  <c r="BA34" i="2"/>
  <c r="BB35" i="2"/>
  <c r="V23" i="10"/>
  <c r="D24" i="8"/>
  <c r="M24" i="8" s="1"/>
  <c r="E24" i="10"/>
  <c r="Q24" i="10" s="1"/>
  <c r="F24" i="6"/>
  <c r="N24" i="6" s="1"/>
  <c r="BB37" i="2"/>
  <c r="D26" i="8"/>
  <c r="M26" i="8" s="1"/>
  <c r="E26" i="10"/>
  <c r="Q26" i="10" s="1"/>
  <c r="F27" i="10"/>
  <c r="F28" i="8"/>
  <c r="O28" i="8" s="1"/>
  <c r="G28" i="16"/>
  <c r="G28" i="10"/>
  <c r="I30" i="6"/>
  <c r="Q30" i="6" s="1"/>
  <c r="G30" i="16"/>
  <c r="G30" i="10"/>
  <c r="Q31" i="10"/>
  <c r="F31" i="10"/>
  <c r="F32" i="8"/>
  <c r="O32" i="8" s="1"/>
  <c r="G32" i="16"/>
  <c r="G32" i="10"/>
  <c r="S32" i="10" s="1"/>
  <c r="D34" i="8"/>
  <c r="M34" i="8" s="1"/>
  <c r="E34" i="10"/>
  <c r="Q34" i="10" s="1"/>
  <c r="G35" i="16"/>
  <c r="G35" i="10"/>
  <c r="S35" i="10" s="1"/>
  <c r="F37" i="10"/>
  <c r="G39" i="16"/>
  <c r="S39" i="16" s="1"/>
  <c r="G39" i="10"/>
  <c r="S39" i="10" s="1"/>
  <c r="Q41" i="10"/>
  <c r="F41" i="10"/>
  <c r="D42" i="8"/>
  <c r="M42" i="8" s="1"/>
  <c r="E42" i="10"/>
  <c r="Q42" i="10" s="1"/>
  <c r="G43" i="16"/>
  <c r="G43" i="10"/>
  <c r="I45" i="6"/>
  <c r="Q45" i="6" s="1"/>
  <c r="G45" i="16"/>
  <c r="G45" i="10"/>
  <c r="F46" i="10"/>
  <c r="G47" i="16"/>
  <c r="G47" i="10"/>
  <c r="E48" i="6"/>
  <c r="M48" i="6" s="1"/>
  <c r="F48" i="10"/>
  <c r="I49" i="6"/>
  <c r="Q49" i="6" s="1"/>
  <c r="G49" i="16"/>
  <c r="G49" i="10"/>
  <c r="F50" i="10"/>
  <c r="F52" i="8"/>
  <c r="O52" i="8" s="1"/>
  <c r="G52" i="10"/>
  <c r="G52" i="16"/>
  <c r="S52" i="16" s="1"/>
  <c r="D53" i="6"/>
  <c r="L53" i="6" s="1"/>
  <c r="E53" i="10"/>
  <c r="Q53" i="10" s="1"/>
  <c r="F54" i="10"/>
  <c r="R54" i="10" s="1"/>
  <c r="F56" i="8"/>
  <c r="O56" i="8" s="1"/>
  <c r="G56" i="16"/>
  <c r="S56" i="16" s="1"/>
  <c r="G56" i="10"/>
  <c r="D57" i="6"/>
  <c r="L57" i="6" s="1"/>
  <c r="E57" i="10"/>
  <c r="G57" i="8"/>
  <c r="P57" i="8" s="1"/>
  <c r="F58" i="10"/>
  <c r="F60" i="8"/>
  <c r="O60" i="8" s="1"/>
  <c r="G60" i="16"/>
  <c r="G60" i="10"/>
  <c r="S60" i="10" s="1"/>
  <c r="D61" i="6"/>
  <c r="L61" i="6" s="1"/>
  <c r="E61" i="10"/>
  <c r="Q61" i="10" s="1"/>
  <c r="G61" i="8"/>
  <c r="P61" i="8" s="1"/>
  <c r="Q62" i="10"/>
  <c r="F62" i="10"/>
  <c r="I63" i="6"/>
  <c r="Q63" i="6" s="1"/>
  <c r="G63" i="16"/>
  <c r="S63" i="16" s="1"/>
  <c r="G63" i="10"/>
  <c r="D64" i="8"/>
  <c r="M64" i="8" s="1"/>
  <c r="E64" i="10"/>
  <c r="Q64" i="10" s="1"/>
  <c r="D66" i="6"/>
  <c r="L66" i="6" s="1"/>
  <c r="E66" i="10"/>
  <c r="Q66" i="10" s="1"/>
  <c r="D68" i="6"/>
  <c r="L68" i="6" s="1"/>
  <c r="E68" i="10"/>
  <c r="Q68" i="10" s="1"/>
  <c r="D70" i="6"/>
  <c r="L70" i="6" s="1"/>
  <c r="E70" i="10"/>
  <c r="D72" i="6"/>
  <c r="L72" i="6" s="1"/>
  <c r="E72" i="10"/>
  <c r="Q72" i="10" s="1"/>
  <c r="D74" i="6"/>
  <c r="L74" i="6" s="1"/>
  <c r="E74" i="10"/>
  <c r="D76" i="8"/>
  <c r="M76" i="8" s="1"/>
  <c r="E76" i="10"/>
  <c r="Q76" i="10" s="1"/>
  <c r="D78" i="8"/>
  <c r="M78" i="8" s="1"/>
  <c r="E78" i="10"/>
  <c r="Q78" i="10" s="1"/>
  <c r="D80" i="8"/>
  <c r="M80" i="8" s="1"/>
  <c r="E80" i="10"/>
  <c r="Q80" i="10" s="1"/>
  <c r="D82" i="8"/>
  <c r="M82" i="8" s="1"/>
  <c r="E82" i="10"/>
  <c r="Q82" i="10" s="1"/>
  <c r="D84" i="8"/>
  <c r="M84" i="8" s="1"/>
  <c r="E84" i="10"/>
  <c r="Q84" i="10" s="1"/>
  <c r="D86" i="8"/>
  <c r="M86" i="8" s="1"/>
  <c r="E86" i="10"/>
  <c r="Q86" i="10" s="1"/>
  <c r="I88" i="6"/>
  <c r="Q88" i="6" s="1"/>
  <c r="G88" i="16"/>
  <c r="G100" i="16" s="1"/>
  <c r="G112" i="16" s="1"/>
  <c r="G88" i="10"/>
  <c r="E89" i="6"/>
  <c r="M89" i="6" s="1"/>
  <c r="F89" i="10"/>
  <c r="I90" i="6"/>
  <c r="Q90" i="6" s="1"/>
  <c r="G90" i="16"/>
  <c r="G102" i="16" s="1"/>
  <c r="G114" i="16" s="1"/>
  <c r="G90" i="10"/>
  <c r="E91" i="6"/>
  <c r="M91" i="6" s="1"/>
  <c r="F91" i="10"/>
  <c r="R91" i="10" s="1"/>
  <c r="I92" i="6"/>
  <c r="Q92" i="6" s="1"/>
  <c r="G92" i="16"/>
  <c r="G104" i="16" s="1"/>
  <c r="G116" i="16" s="1"/>
  <c r="G92" i="10"/>
  <c r="E93" i="6"/>
  <c r="M93" i="6" s="1"/>
  <c r="F93" i="10"/>
  <c r="R93" i="10" s="1"/>
  <c r="I94" i="6"/>
  <c r="Q94" i="6" s="1"/>
  <c r="G94" i="16"/>
  <c r="G106" i="16" s="1"/>
  <c r="G118" i="16" s="1"/>
  <c r="G94" i="10"/>
  <c r="E95" i="6"/>
  <c r="M95" i="6" s="1"/>
  <c r="F95" i="10"/>
  <c r="R95" i="10" s="1"/>
  <c r="S12" i="18"/>
  <c r="I96" i="6"/>
  <c r="Q96" i="6" s="1"/>
  <c r="G96" i="16"/>
  <c r="G108" i="16" s="1"/>
  <c r="G120" i="16" s="1"/>
  <c r="G96" i="10"/>
  <c r="E97" i="6"/>
  <c r="M97" i="6" s="1"/>
  <c r="F97" i="10"/>
  <c r="Q2" i="10"/>
  <c r="F2" i="10"/>
  <c r="R2" i="10" s="1"/>
  <c r="Q3" i="10"/>
  <c r="F3" i="10"/>
  <c r="R3" i="10" s="1"/>
  <c r="Q10" i="10"/>
  <c r="F10" i="10"/>
  <c r="BA27" i="2"/>
  <c r="F19" i="10"/>
  <c r="R19" i="10" s="1"/>
  <c r="BA31" i="2"/>
  <c r="I20" i="6"/>
  <c r="Q20" i="6" s="1"/>
  <c r="G20" i="16"/>
  <c r="G20" i="10"/>
  <c r="S20" i="10" s="1"/>
  <c r="BA33" i="2"/>
  <c r="U21" i="16"/>
  <c r="I22" i="6"/>
  <c r="Q22" i="6" s="1"/>
  <c r="G22" i="16"/>
  <c r="S22" i="16" s="1"/>
  <c r="G22" i="10"/>
  <c r="S22" i="10" s="1"/>
  <c r="I29" i="6"/>
  <c r="Q29" i="6" s="1"/>
  <c r="G29" i="16"/>
  <c r="S29" i="16" s="1"/>
  <c r="G29" i="10"/>
  <c r="S29" i="10" s="1"/>
  <c r="F30" i="10"/>
  <c r="R30" i="10" s="1"/>
  <c r="I33" i="6"/>
  <c r="Q33" i="6" s="1"/>
  <c r="G33" i="16"/>
  <c r="S33" i="16" s="1"/>
  <c r="G33" i="10"/>
  <c r="S33" i="10" s="1"/>
  <c r="F39" i="10"/>
  <c r="R39" i="10" s="1"/>
  <c r="D40" i="8"/>
  <c r="M40" i="8" s="1"/>
  <c r="E40" i="10"/>
  <c r="Q40" i="10" s="1"/>
  <c r="I50" i="6"/>
  <c r="Q50" i="6" s="1"/>
  <c r="G50" i="16"/>
  <c r="G50" i="10"/>
  <c r="S50" i="10" s="1"/>
  <c r="E56" i="6"/>
  <c r="M56" i="6" s="1"/>
  <c r="F56" i="10"/>
  <c r="R56" i="10" s="1"/>
  <c r="G59" i="8"/>
  <c r="P59" i="8" s="1"/>
  <c r="D73" i="8"/>
  <c r="M73" i="8" s="1"/>
  <c r="E73" i="10"/>
  <c r="F91" i="8"/>
  <c r="O91" i="8" s="1"/>
  <c r="G91" i="16"/>
  <c r="G103" i="16" s="1"/>
  <c r="G115" i="16" s="1"/>
  <c r="G91" i="10"/>
  <c r="F97" i="8"/>
  <c r="O97" i="8" s="1"/>
  <c r="G97" i="16"/>
  <c r="G109" i="16" s="1"/>
  <c r="G121" i="16" s="1"/>
  <c r="G97" i="10"/>
  <c r="I14" i="6"/>
  <c r="Q14" i="6" s="1"/>
  <c r="G14" i="16"/>
  <c r="G14" i="10"/>
  <c r="S14" i="10" s="1"/>
  <c r="BB29" i="2"/>
  <c r="V17" i="16"/>
  <c r="AL66" i="2"/>
  <c r="T18" i="10"/>
  <c r="D20" i="8"/>
  <c r="M20" i="8" s="1"/>
  <c r="E20" i="10"/>
  <c r="Q20" i="10" s="1"/>
  <c r="AL32" i="2"/>
  <c r="T20" i="16"/>
  <c r="BB33" i="2"/>
  <c r="T22" i="16"/>
  <c r="Q25" i="10"/>
  <c r="F25" i="10"/>
  <c r="R25" i="10" s="1"/>
  <c r="BA37" i="2"/>
  <c r="D27" i="6"/>
  <c r="L27" i="6" s="1"/>
  <c r="E27" i="10"/>
  <c r="Q27" i="10" s="1"/>
  <c r="D29" i="6"/>
  <c r="L29" i="6" s="1"/>
  <c r="E29" i="10"/>
  <c r="E36" i="6"/>
  <c r="M36" i="6" s="1"/>
  <c r="F36" i="10"/>
  <c r="E40" i="6"/>
  <c r="M40" i="6" s="1"/>
  <c r="F40" i="10"/>
  <c r="E44" i="6"/>
  <c r="M44" i="6" s="1"/>
  <c r="F44" i="10"/>
  <c r="G50" i="8"/>
  <c r="P50" i="8" s="1"/>
  <c r="G54" i="8"/>
  <c r="P54" i="8" s="1"/>
  <c r="D58" i="8"/>
  <c r="M58" i="8" s="1"/>
  <c r="E58" i="10"/>
  <c r="Q58" i="10" s="1"/>
  <c r="I68" i="6"/>
  <c r="Q68" i="6" s="1"/>
  <c r="G68" i="16"/>
  <c r="G68" i="10"/>
  <c r="D4" i="8"/>
  <c r="M4" i="8" s="1"/>
  <c r="E4" i="10"/>
  <c r="Q4" i="10" s="1"/>
  <c r="D5" i="6"/>
  <c r="L5" i="6" s="1"/>
  <c r="E5" i="10"/>
  <c r="Q5" i="10" s="1"/>
  <c r="D8" i="8"/>
  <c r="M8" i="8" s="1"/>
  <c r="E8" i="10"/>
  <c r="Q8" i="10" s="1"/>
  <c r="D9" i="6"/>
  <c r="L9" i="6" s="1"/>
  <c r="E9" i="10"/>
  <c r="Q9" i="10" s="1"/>
  <c r="Q12" i="10"/>
  <c r="F12" i="10"/>
  <c r="R12" i="10" s="1"/>
  <c r="F13" i="10"/>
  <c r="Q14" i="10"/>
  <c r="F14" i="10"/>
  <c r="R14" i="10" s="1"/>
  <c r="U14" i="16"/>
  <c r="BA26" i="2"/>
  <c r="I15" i="6"/>
  <c r="Q15" i="6" s="1"/>
  <c r="G15" i="16"/>
  <c r="S15" i="16" s="1"/>
  <c r="G15" i="10"/>
  <c r="S15" i="10" s="1"/>
  <c r="BB28" i="2"/>
  <c r="V16" i="10"/>
  <c r="D17" i="6"/>
  <c r="L17" i="6" s="1"/>
  <c r="E17" i="10"/>
  <c r="Q17" i="10" s="1"/>
  <c r="AL29" i="2"/>
  <c r="T17" i="16"/>
  <c r="BB30" i="2"/>
  <c r="D19" i="6"/>
  <c r="L19" i="6" s="1"/>
  <c r="E19" i="10"/>
  <c r="Q19" i="10" s="1"/>
  <c r="T19" i="16"/>
  <c r="BB32" i="2"/>
  <c r="V20" i="16"/>
  <c r="D21" i="6"/>
  <c r="L21" i="6" s="1"/>
  <c r="E21" i="10"/>
  <c r="Q21" i="10" s="1"/>
  <c r="AL33" i="2"/>
  <c r="T21" i="16"/>
  <c r="BB34" i="2"/>
  <c r="V22" i="16"/>
  <c r="G23" i="16"/>
  <c r="S23" i="16" s="1"/>
  <c r="G23" i="10"/>
  <c r="S23" i="10" s="1"/>
  <c r="F24" i="10"/>
  <c r="R24" i="10" s="1"/>
  <c r="BA36" i="2"/>
  <c r="U24" i="16"/>
  <c r="G25" i="16"/>
  <c r="G25" i="10"/>
  <c r="S25" i="10" s="1"/>
  <c r="F26" i="10"/>
  <c r="R26" i="10" s="1"/>
  <c r="D30" i="8"/>
  <c r="M30" i="8" s="1"/>
  <c r="E30" i="10"/>
  <c r="Q30" i="10" s="1"/>
  <c r="F36" i="8"/>
  <c r="O36" i="8" s="1"/>
  <c r="G36" i="16"/>
  <c r="G36" i="10"/>
  <c r="E38" i="6"/>
  <c r="M38" i="6" s="1"/>
  <c r="F38" i="10"/>
  <c r="R38" i="10" s="1"/>
  <c r="D39" i="6"/>
  <c r="L39" i="6" s="1"/>
  <c r="E39" i="10"/>
  <c r="Q39" i="10" s="1"/>
  <c r="I40" i="6"/>
  <c r="Q40" i="6" s="1"/>
  <c r="G40" i="16"/>
  <c r="G40" i="10"/>
  <c r="E42" i="6"/>
  <c r="M42" i="6" s="1"/>
  <c r="F42" i="10"/>
  <c r="I44" i="6"/>
  <c r="Q44" i="6" s="1"/>
  <c r="G44" i="16"/>
  <c r="G44" i="10"/>
  <c r="D45" i="6"/>
  <c r="L45" i="6" s="1"/>
  <c r="E45" i="10"/>
  <c r="Q45" i="10" s="1"/>
  <c r="D49" i="6"/>
  <c r="L49" i="6" s="1"/>
  <c r="E49" i="10"/>
  <c r="Q49" i="10" s="1"/>
  <c r="G51" i="16"/>
  <c r="G51" i="10"/>
  <c r="S51" i="10" s="1"/>
  <c r="G52" i="8"/>
  <c r="P52" i="8" s="1"/>
  <c r="F53" i="10"/>
  <c r="I55" i="6"/>
  <c r="Q55" i="6" s="1"/>
  <c r="G55" i="16"/>
  <c r="S55" i="16" s="1"/>
  <c r="G55" i="10"/>
  <c r="D56" i="8"/>
  <c r="M56" i="8" s="1"/>
  <c r="E56" i="10"/>
  <c r="Q56" i="10" s="1"/>
  <c r="Q57" i="10"/>
  <c r="F57" i="10"/>
  <c r="I59" i="6"/>
  <c r="Q59" i="6" s="1"/>
  <c r="G59" i="16"/>
  <c r="S59" i="16" s="1"/>
  <c r="G59" i="10"/>
  <c r="S59" i="10" s="1"/>
  <c r="D60" i="8"/>
  <c r="M60" i="8" s="1"/>
  <c r="E60" i="10"/>
  <c r="Q60" i="10" s="1"/>
  <c r="F61" i="10"/>
  <c r="R61" i="10" s="1"/>
  <c r="G63" i="8"/>
  <c r="P63" i="8" s="1"/>
  <c r="E64" i="6"/>
  <c r="M64" i="6" s="1"/>
  <c r="F64" i="10"/>
  <c r="I65" i="6"/>
  <c r="Q65" i="6" s="1"/>
  <c r="G65" i="16"/>
  <c r="G65" i="10"/>
  <c r="F66" i="10"/>
  <c r="F67" i="8"/>
  <c r="O67" i="8" s="1"/>
  <c r="G67" i="16"/>
  <c r="G67" i="10"/>
  <c r="E68" i="6"/>
  <c r="M68" i="6" s="1"/>
  <c r="F68" i="10"/>
  <c r="R68" i="10" s="1"/>
  <c r="I69" i="6"/>
  <c r="Q69" i="6" s="1"/>
  <c r="G69" i="16"/>
  <c r="G69" i="10"/>
  <c r="Q70" i="10"/>
  <c r="F70" i="10"/>
  <c r="R70" i="10" s="1"/>
  <c r="F71" i="8"/>
  <c r="O71" i="8" s="1"/>
  <c r="G71" i="16"/>
  <c r="G71" i="10"/>
  <c r="I73" i="6"/>
  <c r="Q73" i="6" s="1"/>
  <c r="G73" i="16"/>
  <c r="G73" i="10"/>
  <c r="Q74" i="10"/>
  <c r="F74" i="10"/>
  <c r="R74" i="10" s="1"/>
  <c r="I75" i="6"/>
  <c r="Q75" i="6" s="1"/>
  <c r="G75" i="16"/>
  <c r="G75" i="10"/>
  <c r="E76" i="6"/>
  <c r="M76" i="6" s="1"/>
  <c r="F76" i="10"/>
  <c r="I77" i="6"/>
  <c r="Q77" i="6" s="1"/>
  <c r="G77" i="16"/>
  <c r="G77" i="10"/>
  <c r="F78" i="10"/>
  <c r="I79" i="6"/>
  <c r="Q79" i="6" s="1"/>
  <c r="G79" i="16"/>
  <c r="G79" i="10"/>
  <c r="E80" i="6"/>
  <c r="M80" i="6" s="1"/>
  <c r="F80" i="10"/>
  <c r="G81" i="16"/>
  <c r="G81" i="10"/>
  <c r="F82" i="10"/>
  <c r="F83" i="8"/>
  <c r="O83" i="8" s="1"/>
  <c r="G83" i="16"/>
  <c r="G83" i="10"/>
  <c r="E84" i="6"/>
  <c r="M84" i="6" s="1"/>
  <c r="F84" i="10"/>
  <c r="F85" i="8"/>
  <c r="O85" i="8" s="1"/>
  <c r="G85" i="16"/>
  <c r="G85" i="10"/>
  <c r="F86" i="10"/>
  <c r="F87" i="8"/>
  <c r="O87" i="8" s="1"/>
  <c r="G87" i="16"/>
  <c r="G99" i="16" s="1"/>
  <c r="G87" i="10"/>
  <c r="D88" i="8"/>
  <c r="M88" i="8" s="1"/>
  <c r="E88" i="10"/>
  <c r="Q88" i="10" s="1"/>
  <c r="D90" i="8"/>
  <c r="M90" i="8" s="1"/>
  <c r="E90" i="10"/>
  <c r="D92" i="8"/>
  <c r="M92" i="8" s="1"/>
  <c r="E92" i="10"/>
  <c r="Q92" i="10" s="1"/>
  <c r="D94" i="8"/>
  <c r="M94" i="8" s="1"/>
  <c r="E94" i="10"/>
  <c r="Q94" i="10" s="1"/>
  <c r="D96" i="8"/>
  <c r="M96" i="8" s="1"/>
  <c r="E96" i="10"/>
  <c r="Q96" i="10" s="1"/>
  <c r="Q6" i="10"/>
  <c r="F6" i="10"/>
  <c r="G41" i="16"/>
  <c r="G41" i="10"/>
  <c r="I46" i="6"/>
  <c r="Q46" i="6" s="1"/>
  <c r="G46" i="16"/>
  <c r="G46" i="10"/>
  <c r="Q47" i="10"/>
  <c r="F47" i="10"/>
  <c r="R47" i="10" s="1"/>
  <c r="F48" i="8"/>
  <c r="O48" i="8" s="1"/>
  <c r="G48" i="16"/>
  <c r="G48" i="10"/>
  <c r="E52" i="6"/>
  <c r="M52" i="6" s="1"/>
  <c r="F52" i="10"/>
  <c r="I54" i="6"/>
  <c r="Q54" i="6" s="1"/>
  <c r="G54" i="16"/>
  <c r="S54" i="16" s="1"/>
  <c r="G54" i="10"/>
  <c r="G55" i="8"/>
  <c r="P55" i="8" s="1"/>
  <c r="I58" i="6"/>
  <c r="Q58" i="6" s="1"/>
  <c r="G58" i="16"/>
  <c r="S58" i="16" s="1"/>
  <c r="G58" i="10"/>
  <c r="D69" i="8"/>
  <c r="M69" i="8" s="1"/>
  <c r="E69" i="10"/>
  <c r="Q69" i="10" s="1"/>
  <c r="D81" i="8"/>
  <c r="M81" i="8" s="1"/>
  <c r="E81" i="10"/>
  <c r="E92" i="6"/>
  <c r="M92" i="6" s="1"/>
  <c r="F92" i="10"/>
  <c r="F93" i="8"/>
  <c r="O93" i="8" s="1"/>
  <c r="G93" i="16"/>
  <c r="G105" i="16" s="1"/>
  <c r="G117" i="16" s="1"/>
  <c r="G93" i="10"/>
  <c r="I95" i="6"/>
  <c r="Q95" i="6" s="1"/>
  <c r="G95" i="16"/>
  <c r="G107" i="16" s="1"/>
  <c r="G119" i="16" s="1"/>
  <c r="G95" i="10"/>
  <c r="BB27" i="2"/>
  <c r="V15" i="16"/>
  <c r="Q23" i="10"/>
  <c r="F23" i="10"/>
  <c r="BA35" i="2"/>
  <c r="U23" i="16"/>
  <c r="D37" i="6"/>
  <c r="L37" i="6" s="1"/>
  <c r="E37" i="10"/>
  <c r="Q37" i="10" s="1"/>
  <c r="I42" i="6"/>
  <c r="Q42" i="6" s="1"/>
  <c r="G42" i="16"/>
  <c r="G42" i="10"/>
  <c r="D46" i="8"/>
  <c r="M46" i="8" s="1"/>
  <c r="E46" i="10"/>
  <c r="Q46" i="10" s="1"/>
  <c r="Q51" i="10"/>
  <c r="F51" i="10"/>
  <c r="R51" i="10" s="1"/>
  <c r="I53" i="6"/>
  <c r="Q53" i="6" s="1"/>
  <c r="G53" i="16"/>
  <c r="G53" i="10"/>
  <c r="Q55" i="10"/>
  <c r="F55" i="10"/>
  <c r="I57" i="6"/>
  <c r="Q57" i="6" s="1"/>
  <c r="G57" i="16"/>
  <c r="G57" i="10"/>
  <c r="S57" i="10" s="1"/>
  <c r="Q59" i="10"/>
  <c r="F59" i="10"/>
  <c r="E67" i="8"/>
  <c r="N67" i="8" s="1"/>
  <c r="F67" i="10"/>
  <c r="R67" i="10" s="1"/>
  <c r="E69" i="6"/>
  <c r="M69" i="6" s="1"/>
  <c r="F69" i="10"/>
  <c r="I70" i="6"/>
  <c r="Q70" i="6" s="1"/>
  <c r="G70" i="16"/>
  <c r="S70" i="16" s="1"/>
  <c r="G70" i="10"/>
  <c r="S70" i="10" s="1"/>
  <c r="E71" i="6"/>
  <c r="M71" i="6" s="1"/>
  <c r="F71" i="10"/>
  <c r="R71" i="10" s="1"/>
  <c r="I72" i="6"/>
  <c r="Q72" i="6" s="1"/>
  <c r="G72" i="16"/>
  <c r="G72" i="10"/>
  <c r="E73" i="6"/>
  <c r="M73" i="6" s="1"/>
  <c r="F73" i="10"/>
  <c r="R73" i="10" s="1"/>
  <c r="I74" i="6"/>
  <c r="Q74" i="6" s="1"/>
  <c r="G74" i="16"/>
  <c r="G74" i="10"/>
  <c r="I76" i="6"/>
  <c r="Q76" i="6" s="1"/>
  <c r="G76" i="16"/>
  <c r="G76" i="10"/>
  <c r="E77" i="6"/>
  <c r="M77" i="6" s="1"/>
  <c r="F77" i="10"/>
  <c r="R77" i="10" s="1"/>
  <c r="I78" i="6"/>
  <c r="Q78" i="6" s="1"/>
  <c r="G78" i="16"/>
  <c r="G78" i="10"/>
  <c r="E79" i="6"/>
  <c r="M79" i="6" s="1"/>
  <c r="F79" i="10"/>
  <c r="I80" i="6"/>
  <c r="Q80" i="6" s="1"/>
  <c r="G80" i="16"/>
  <c r="G80" i="10"/>
  <c r="E81" i="6"/>
  <c r="M81" i="6" s="1"/>
  <c r="F81" i="10"/>
  <c r="I82" i="6"/>
  <c r="Q82" i="6" s="1"/>
  <c r="G82" i="16"/>
  <c r="G82" i="10"/>
  <c r="E83" i="6"/>
  <c r="M83" i="6" s="1"/>
  <c r="F83" i="10"/>
  <c r="R83" i="10" s="1"/>
  <c r="I84" i="6"/>
  <c r="Q84" i="6" s="1"/>
  <c r="G84" i="10"/>
  <c r="G84" i="16"/>
  <c r="E85" i="6"/>
  <c r="M85" i="6" s="1"/>
  <c r="F85" i="10"/>
  <c r="R85" i="10" s="1"/>
  <c r="I86" i="6"/>
  <c r="Q86" i="6" s="1"/>
  <c r="G86" i="16"/>
  <c r="G98" i="16" s="1"/>
  <c r="G110" i="16" s="1"/>
  <c r="G86" i="10"/>
  <c r="E87" i="6"/>
  <c r="M87" i="6" s="1"/>
  <c r="F87" i="10"/>
  <c r="D89" i="8"/>
  <c r="M89" i="8" s="1"/>
  <c r="E89" i="10"/>
  <c r="D93" i="8"/>
  <c r="M93" i="8" s="1"/>
  <c r="E93" i="10"/>
  <c r="D97" i="8"/>
  <c r="M97" i="8" s="1"/>
  <c r="E97" i="10"/>
  <c r="Q97" i="10" s="1"/>
  <c r="F58" i="3"/>
  <c r="E2" i="14" s="1"/>
  <c r="G58" i="3"/>
  <c r="E3" i="14" s="1"/>
  <c r="K59" i="3"/>
  <c r="K58" i="3"/>
  <c r="E7" i="14" s="1"/>
  <c r="I28" i="15"/>
  <c r="R28" i="15" s="1"/>
  <c r="AQ40" i="2"/>
  <c r="I40" i="15" s="1"/>
  <c r="R40" i="15" s="1"/>
  <c r="I32" i="15"/>
  <c r="R32" i="15" s="1"/>
  <c r="AQ44" i="2"/>
  <c r="I44" i="15" s="1"/>
  <c r="R44" i="15" s="1"/>
  <c r="E57" i="6"/>
  <c r="M57" i="6" s="1"/>
  <c r="T22" i="10"/>
  <c r="T12" i="20"/>
  <c r="G28" i="24" s="1"/>
  <c r="C51" i="25"/>
  <c r="E51" i="25" s="1"/>
  <c r="AL31" i="2"/>
  <c r="F31" i="6" s="1"/>
  <c r="N31" i="6" s="1"/>
  <c r="AS35" i="2"/>
  <c r="AL62" i="2"/>
  <c r="I97" i="6"/>
  <c r="Q97" i="6" s="1"/>
  <c r="G13" i="14"/>
  <c r="O13" i="14" s="1"/>
  <c r="AR40" i="2"/>
  <c r="AT45" i="2"/>
  <c r="AR53" i="2"/>
  <c r="H25" i="15"/>
  <c r="Q25" i="15" s="1"/>
  <c r="G25" i="6"/>
  <c r="O25" i="6" s="1"/>
  <c r="G25" i="14"/>
  <c r="O25" i="14" s="1"/>
  <c r="H25" i="8"/>
  <c r="Q25" i="8" s="1"/>
  <c r="BC37" i="2"/>
  <c r="S26" i="16"/>
  <c r="F26" i="6"/>
  <c r="N26" i="6" s="1"/>
  <c r="S26" i="10"/>
  <c r="G26" i="8"/>
  <c r="P26" i="8" s="1"/>
  <c r="F26" i="14"/>
  <c r="N26" i="14" s="1"/>
  <c r="AL74" i="2"/>
  <c r="AL38" i="2"/>
  <c r="G26" i="15"/>
  <c r="P26" i="15" s="1"/>
  <c r="AR38" i="2"/>
  <c r="J26" i="15"/>
  <c r="S26" i="15" s="1"/>
  <c r="J26" i="8"/>
  <c r="S26" i="8" s="1"/>
  <c r="AZ38" i="2"/>
  <c r="AT47" i="2"/>
  <c r="G36" i="2"/>
  <c r="G34" i="2"/>
  <c r="I48" i="8"/>
  <c r="R48" i="8" s="1"/>
  <c r="AQ60" i="2"/>
  <c r="I48" i="15"/>
  <c r="R48" i="15" s="1"/>
  <c r="J28" i="15"/>
  <c r="S28" i="15" s="1"/>
  <c r="J28" i="8"/>
  <c r="S28" i="8" s="1"/>
  <c r="AZ40" i="2"/>
  <c r="AT43" i="2"/>
  <c r="S32" i="16"/>
  <c r="G32" i="15"/>
  <c r="P32" i="15" s="1"/>
  <c r="G32" i="8"/>
  <c r="P32" i="8" s="1"/>
  <c r="F32" i="14"/>
  <c r="N32" i="14" s="1"/>
  <c r="F32" i="6"/>
  <c r="N32" i="6" s="1"/>
  <c r="AL44" i="2"/>
  <c r="AL80" i="2"/>
  <c r="AR44" i="2"/>
  <c r="J32" i="8"/>
  <c r="S32" i="8" s="1"/>
  <c r="J32" i="15"/>
  <c r="S32" i="15" s="1"/>
  <c r="AZ44" i="2"/>
  <c r="H15" i="15"/>
  <c r="Q15" i="15" s="1"/>
  <c r="G15" i="6"/>
  <c r="O15" i="6" s="1"/>
  <c r="G15" i="14"/>
  <c r="O15" i="14" s="1"/>
  <c r="H15" i="8"/>
  <c r="Q15" i="8" s="1"/>
  <c r="BC27" i="2"/>
  <c r="G21" i="14"/>
  <c r="O21" i="14" s="1"/>
  <c r="H21" i="15"/>
  <c r="Q21" i="15" s="1"/>
  <c r="H21" i="8"/>
  <c r="Q21" i="8" s="1"/>
  <c r="G21" i="6"/>
  <c r="O21" i="6" s="1"/>
  <c r="BC33" i="2"/>
  <c r="I30" i="15"/>
  <c r="R30" i="15" s="1"/>
  <c r="AQ42" i="2"/>
  <c r="I30" i="8"/>
  <c r="R30" i="8" s="1"/>
  <c r="AU46" i="2"/>
  <c r="G34" i="14"/>
  <c r="O34" i="14" s="1"/>
  <c r="H34" i="15"/>
  <c r="Q34" i="15" s="1"/>
  <c r="G34" i="6"/>
  <c r="O34" i="6" s="1"/>
  <c r="H34" i="8"/>
  <c r="Q34" i="8" s="1"/>
  <c r="BC46" i="2"/>
  <c r="H2" i="15"/>
  <c r="Q2" i="15" s="1"/>
  <c r="G2" i="6"/>
  <c r="O2" i="6" s="1"/>
  <c r="H2" i="8"/>
  <c r="Q2" i="8" s="1"/>
  <c r="G2" i="14"/>
  <c r="O2" i="14" s="1"/>
  <c r="G4" i="14"/>
  <c r="O4" i="14" s="1"/>
  <c r="H4" i="15"/>
  <c r="Q4" i="15" s="1"/>
  <c r="H5" i="15"/>
  <c r="Q5" i="15" s="1"/>
  <c r="H5" i="8"/>
  <c r="Q5" i="8" s="1"/>
  <c r="G5" i="14"/>
  <c r="O5" i="14" s="1"/>
  <c r="H7" i="15"/>
  <c r="Q7" i="15" s="1"/>
  <c r="G7" i="14"/>
  <c r="O7" i="14" s="1"/>
  <c r="G7" i="6"/>
  <c r="O7" i="6" s="1"/>
  <c r="H7" i="8"/>
  <c r="Q7" i="8" s="1"/>
  <c r="G16" i="15"/>
  <c r="P16" i="15" s="1"/>
  <c r="F16" i="14"/>
  <c r="N16" i="14" s="1"/>
  <c r="F16" i="6"/>
  <c r="N16" i="6" s="1"/>
  <c r="S16" i="16"/>
  <c r="G16" i="8"/>
  <c r="P16" i="8" s="1"/>
  <c r="U21" i="10"/>
  <c r="T24" i="10"/>
  <c r="T24" i="16"/>
  <c r="J24" i="15"/>
  <c r="S24" i="15" s="1"/>
  <c r="J24" i="8"/>
  <c r="S24" i="8" s="1"/>
  <c r="U25" i="16"/>
  <c r="AU27" i="2"/>
  <c r="G29" i="15"/>
  <c r="P29" i="15" s="1"/>
  <c r="F29" i="6"/>
  <c r="N29" i="6" s="1"/>
  <c r="G29" i="8"/>
  <c r="P29" i="8" s="1"/>
  <c r="F29" i="14"/>
  <c r="N29" i="14" s="1"/>
  <c r="G33" i="8"/>
  <c r="P33" i="8" s="1"/>
  <c r="J33" i="15"/>
  <c r="S33" i="15" s="1"/>
  <c r="S35" i="16"/>
  <c r="G35" i="15"/>
  <c r="P35" i="15" s="1"/>
  <c r="G35" i="8"/>
  <c r="P35" i="8" s="1"/>
  <c r="F35" i="6"/>
  <c r="N35" i="6" s="1"/>
  <c r="F35" i="14"/>
  <c r="N35" i="14" s="1"/>
  <c r="J35" i="15"/>
  <c r="S35" i="15" s="1"/>
  <c r="AR43" i="2"/>
  <c r="AL47" i="2"/>
  <c r="AZ47" i="2"/>
  <c r="S51" i="16"/>
  <c r="G51" i="15"/>
  <c r="F51" i="14"/>
  <c r="N51" i="14" s="1"/>
  <c r="G51" i="8"/>
  <c r="P51" i="8" s="1"/>
  <c r="F51" i="6"/>
  <c r="N51" i="6" s="1"/>
  <c r="J35" i="8"/>
  <c r="S35" i="8" s="1"/>
  <c r="U16" i="10"/>
  <c r="V17" i="10"/>
  <c r="T19" i="10"/>
  <c r="I22" i="15"/>
  <c r="R22" i="15" s="1"/>
  <c r="I22" i="8"/>
  <c r="R22" i="8" s="1"/>
  <c r="T23" i="10"/>
  <c r="J23" i="15"/>
  <c r="S23" i="15" s="1"/>
  <c r="J23" i="8"/>
  <c r="S23" i="8" s="1"/>
  <c r="U24" i="10"/>
  <c r="I26" i="15"/>
  <c r="R26" i="15" s="1"/>
  <c r="I26" i="8"/>
  <c r="R26" i="8" s="1"/>
  <c r="G27" i="15"/>
  <c r="P27" i="15" s="1"/>
  <c r="F27" i="14"/>
  <c r="N27" i="14" s="1"/>
  <c r="G27" i="8"/>
  <c r="P27" i="8" s="1"/>
  <c r="F27" i="6"/>
  <c r="N27" i="6" s="1"/>
  <c r="AS29" i="2"/>
  <c r="AS33" i="2"/>
  <c r="AQ34" i="2"/>
  <c r="S60" i="16"/>
  <c r="F60" i="14"/>
  <c r="G60" i="15"/>
  <c r="G108" i="15" s="1"/>
  <c r="P108" i="15" s="1"/>
  <c r="G60" i="8"/>
  <c r="P60" i="8" s="1"/>
  <c r="F60" i="6"/>
  <c r="N60" i="6" s="1"/>
  <c r="AL64" i="2"/>
  <c r="F70" i="14"/>
  <c r="F118" i="14" s="1"/>
  <c r="N118" i="14" s="1"/>
  <c r="G70" i="8"/>
  <c r="P70" i="8" s="1"/>
  <c r="F70" i="6"/>
  <c r="N70" i="6" s="1"/>
  <c r="G70" i="15"/>
  <c r="P70" i="15" s="1"/>
  <c r="I14" i="15"/>
  <c r="R14" i="15" s="1"/>
  <c r="I14" i="8"/>
  <c r="R14" i="8" s="1"/>
  <c r="BC14" i="2"/>
  <c r="U15" i="10"/>
  <c r="I17" i="8"/>
  <c r="R17" i="8" s="1"/>
  <c r="I17" i="15"/>
  <c r="R17" i="15" s="1"/>
  <c r="BC17" i="2"/>
  <c r="F18" i="14"/>
  <c r="N18" i="14" s="1"/>
  <c r="S18" i="10"/>
  <c r="G18" i="8"/>
  <c r="P18" i="8" s="1"/>
  <c r="F18" i="6"/>
  <c r="N18" i="6" s="1"/>
  <c r="G18" i="15"/>
  <c r="P18" i="15" s="1"/>
  <c r="T18" i="16"/>
  <c r="J18" i="15"/>
  <c r="S18" i="15" s="1"/>
  <c r="J18" i="8"/>
  <c r="S18" i="8" s="1"/>
  <c r="U19" i="16"/>
  <c r="U19" i="10"/>
  <c r="V20" i="10"/>
  <c r="I21" i="15"/>
  <c r="R21" i="15" s="1"/>
  <c r="I21" i="8"/>
  <c r="R21" i="8" s="1"/>
  <c r="G22" i="15"/>
  <c r="P22" i="15" s="1"/>
  <c r="F22" i="14"/>
  <c r="N22" i="14" s="1"/>
  <c r="G22" i="8"/>
  <c r="P22" i="8" s="1"/>
  <c r="F22" i="6"/>
  <c r="N22" i="6" s="1"/>
  <c r="J22" i="15"/>
  <c r="S22" i="15" s="1"/>
  <c r="J22" i="8"/>
  <c r="S22" i="8" s="1"/>
  <c r="V24" i="16"/>
  <c r="V24" i="10"/>
  <c r="I25" i="8"/>
  <c r="R25" i="8" s="1"/>
  <c r="I25" i="15"/>
  <c r="R25" i="15" s="1"/>
  <c r="AS27" i="2"/>
  <c r="AW27" i="2"/>
  <c r="C50" i="25"/>
  <c r="E50" i="25" s="1"/>
  <c r="AL28" i="2"/>
  <c r="AT29" i="2"/>
  <c r="AL30" i="2"/>
  <c r="AR30" i="2"/>
  <c r="AZ30" i="2"/>
  <c r="AL34" i="2"/>
  <c r="AR34" i="2"/>
  <c r="AZ34" i="2"/>
  <c r="AL36" i="2"/>
  <c r="AR36" i="2"/>
  <c r="AZ36" i="2"/>
  <c r="AQ37" i="2"/>
  <c r="AU37" i="2"/>
  <c r="AT38" i="2"/>
  <c r="AL41" i="2"/>
  <c r="AZ41" i="2"/>
  <c r="S50" i="16"/>
  <c r="F50" i="14"/>
  <c r="F98" i="14" s="1"/>
  <c r="N98" i="14" s="1"/>
  <c r="F50" i="6"/>
  <c r="N50" i="6" s="1"/>
  <c r="F81" i="8"/>
  <c r="O81" i="8" s="1"/>
  <c r="I81" i="6"/>
  <c r="Q81" i="6" s="1"/>
  <c r="J33" i="8"/>
  <c r="S33" i="8" s="1"/>
  <c r="U14" i="10"/>
  <c r="H3" i="15"/>
  <c r="Q3" i="15" s="1"/>
  <c r="G3" i="14"/>
  <c r="O3" i="14" s="1"/>
  <c r="H3" i="8"/>
  <c r="Q3" i="8" s="1"/>
  <c r="G3" i="6"/>
  <c r="O3" i="6" s="1"/>
  <c r="H6" i="15"/>
  <c r="Q6" i="15" s="1"/>
  <c r="G6" i="14"/>
  <c r="O6" i="14" s="1"/>
  <c r="H6" i="8"/>
  <c r="Q6" i="8" s="1"/>
  <c r="G6" i="6"/>
  <c r="O6" i="6" s="1"/>
  <c r="H8" i="15"/>
  <c r="Q8" i="15" s="1"/>
  <c r="G8" i="14"/>
  <c r="O8" i="14" s="1"/>
  <c r="H8" i="8"/>
  <c r="Q8" i="8" s="1"/>
  <c r="G8" i="6"/>
  <c r="O8" i="6" s="1"/>
  <c r="H9" i="15"/>
  <c r="Q9" i="15" s="1"/>
  <c r="G9" i="14"/>
  <c r="O9" i="14" s="1"/>
  <c r="G9" i="6"/>
  <c r="O9" i="6" s="1"/>
  <c r="H9" i="8"/>
  <c r="Q9" i="8" s="1"/>
  <c r="I15" i="15"/>
  <c r="R15" i="15" s="1"/>
  <c r="I15" i="8"/>
  <c r="R15" i="8" s="1"/>
  <c r="T16" i="16"/>
  <c r="T16" i="10"/>
  <c r="J16" i="15"/>
  <c r="S16" i="15" s="1"/>
  <c r="J16" i="8"/>
  <c r="S16" i="8" s="1"/>
  <c r="V18" i="16"/>
  <c r="I19" i="8"/>
  <c r="R19" i="8" s="1"/>
  <c r="I19" i="15"/>
  <c r="R19" i="15" s="1"/>
  <c r="BC19" i="2"/>
  <c r="S20" i="16"/>
  <c r="F20" i="6"/>
  <c r="N20" i="6" s="1"/>
  <c r="F20" i="14"/>
  <c r="N20" i="14" s="1"/>
  <c r="G20" i="8"/>
  <c r="P20" i="8" s="1"/>
  <c r="G20" i="15"/>
  <c r="P20" i="15" s="1"/>
  <c r="T20" i="10"/>
  <c r="J20" i="15"/>
  <c r="S20" i="15" s="1"/>
  <c r="J20" i="8"/>
  <c r="S20" i="8" s="1"/>
  <c r="V22" i="10"/>
  <c r="I23" i="15"/>
  <c r="R23" i="15" s="1"/>
  <c r="I23" i="8"/>
  <c r="R23" i="8" s="1"/>
  <c r="H23" i="15"/>
  <c r="Q23" i="15" s="1"/>
  <c r="G23" i="14"/>
  <c r="O23" i="14" s="1"/>
  <c r="H23" i="8"/>
  <c r="Q23" i="8" s="1"/>
  <c r="S24" i="16"/>
  <c r="F24" i="14"/>
  <c r="N24" i="14" s="1"/>
  <c r="G24" i="15"/>
  <c r="P24" i="15" s="1"/>
  <c r="S24" i="10"/>
  <c r="G24" i="8"/>
  <c r="P24" i="8" s="1"/>
  <c r="AQ27" i="2"/>
  <c r="J29" i="15"/>
  <c r="S29" i="15" s="1"/>
  <c r="AT30" i="2"/>
  <c r="G31" i="8"/>
  <c r="P31" i="8" s="1"/>
  <c r="J31" i="15"/>
  <c r="S31" i="15" s="1"/>
  <c r="AT34" i="2"/>
  <c r="AS37" i="2"/>
  <c r="AW37" i="2"/>
  <c r="AU52" i="2"/>
  <c r="AZ43" i="2"/>
  <c r="AU56" i="2"/>
  <c r="AR45" i="2"/>
  <c r="AZ45" i="2"/>
  <c r="AR47" i="2"/>
  <c r="AT48" i="2"/>
  <c r="G5" i="6"/>
  <c r="O5" i="6" s="1"/>
  <c r="H4" i="8"/>
  <c r="Q4" i="8" s="1"/>
  <c r="O12" i="20"/>
  <c r="G27" i="24" s="1"/>
  <c r="T10" i="20"/>
  <c r="E28" i="24" s="1"/>
  <c r="T8" i="20"/>
  <c r="C28" i="24" s="1"/>
  <c r="T6" i="20"/>
  <c r="AM11" i="19"/>
  <c r="AN11" i="19" s="1"/>
  <c r="AM10" i="19"/>
  <c r="AN10" i="19" s="1"/>
  <c r="K10" i="19"/>
  <c r="E4" i="24" s="1"/>
  <c r="AI9" i="19"/>
  <c r="R9" i="20" s="1"/>
  <c r="C9" i="19"/>
  <c r="D3" i="24" s="1"/>
  <c r="AE8" i="19"/>
  <c r="M8" i="20" s="1"/>
  <c r="AM6" i="19"/>
  <c r="AN6" i="19" s="1"/>
  <c r="AM5" i="19"/>
  <c r="AN5" i="19" s="1"/>
  <c r="K5" i="19"/>
  <c r="V11" i="18"/>
  <c r="G46" i="24" s="1"/>
  <c r="C11" i="18"/>
  <c r="S10" i="18"/>
  <c r="F45" i="24" s="1"/>
  <c r="Y8" i="18"/>
  <c r="D47" i="24" s="1"/>
  <c r="G8" i="18"/>
  <c r="V7" i="18"/>
  <c r="C46" i="24" s="1"/>
  <c r="C7" i="18"/>
  <c r="C41" i="24" s="1"/>
  <c r="S6" i="18"/>
  <c r="Y4" i="18"/>
  <c r="G4" i="18"/>
  <c r="E12" i="20"/>
  <c r="G25" i="24" s="1"/>
  <c r="O10" i="20"/>
  <c r="E27" i="24" s="1"/>
  <c r="E10" i="20"/>
  <c r="E25" i="24" s="1"/>
  <c r="O8" i="20"/>
  <c r="C27" i="24" s="1"/>
  <c r="E8" i="20"/>
  <c r="C25" i="24" s="1"/>
  <c r="O6" i="20"/>
  <c r="E6" i="20"/>
  <c r="AM12" i="19"/>
  <c r="AN12" i="19" s="1"/>
  <c r="K12" i="19"/>
  <c r="G4" i="24" s="1"/>
  <c r="K11" i="19"/>
  <c r="F4" i="24" s="1"/>
  <c r="AI10" i="19"/>
  <c r="E8" i="24" s="1"/>
  <c r="C10" i="19"/>
  <c r="E3" i="24" s="1"/>
  <c r="AE9" i="19"/>
  <c r="M9" i="20" s="1"/>
  <c r="AM7" i="19"/>
  <c r="AN7" i="19" s="1"/>
  <c r="K7" i="19"/>
  <c r="K6" i="19"/>
  <c r="AI5" i="19"/>
  <c r="R5" i="20" s="1"/>
  <c r="C5" i="19"/>
  <c r="S11" i="18"/>
  <c r="G45" i="24" s="1"/>
  <c r="F43" i="24"/>
  <c r="Y9" i="18"/>
  <c r="E47" i="24" s="1"/>
  <c r="G9" i="18"/>
  <c r="E42" i="24" s="1"/>
  <c r="V8" i="18"/>
  <c r="D46" i="24" s="1"/>
  <c r="C8" i="18"/>
  <c r="D41" i="24" s="1"/>
  <c r="S7" i="18"/>
  <c r="C45" i="24" s="1"/>
  <c r="Y5" i="18"/>
  <c r="G5" i="18"/>
  <c r="V4" i="18"/>
  <c r="C4" i="18"/>
  <c r="T11" i="20"/>
  <c r="F28" i="24" s="1"/>
  <c r="T9" i="20"/>
  <c r="D28" i="24" s="1"/>
  <c r="T7" i="20"/>
  <c r="T5" i="20"/>
  <c r="AI12" i="19"/>
  <c r="G8" i="24" s="1"/>
  <c r="C12" i="19"/>
  <c r="G3" i="24" s="1"/>
  <c r="AI11" i="19"/>
  <c r="C11" i="19"/>
  <c r="F3" i="24" s="1"/>
  <c r="AE10" i="19"/>
  <c r="AF10" i="19" s="1"/>
  <c r="AM8" i="19"/>
  <c r="C9" i="24" s="1"/>
  <c r="K8" i="19"/>
  <c r="C4" i="24" s="1"/>
  <c r="AI7" i="19"/>
  <c r="AJ7" i="19" s="1"/>
  <c r="C7" i="19"/>
  <c r="AI6" i="19"/>
  <c r="C6" i="19"/>
  <c r="AE5" i="19"/>
  <c r="M5" i="20" s="1"/>
  <c r="Y10" i="18"/>
  <c r="F47" i="24" s="1"/>
  <c r="G10" i="18"/>
  <c r="F42" i="24" s="1"/>
  <c r="V9" i="18"/>
  <c r="E46" i="24" s="1"/>
  <c r="C9" i="18"/>
  <c r="S8" i="18"/>
  <c r="D45" i="24" s="1"/>
  <c r="C43" i="24"/>
  <c r="Y6" i="18"/>
  <c r="G6" i="18"/>
  <c r="V5" i="18"/>
  <c r="C5" i="18"/>
  <c r="S4" i="18"/>
  <c r="AE12" i="19"/>
  <c r="AF12" i="19" s="1"/>
  <c r="H7" i="24" s="1"/>
  <c r="C8" i="19"/>
  <c r="C3" i="24" s="1"/>
  <c r="V10" i="18"/>
  <c r="F46" i="24" s="1"/>
  <c r="O11" i="20"/>
  <c r="F27" i="24" s="1"/>
  <c r="O9" i="20"/>
  <c r="D27" i="24" s="1"/>
  <c r="O7" i="20"/>
  <c r="O5" i="20"/>
  <c r="AM9" i="19"/>
  <c r="D9" i="24" s="1"/>
  <c r="AE7" i="19"/>
  <c r="AF7" i="19" s="1"/>
  <c r="C10" i="18"/>
  <c r="F41" i="24" s="1"/>
  <c r="Y7" i="18"/>
  <c r="C47" i="24" s="1"/>
  <c r="S5" i="18"/>
  <c r="AE11" i="19"/>
  <c r="F7" i="24" s="1"/>
  <c r="K9" i="19"/>
  <c r="D4" i="24" s="1"/>
  <c r="Y11" i="18"/>
  <c r="G47" i="24" s="1"/>
  <c r="S9" i="18"/>
  <c r="E45" i="24" s="1"/>
  <c r="G7" i="18"/>
  <c r="C42" i="24" s="1"/>
  <c r="E9" i="20"/>
  <c r="D25" i="24" s="1"/>
  <c r="AI8" i="19"/>
  <c r="C8" i="24" s="1"/>
  <c r="V6" i="18"/>
  <c r="E11" i="20"/>
  <c r="F25" i="24" s="1"/>
  <c r="AE6" i="19"/>
  <c r="AF6" i="19" s="1"/>
  <c r="E5" i="20"/>
  <c r="G11" i="18"/>
  <c r="G42" i="24" s="1"/>
  <c r="E7" i="20"/>
  <c r="E8" i="8"/>
  <c r="N8" i="8" s="1"/>
  <c r="V14" i="16"/>
  <c r="V14" i="10"/>
  <c r="T15" i="16"/>
  <c r="T15" i="10"/>
  <c r="J15" i="8"/>
  <c r="S15" i="8" s="1"/>
  <c r="J15" i="15"/>
  <c r="S15" i="15" s="1"/>
  <c r="I18" i="15"/>
  <c r="R18" i="15" s="1"/>
  <c r="I18" i="8"/>
  <c r="R18" i="8" s="1"/>
  <c r="BC18" i="2"/>
  <c r="G19" i="15"/>
  <c r="P19" i="15" s="1"/>
  <c r="F19" i="14"/>
  <c r="N19" i="14" s="1"/>
  <c r="F19" i="6"/>
  <c r="N19" i="6" s="1"/>
  <c r="G19" i="8"/>
  <c r="P19" i="8" s="1"/>
  <c r="J19" i="15"/>
  <c r="S19" i="15" s="1"/>
  <c r="J19" i="8"/>
  <c r="S19" i="8" s="1"/>
  <c r="U20" i="16"/>
  <c r="U20" i="10"/>
  <c r="V21" i="16"/>
  <c r="V21" i="10"/>
  <c r="H22" i="8"/>
  <c r="Q22" i="8" s="1"/>
  <c r="G22" i="6"/>
  <c r="O22" i="6" s="1"/>
  <c r="H22" i="15"/>
  <c r="Q22" i="15" s="1"/>
  <c r="G22" i="14"/>
  <c r="O22" i="14" s="1"/>
  <c r="G23" i="15"/>
  <c r="P23" i="15" s="1"/>
  <c r="F23" i="6"/>
  <c r="N23" i="6" s="1"/>
  <c r="F23" i="14"/>
  <c r="N23" i="14" s="1"/>
  <c r="G23" i="8"/>
  <c r="P23" i="8" s="1"/>
  <c r="V25" i="16"/>
  <c r="V25" i="10"/>
  <c r="AR27" i="2"/>
  <c r="AZ27" i="2"/>
  <c r="AW29" i="2"/>
  <c r="AU30" i="2"/>
  <c r="AW33" i="2"/>
  <c r="I36" i="8"/>
  <c r="R36" i="8" s="1"/>
  <c r="I36" i="15"/>
  <c r="R36" i="15" s="1"/>
  <c r="AT37" i="2"/>
  <c r="AS43" i="2"/>
  <c r="AW43" i="2"/>
  <c r="AS47" i="2"/>
  <c r="AU48" i="2"/>
  <c r="G52" i="15"/>
  <c r="P52" i="15" s="1"/>
  <c r="F52" i="14"/>
  <c r="N52" i="14" s="1"/>
  <c r="S52" i="10"/>
  <c r="F52" i="6"/>
  <c r="N52" i="6" s="1"/>
  <c r="G54" i="15"/>
  <c r="F54" i="14"/>
  <c r="F102" i="14" s="1"/>
  <c r="N102" i="14" s="1"/>
  <c r="F54" i="6"/>
  <c r="N54" i="6" s="1"/>
  <c r="S54" i="10"/>
  <c r="F56" i="14"/>
  <c r="N56" i="14" s="1"/>
  <c r="G56" i="15"/>
  <c r="P56" i="15" s="1"/>
  <c r="G56" i="8"/>
  <c r="P56" i="8" s="1"/>
  <c r="F56" i="6"/>
  <c r="N56" i="6" s="1"/>
  <c r="S56" i="10"/>
  <c r="G58" i="15"/>
  <c r="G106" i="15" s="1"/>
  <c r="P106" i="15" s="1"/>
  <c r="F58" i="14"/>
  <c r="F106" i="14" s="1"/>
  <c r="N106" i="14" s="1"/>
  <c r="S58" i="10"/>
  <c r="G58" i="8"/>
  <c r="P58" i="8" s="1"/>
  <c r="G62" i="15"/>
  <c r="P62" i="15" s="1"/>
  <c r="G62" i="8"/>
  <c r="P62" i="8" s="1"/>
  <c r="G66" i="15"/>
  <c r="P66" i="15" s="1"/>
  <c r="F66" i="14"/>
  <c r="F114" i="14" s="1"/>
  <c r="N114" i="14" s="1"/>
  <c r="G66" i="8"/>
  <c r="P66" i="8" s="1"/>
  <c r="F66" i="6"/>
  <c r="N66" i="6" s="1"/>
  <c r="AL68" i="2"/>
  <c r="AL72" i="2"/>
  <c r="I5" i="6"/>
  <c r="Q5" i="6" s="1"/>
  <c r="R5" i="10"/>
  <c r="H11" i="15"/>
  <c r="Q11" i="15" s="1"/>
  <c r="G11" i="14"/>
  <c r="O11" i="14" s="1"/>
  <c r="G11" i="6"/>
  <c r="O11" i="6" s="1"/>
  <c r="H11" i="8"/>
  <c r="Q11" i="8" s="1"/>
  <c r="G12" i="14"/>
  <c r="O12" i="14" s="1"/>
  <c r="H12" i="8"/>
  <c r="Q12" i="8" s="1"/>
  <c r="H13" i="15"/>
  <c r="Q13" i="15" s="1"/>
  <c r="G13" i="6"/>
  <c r="O13" i="6" s="1"/>
  <c r="S14" i="16"/>
  <c r="G14" i="15"/>
  <c r="P14" i="15" s="1"/>
  <c r="F14" i="14"/>
  <c r="N14" i="14" s="1"/>
  <c r="G14" i="8"/>
  <c r="P14" i="8" s="1"/>
  <c r="F14" i="6"/>
  <c r="N14" i="6" s="1"/>
  <c r="T14" i="16"/>
  <c r="T14" i="10"/>
  <c r="J14" i="15"/>
  <c r="S14" i="15" s="1"/>
  <c r="J14" i="8"/>
  <c r="S14" i="8" s="1"/>
  <c r="I16" i="15"/>
  <c r="R16" i="15" s="1"/>
  <c r="I16" i="8"/>
  <c r="R16" i="8" s="1"/>
  <c r="BC16" i="2"/>
  <c r="G17" i="15"/>
  <c r="P17" i="15" s="1"/>
  <c r="F17" i="14"/>
  <c r="N17" i="14" s="1"/>
  <c r="G17" i="8"/>
  <c r="P17" i="8" s="1"/>
  <c r="F17" i="6"/>
  <c r="N17" i="6" s="1"/>
  <c r="T17" i="10"/>
  <c r="J17" i="8"/>
  <c r="S17" i="8" s="1"/>
  <c r="J17" i="15"/>
  <c r="S17" i="15" s="1"/>
  <c r="U18" i="16"/>
  <c r="V19" i="16"/>
  <c r="V19" i="10"/>
  <c r="I20" i="15"/>
  <c r="R20" i="15" s="1"/>
  <c r="I20" i="8"/>
  <c r="R20" i="8" s="1"/>
  <c r="BC20" i="2"/>
  <c r="S21" i="16"/>
  <c r="F21" i="14"/>
  <c r="N21" i="14" s="1"/>
  <c r="G21" i="15"/>
  <c r="P21" i="15" s="1"/>
  <c r="G21" i="8"/>
  <c r="P21" i="8" s="1"/>
  <c r="F21" i="6"/>
  <c r="N21" i="6" s="1"/>
  <c r="T21" i="10"/>
  <c r="J21" i="15"/>
  <c r="S21" i="15" s="1"/>
  <c r="J21" i="8"/>
  <c r="S21" i="8" s="1"/>
  <c r="U22" i="16"/>
  <c r="U22" i="10"/>
  <c r="V23" i="16"/>
  <c r="I24" i="15"/>
  <c r="R24" i="15" s="1"/>
  <c r="I24" i="8"/>
  <c r="R24" i="8" s="1"/>
  <c r="BC24" i="2"/>
  <c r="S25" i="16"/>
  <c r="G25" i="15"/>
  <c r="P25" i="15" s="1"/>
  <c r="F25" i="14"/>
  <c r="N25" i="14" s="1"/>
  <c r="G25" i="8"/>
  <c r="P25" i="8" s="1"/>
  <c r="T25" i="16"/>
  <c r="T25" i="10"/>
  <c r="J25" i="15"/>
  <c r="S25" i="15" s="1"/>
  <c r="J25" i="8"/>
  <c r="S25" i="8" s="1"/>
  <c r="AS26" i="2"/>
  <c r="AW26" i="2"/>
  <c r="AT27" i="2"/>
  <c r="AS28" i="2"/>
  <c r="AW28" i="2"/>
  <c r="AQ29" i="2"/>
  <c r="AU29" i="2"/>
  <c r="AS30" i="2"/>
  <c r="AW30" i="2"/>
  <c r="AQ31" i="2"/>
  <c r="AU31" i="2"/>
  <c r="AS32" i="2"/>
  <c r="AW32" i="2"/>
  <c r="AQ33" i="2"/>
  <c r="AU33" i="2"/>
  <c r="E34" i="8"/>
  <c r="N34" i="8" s="1"/>
  <c r="AS34" i="2"/>
  <c r="AW34" i="2"/>
  <c r="AQ35" i="2"/>
  <c r="AU35" i="2"/>
  <c r="BC35" i="2"/>
  <c r="AS36" i="2"/>
  <c r="AW36" i="2"/>
  <c r="AL37" i="2"/>
  <c r="AR37" i="2"/>
  <c r="AZ37" i="2"/>
  <c r="AQ38" i="2"/>
  <c r="AU38" i="2"/>
  <c r="AT40" i="2"/>
  <c r="AT44" i="2"/>
  <c r="S53" i="16"/>
  <c r="F53" i="14"/>
  <c r="F101" i="14" s="1"/>
  <c r="N101" i="14" s="1"/>
  <c r="G53" i="15"/>
  <c r="P53" i="15" s="1"/>
  <c r="G53" i="8"/>
  <c r="P53" i="8" s="1"/>
  <c r="S53" i="10"/>
  <c r="G55" i="15"/>
  <c r="G103" i="15" s="1"/>
  <c r="P103" i="15" s="1"/>
  <c r="F55" i="14"/>
  <c r="N55" i="14" s="1"/>
  <c r="S55" i="10"/>
  <c r="F55" i="6"/>
  <c r="N55" i="6" s="1"/>
  <c r="S57" i="16"/>
  <c r="F57" i="14"/>
  <c r="F105" i="14" s="1"/>
  <c r="N105" i="14" s="1"/>
  <c r="G57" i="15"/>
  <c r="P57" i="15" s="1"/>
  <c r="F57" i="6"/>
  <c r="N57" i="6" s="1"/>
  <c r="G59" i="15"/>
  <c r="G107" i="15" s="1"/>
  <c r="P107" i="15" s="1"/>
  <c r="F59" i="14"/>
  <c r="F107" i="14" s="1"/>
  <c r="N107" i="14" s="1"/>
  <c r="F59" i="6"/>
  <c r="N59" i="6" s="1"/>
  <c r="S61" i="16"/>
  <c r="F61" i="14"/>
  <c r="F109" i="14" s="1"/>
  <c r="N109" i="14" s="1"/>
  <c r="G61" i="15"/>
  <c r="P61" i="15" s="1"/>
  <c r="S61" i="10"/>
  <c r="F61" i="6"/>
  <c r="N61" i="6" s="1"/>
  <c r="G63" i="15"/>
  <c r="P63" i="15" s="1"/>
  <c r="S63" i="10"/>
  <c r="F63" i="14"/>
  <c r="F111" i="14" s="1"/>
  <c r="N111" i="14" s="1"/>
  <c r="F63" i="6"/>
  <c r="N63" i="6" s="1"/>
  <c r="AL65" i="2"/>
  <c r="AL67" i="2"/>
  <c r="AL69" i="2"/>
  <c r="AL71" i="2"/>
  <c r="AL73" i="2"/>
  <c r="AL75" i="2"/>
  <c r="AL77" i="2"/>
  <c r="AL81" i="2"/>
  <c r="AL83" i="2"/>
  <c r="G87" i="15"/>
  <c r="P87" i="15" s="1"/>
  <c r="S87" i="10"/>
  <c r="F87" i="14"/>
  <c r="N87" i="14" s="1"/>
  <c r="G87" i="8"/>
  <c r="P87" i="8" s="1"/>
  <c r="F87" i="6"/>
  <c r="N87" i="6" s="1"/>
  <c r="G4" i="6"/>
  <c r="O4" i="6" s="1"/>
  <c r="F25" i="6"/>
  <c r="N25" i="6" s="1"/>
  <c r="F53" i="6"/>
  <c r="N53" i="6" s="1"/>
  <c r="F62" i="6"/>
  <c r="N62" i="6" s="1"/>
  <c r="H13" i="8"/>
  <c r="Q13" i="8" s="1"/>
  <c r="I28" i="8"/>
  <c r="R28" i="8" s="1"/>
  <c r="I32" i="8"/>
  <c r="R32" i="8" s="1"/>
  <c r="V15" i="10"/>
  <c r="H12" i="15"/>
  <c r="Q12" i="15" s="1"/>
  <c r="G50" i="15"/>
  <c r="P50" i="15" s="1"/>
  <c r="I89" i="6"/>
  <c r="Q89" i="6" s="1"/>
  <c r="P60" i="15"/>
  <c r="E58" i="8"/>
  <c r="N58" i="8" s="1"/>
  <c r="Q90" i="10"/>
  <c r="E90" i="8"/>
  <c r="N90" i="8" s="1"/>
  <c r="I2" i="6"/>
  <c r="Q2" i="6" s="1"/>
  <c r="I10" i="6"/>
  <c r="Q10" i="6" s="1"/>
  <c r="I28" i="6"/>
  <c r="Q28" i="6" s="1"/>
  <c r="I38" i="6"/>
  <c r="Q38" i="6" s="1"/>
  <c r="I48" i="6"/>
  <c r="Q48" i="6" s="1"/>
  <c r="I52" i="6"/>
  <c r="Q52" i="6" s="1"/>
  <c r="E58" i="6"/>
  <c r="M58" i="6" s="1"/>
  <c r="E59" i="6"/>
  <c r="M59" i="6" s="1"/>
  <c r="I60" i="6"/>
  <c r="Q60" i="6" s="1"/>
  <c r="E66" i="6"/>
  <c r="M66" i="6" s="1"/>
  <c r="E67" i="6"/>
  <c r="M67" i="6" s="1"/>
  <c r="I67" i="6"/>
  <c r="Q67" i="6" s="1"/>
  <c r="E74" i="6"/>
  <c r="M74" i="6" s="1"/>
  <c r="E82" i="6"/>
  <c r="M82" i="6" s="1"/>
  <c r="I83" i="6"/>
  <c r="Q83" i="6" s="1"/>
  <c r="E90" i="6"/>
  <c r="M90" i="6" s="1"/>
  <c r="I91" i="6"/>
  <c r="Q91" i="6" s="1"/>
  <c r="E12" i="8"/>
  <c r="N12" i="8" s="1"/>
  <c r="E18" i="8"/>
  <c r="N18" i="8" s="1"/>
  <c r="E22" i="8"/>
  <c r="N22" i="8" s="1"/>
  <c r="E26" i="8"/>
  <c r="N26" i="8" s="1"/>
  <c r="E30" i="8"/>
  <c r="N30" i="8" s="1"/>
  <c r="E54" i="8"/>
  <c r="N54" i="8" s="1"/>
  <c r="F77" i="8"/>
  <c r="O77" i="8" s="1"/>
  <c r="E78" i="8"/>
  <c r="N78" i="8" s="1"/>
  <c r="E94" i="8"/>
  <c r="N94" i="8" s="1"/>
  <c r="I6" i="6"/>
  <c r="Q6" i="6" s="1"/>
  <c r="I32" i="6"/>
  <c r="Q32" i="6" s="1"/>
  <c r="I36" i="6"/>
  <c r="Q36" i="6" s="1"/>
  <c r="E3" i="6"/>
  <c r="M3" i="6" s="1"/>
  <c r="E4" i="6"/>
  <c r="M4" i="6" s="1"/>
  <c r="E7" i="6"/>
  <c r="M7" i="6" s="1"/>
  <c r="E8" i="6"/>
  <c r="M8" i="6" s="1"/>
  <c r="E12" i="6"/>
  <c r="M12" i="6" s="1"/>
  <c r="E13" i="6"/>
  <c r="M13" i="6" s="1"/>
  <c r="E16" i="6"/>
  <c r="M16" i="6" s="1"/>
  <c r="E17" i="6"/>
  <c r="M17" i="6" s="1"/>
  <c r="E18" i="6"/>
  <c r="M18" i="6" s="1"/>
  <c r="E19" i="6"/>
  <c r="M19" i="6" s="1"/>
  <c r="E20" i="6"/>
  <c r="M20" i="6" s="1"/>
  <c r="E21" i="6"/>
  <c r="M21" i="6" s="1"/>
  <c r="E22" i="6"/>
  <c r="M22" i="6" s="1"/>
  <c r="E23" i="6"/>
  <c r="M23" i="6" s="1"/>
  <c r="E24" i="6"/>
  <c r="M24" i="6" s="1"/>
  <c r="E25" i="6"/>
  <c r="M25" i="6" s="1"/>
  <c r="E26" i="6"/>
  <c r="M26" i="6" s="1"/>
  <c r="E27" i="6"/>
  <c r="M27" i="6" s="1"/>
  <c r="E30" i="6"/>
  <c r="M30" i="6" s="1"/>
  <c r="E31" i="6"/>
  <c r="M31" i="6" s="1"/>
  <c r="E34" i="6"/>
  <c r="M34" i="6" s="1"/>
  <c r="E35" i="6"/>
  <c r="M35" i="6" s="1"/>
  <c r="E37" i="6"/>
  <c r="M37" i="6" s="1"/>
  <c r="E39" i="6"/>
  <c r="M39" i="6" s="1"/>
  <c r="E41" i="6"/>
  <c r="M41" i="6" s="1"/>
  <c r="E43" i="6"/>
  <c r="M43" i="6" s="1"/>
  <c r="E46" i="6"/>
  <c r="M46" i="6" s="1"/>
  <c r="E47" i="6"/>
  <c r="M47" i="6" s="1"/>
  <c r="E50" i="6"/>
  <c r="M50" i="6" s="1"/>
  <c r="E51" i="6"/>
  <c r="M51" i="6" s="1"/>
  <c r="E53" i="6"/>
  <c r="M53" i="6" s="1"/>
  <c r="E61" i="6"/>
  <c r="M61" i="6" s="1"/>
  <c r="I85" i="6"/>
  <c r="Q85" i="6" s="1"/>
  <c r="I93" i="6"/>
  <c r="Q93" i="6" s="1"/>
  <c r="E16" i="8"/>
  <c r="N16" i="8" s="1"/>
  <c r="E50" i="8"/>
  <c r="N50" i="8" s="1"/>
  <c r="F79" i="8"/>
  <c r="O79" i="8" s="1"/>
  <c r="E82" i="8"/>
  <c r="N82" i="8" s="1"/>
  <c r="E86" i="8"/>
  <c r="N86" i="8" s="1"/>
  <c r="F95" i="8"/>
  <c r="O95" i="8" s="1"/>
  <c r="E54" i="6"/>
  <c r="M54" i="6" s="1"/>
  <c r="E55" i="6"/>
  <c r="M55" i="6" s="1"/>
  <c r="I56" i="6"/>
  <c r="Q56" i="6" s="1"/>
  <c r="E62" i="6"/>
  <c r="M62" i="6" s="1"/>
  <c r="E63" i="6"/>
  <c r="M63" i="6" s="1"/>
  <c r="I64" i="6"/>
  <c r="Q64" i="6" s="1"/>
  <c r="E70" i="6"/>
  <c r="M70" i="6" s="1"/>
  <c r="I71" i="6"/>
  <c r="Q71" i="6" s="1"/>
  <c r="E78" i="6"/>
  <c r="M78" i="6" s="1"/>
  <c r="E86" i="6"/>
  <c r="M86" i="6" s="1"/>
  <c r="I87" i="6"/>
  <c r="Q87" i="6" s="1"/>
  <c r="E94" i="6"/>
  <c r="M94" i="6" s="1"/>
  <c r="E4" i="8"/>
  <c r="N4" i="8" s="1"/>
  <c r="E20" i="8"/>
  <c r="N20" i="8" s="1"/>
  <c r="E24" i="8"/>
  <c r="N24" i="8" s="1"/>
  <c r="E46" i="8"/>
  <c r="N46" i="8" s="1"/>
  <c r="E62" i="8"/>
  <c r="N62" i="8" s="1"/>
  <c r="H98" i="14"/>
  <c r="H99" i="14" s="1"/>
  <c r="N63" i="14"/>
  <c r="R11" i="20"/>
  <c r="D3" i="6"/>
  <c r="L3" i="6" s="1"/>
  <c r="D3" i="8"/>
  <c r="M3" i="8" s="1"/>
  <c r="E5" i="8"/>
  <c r="N5" i="8" s="1"/>
  <c r="D11" i="6"/>
  <c r="L11" i="6" s="1"/>
  <c r="D11" i="8"/>
  <c r="M11" i="8" s="1"/>
  <c r="D31" i="6"/>
  <c r="L31" i="6" s="1"/>
  <c r="D31" i="8"/>
  <c r="M31" i="8" s="1"/>
  <c r="F39" i="15"/>
  <c r="O39" i="15" s="1"/>
  <c r="I39" i="14"/>
  <c r="Q39" i="14" s="1"/>
  <c r="F39" i="8"/>
  <c r="O39" i="8" s="1"/>
  <c r="D47" i="6"/>
  <c r="L47" i="6" s="1"/>
  <c r="D47" i="8"/>
  <c r="M47" i="8" s="1"/>
  <c r="E72" i="8"/>
  <c r="N72" i="8" s="1"/>
  <c r="E88" i="8"/>
  <c r="N88" i="8" s="1"/>
  <c r="D95" i="8"/>
  <c r="M95" i="8" s="1"/>
  <c r="D95" i="6"/>
  <c r="L95" i="6" s="1"/>
  <c r="E2" i="6"/>
  <c r="M2" i="6" s="1"/>
  <c r="E6" i="6"/>
  <c r="M6" i="6" s="1"/>
  <c r="E10" i="6"/>
  <c r="M10" i="6" s="1"/>
  <c r="E14" i="6"/>
  <c r="M14" i="6" s="1"/>
  <c r="E72" i="6"/>
  <c r="M72" i="6" s="1"/>
  <c r="E88" i="6"/>
  <c r="M88" i="6" s="1"/>
  <c r="E2" i="8"/>
  <c r="N2" i="8" s="1"/>
  <c r="E6" i="8"/>
  <c r="N6" i="8" s="1"/>
  <c r="E10" i="8"/>
  <c r="N10" i="8" s="1"/>
  <c r="E14" i="8"/>
  <c r="N14" i="8" s="1"/>
  <c r="F34" i="15"/>
  <c r="O34" i="15" s="1"/>
  <c r="I34" i="14"/>
  <c r="Q34" i="14" s="1"/>
  <c r="R34" i="10"/>
  <c r="F34" i="8"/>
  <c r="O34" i="8" s="1"/>
  <c r="D36" i="8"/>
  <c r="M36" i="8" s="1"/>
  <c r="D36" i="6"/>
  <c r="L36" i="6" s="1"/>
  <c r="F41" i="15"/>
  <c r="O41" i="15" s="1"/>
  <c r="I41" i="14"/>
  <c r="Q41" i="14" s="1"/>
  <c r="R41" i="10"/>
  <c r="F41" i="8"/>
  <c r="O41" i="8" s="1"/>
  <c r="E49" i="8"/>
  <c r="N49" i="8" s="1"/>
  <c r="D52" i="8"/>
  <c r="M52" i="8" s="1"/>
  <c r="D52" i="6"/>
  <c r="L52" i="6" s="1"/>
  <c r="I54" i="14"/>
  <c r="Q54" i="14" s="1"/>
  <c r="F54" i="15"/>
  <c r="O54" i="15" s="1"/>
  <c r="F54" i="8"/>
  <c r="O54" i="8" s="1"/>
  <c r="D63" i="6"/>
  <c r="L63" i="6" s="1"/>
  <c r="D63" i="8"/>
  <c r="M63" i="8" s="1"/>
  <c r="F70" i="15"/>
  <c r="O70" i="15" s="1"/>
  <c r="I70" i="14"/>
  <c r="Q70" i="14" s="1"/>
  <c r="F70" i="8"/>
  <c r="O70" i="8" s="1"/>
  <c r="D79" i="8"/>
  <c r="M79" i="8" s="1"/>
  <c r="D79" i="6"/>
  <c r="L79" i="6" s="1"/>
  <c r="D2" i="8"/>
  <c r="M2" i="8" s="1"/>
  <c r="D2" i="6"/>
  <c r="L2" i="6" s="1"/>
  <c r="I7" i="14"/>
  <c r="Q7" i="14" s="1"/>
  <c r="F7" i="15"/>
  <c r="O7" i="15" s="1"/>
  <c r="F7" i="8"/>
  <c r="O7" i="8" s="1"/>
  <c r="D10" i="8"/>
  <c r="M10" i="8" s="1"/>
  <c r="D10" i="6"/>
  <c r="L10" i="6" s="1"/>
  <c r="F13" i="15"/>
  <c r="O13" i="15" s="1"/>
  <c r="I13" i="14"/>
  <c r="Q13" i="14" s="1"/>
  <c r="R13" i="10"/>
  <c r="F13" i="8"/>
  <c r="O13" i="8" s="1"/>
  <c r="I18" i="14"/>
  <c r="Q18" i="14" s="1"/>
  <c r="F18" i="15"/>
  <c r="O18" i="15" s="1"/>
  <c r="F18" i="8"/>
  <c r="O18" i="8" s="1"/>
  <c r="I24" i="14"/>
  <c r="Q24" i="14" s="1"/>
  <c r="F24" i="15"/>
  <c r="O24" i="15" s="1"/>
  <c r="F24" i="8"/>
  <c r="O24" i="8" s="1"/>
  <c r="E33" i="8"/>
  <c r="N33" i="8" s="1"/>
  <c r="Q36" i="10"/>
  <c r="E36" i="8"/>
  <c r="N36" i="8" s="1"/>
  <c r="D38" i="8"/>
  <c r="M38" i="8" s="1"/>
  <c r="D38" i="6"/>
  <c r="L38" i="6" s="1"/>
  <c r="E40" i="8"/>
  <c r="N40" i="8" s="1"/>
  <c r="D41" i="6"/>
  <c r="L41" i="6" s="1"/>
  <c r="D41" i="8"/>
  <c r="M41" i="8" s="1"/>
  <c r="D59" i="6"/>
  <c r="L59" i="6" s="1"/>
  <c r="D59" i="8"/>
  <c r="M59" i="8" s="1"/>
  <c r="F66" i="15"/>
  <c r="O66" i="15" s="1"/>
  <c r="I66" i="14"/>
  <c r="Q66" i="14" s="1"/>
  <c r="R66" i="10"/>
  <c r="F66" i="8"/>
  <c r="O66" i="8" s="1"/>
  <c r="E68" i="8"/>
  <c r="N68" i="8" s="1"/>
  <c r="D75" i="8"/>
  <c r="M75" i="8" s="1"/>
  <c r="D75" i="6"/>
  <c r="L75" i="6" s="1"/>
  <c r="E84" i="8"/>
  <c r="N84" i="8" s="1"/>
  <c r="F4" i="15"/>
  <c r="O4" i="15" s="1"/>
  <c r="I4" i="14"/>
  <c r="Q4" i="14" s="1"/>
  <c r="R4" i="10"/>
  <c r="F4" i="8"/>
  <c r="O4" i="8" s="1"/>
  <c r="D7" i="6"/>
  <c r="L7" i="6" s="1"/>
  <c r="D7" i="8"/>
  <c r="M7" i="8" s="1"/>
  <c r="E9" i="8"/>
  <c r="N9" i="8" s="1"/>
  <c r="F12" i="15"/>
  <c r="O12" i="15" s="1"/>
  <c r="I12" i="14"/>
  <c r="Q12" i="14" s="1"/>
  <c r="F12" i="8"/>
  <c r="O12" i="8" s="1"/>
  <c r="E15" i="8"/>
  <c r="N15" i="8" s="1"/>
  <c r="Q28" i="10"/>
  <c r="E28" i="8"/>
  <c r="N28" i="8" s="1"/>
  <c r="F30" i="15"/>
  <c r="O30" i="15" s="1"/>
  <c r="I30" i="14"/>
  <c r="Q30" i="14" s="1"/>
  <c r="F30" i="8"/>
  <c r="O30" i="8" s="1"/>
  <c r="D32" i="8"/>
  <c r="M32" i="8" s="1"/>
  <c r="D32" i="6"/>
  <c r="L32" i="6" s="1"/>
  <c r="D35" i="6"/>
  <c r="L35" i="6" s="1"/>
  <c r="D35" i="8"/>
  <c r="M35" i="8" s="1"/>
  <c r="Q38" i="10"/>
  <c r="E38" i="8"/>
  <c r="N38" i="8" s="1"/>
  <c r="E42" i="8"/>
  <c r="N42" i="8" s="1"/>
  <c r="D43" i="6"/>
  <c r="L43" i="6" s="1"/>
  <c r="D43" i="8"/>
  <c r="M43" i="8" s="1"/>
  <c r="E45" i="8"/>
  <c r="N45" i="8" s="1"/>
  <c r="D48" i="8"/>
  <c r="M48" i="8" s="1"/>
  <c r="D48" i="6"/>
  <c r="L48" i="6" s="1"/>
  <c r="D51" i="6"/>
  <c r="L51" i="6" s="1"/>
  <c r="D51" i="8"/>
  <c r="M51" i="8" s="1"/>
  <c r="D55" i="6"/>
  <c r="L55" i="6" s="1"/>
  <c r="D55" i="8"/>
  <c r="M55" i="8" s="1"/>
  <c r="F62" i="15"/>
  <c r="O62" i="15" s="1"/>
  <c r="I62" i="14"/>
  <c r="Q62" i="14" s="1"/>
  <c r="R62" i="10"/>
  <c r="F62" i="8"/>
  <c r="O62" i="8" s="1"/>
  <c r="E64" i="8"/>
  <c r="N64" i="8" s="1"/>
  <c r="D71" i="8"/>
  <c r="M71" i="8" s="1"/>
  <c r="D71" i="6"/>
  <c r="L71" i="6" s="1"/>
  <c r="F78" i="15"/>
  <c r="O78" i="15" s="1"/>
  <c r="I78" i="14"/>
  <c r="Q78" i="14" s="1"/>
  <c r="R78" i="10"/>
  <c r="F78" i="8"/>
  <c r="O78" i="8" s="1"/>
  <c r="E80" i="8"/>
  <c r="N80" i="8" s="1"/>
  <c r="D87" i="8"/>
  <c r="M87" i="8" s="1"/>
  <c r="D87" i="6"/>
  <c r="L87" i="6" s="1"/>
  <c r="F94" i="15"/>
  <c r="I94" i="14"/>
  <c r="F94" i="8"/>
  <c r="O94" i="8" s="1"/>
  <c r="E96" i="8"/>
  <c r="N96" i="8" s="1"/>
  <c r="F8" i="15"/>
  <c r="O8" i="15" s="1"/>
  <c r="I8" i="14"/>
  <c r="Q8" i="14" s="1"/>
  <c r="R8" i="10"/>
  <c r="F8" i="8"/>
  <c r="O8" i="8" s="1"/>
  <c r="E56" i="8"/>
  <c r="N56" i="8" s="1"/>
  <c r="F86" i="15"/>
  <c r="I86" i="14"/>
  <c r="R86" i="10"/>
  <c r="F86" i="8"/>
  <c r="O86" i="8" s="1"/>
  <c r="Q11" i="10"/>
  <c r="E11" i="8"/>
  <c r="N11" i="8" s="1"/>
  <c r="F16" i="15"/>
  <c r="O16" i="15" s="1"/>
  <c r="I16" i="14"/>
  <c r="Q16" i="14" s="1"/>
  <c r="F16" i="8"/>
  <c r="O16" i="8" s="1"/>
  <c r="F20" i="15"/>
  <c r="O20" i="15" s="1"/>
  <c r="I20" i="14"/>
  <c r="Q20" i="14" s="1"/>
  <c r="R20" i="10"/>
  <c r="F20" i="8"/>
  <c r="O20" i="8" s="1"/>
  <c r="F22" i="15"/>
  <c r="O22" i="15" s="1"/>
  <c r="I22" i="14"/>
  <c r="Q22" i="14" s="1"/>
  <c r="R22" i="10"/>
  <c r="F22" i="8"/>
  <c r="O22" i="8" s="1"/>
  <c r="F26" i="15"/>
  <c r="O26" i="15" s="1"/>
  <c r="I26" i="14"/>
  <c r="Q26" i="14" s="1"/>
  <c r="F26" i="8"/>
  <c r="O26" i="8" s="1"/>
  <c r="D28" i="8"/>
  <c r="M28" i="8" s="1"/>
  <c r="D28" i="6"/>
  <c r="L28" i="6" s="1"/>
  <c r="I35" i="14"/>
  <c r="Q35" i="14" s="1"/>
  <c r="F35" i="15"/>
  <c r="O35" i="15" s="1"/>
  <c r="F35" i="8"/>
  <c r="O35" i="8" s="1"/>
  <c r="F43" i="15"/>
  <c r="O43" i="15" s="1"/>
  <c r="I43" i="14"/>
  <c r="Q43" i="14" s="1"/>
  <c r="F43" i="8"/>
  <c r="O43" i="8" s="1"/>
  <c r="I46" i="14"/>
  <c r="Q46" i="14" s="1"/>
  <c r="F46" i="15"/>
  <c r="O46" i="15" s="1"/>
  <c r="R46" i="10"/>
  <c r="F46" i="8"/>
  <c r="O46" i="8" s="1"/>
  <c r="I51" i="14"/>
  <c r="Q51" i="14" s="1"/>
  <c r="F51" i="15"/>
  <c r="O51" i="15" s="1"/>
  <c r="F51" i="8"/>
  <c r="O51" i="8" s="1"/>
  <c r="Q52" i="10"/>
  <c r="E52" i="8"/>
  <c r="N52" i="8" s="1"/>
  <c r="F82" i="15"/>
  <c r="O82" i="15" s="1"/>
  <c r="I82" i="14"/>
  <c r="Q82" i="14" s="1"/>
  <c r="R82" i="10"/>
  <c r="F82" i="8"/>
  <c r="O82" i="8" s="1"/>
  <c r="D91" i="8"/>
  <c r="M91" i="8" s="1"/>
  <c r="D91" i="6"/>
  <c r="L91" i="6" s="1"/>
  <c r="I3" i="14"/>
  <c r="Q3" i="14" s="1"/>
  <c r="F3" i="15"/>
  <c r="O3" i="15" s="1"/>
  <c r="F3" i="8"/>
  <c r="O3" i="8" s="1"/>
  <c r="D6" i="8"/>
  <c r="M6" i="8" s="1"/>
  <c r="D6" i="6"/>
  <c r="L6" i="6" s="1"/>
  <c r="D12" i="8"/>
  <c r="M12" i="8" s="1"/>
  <c r="D12" i="6"/>
  <c r="L12" i="6" s="1"/>
  <c r="R12" i="6" s="1"/>
  <c r="F17" i="15"/>
  <c r="O17" i="15" s="1"/>
  <c r="I17" i="14"/>
  <c r="Q17" i="14" s="1"/>
  <c r="F17" i="8"/>
  <c r="O17" i="8" s="1"/>
  <c r="I19" i="14"/>
  <c r="Q19" i="14" s="1"/>
  <c r="F19" i="15"/>
  <c r="O19" i="15" s="1"/>
  <c r="F19" i="8"/>
  <c r="O19" i="8" s="1"/>
  <c r="F21" i="15"/>
  <c r="O21" i="15" s="1"/>
  <c r="I21" i="14"/>
  <c r="Q21" i="14" s="1"/>
  <c r="F21" i="8"/>
  <c r="O21" i="8" s="1"/>
  <c r="I23" i="14"/>
  <c r="Q23" i="14" s="1"/>
  <c r="F23" i="15"/>
  <c r="O23" i="15" s="1"/>
  <c r="R23" i="10"/>
  <c r="F23" i="8"/>
  <c r="O23" i="8" s="1"/>
  <c r="F25" i="15"/>
  <c r="O25" i="15" s="1"/>
  <c r="I25" i="14"/>
  <c r="Q25" i="14" s="1"/>
  <c r="F25" i="8"/>
  <c r="O25" i="8" s="1"/>
  <c r="I27" i="14"/>
  <c r="Q27" i="14" s="1"/>
  <c r="F27" i="15"/>
  <c r="O27" i="15" s="1"/>
  <c r="R27" i="10"/>
  <c r="F27" i="8"/>
  <c r="O27" i="8" s="1"/>
  <c r="Q29" i="10"/>
  <c r="E29" i="8"/>
  <c r="N29" i="8" s="1"/>
  <c r="F31" i="15"/>
  <c r="O31" i="15" s="1"/>
  <c r="I31" i="14"/>
  <c r="Q31" i="14" s="1"/>
  <c r="R31" i="10"/>
  <c r="F31" i="8"/>
  <c r="O31" i="8" s="1"/>
  <c r="Q32" i="10"/>
  <c r="E32" i="8"/>
  <c r="N32" i="8" s="1"/>
  <c r="F37" i="15"/>
  <c r="O37" i="15" s="1"/>
  <c r="I37" i="14"/>
  <c r="Q37" i="14" s="1"/>
  <c r="R37" i="10"/>
  <c r="F37" i="8"/>
  <c r="O37" i="8" s="1"/>
  <c r="Q44" i="10"/>
  <c r="E44" i="8"/>
  <c r="N44" i="8" s="1"/>
  <c r="F47" i="15"/>
  <c r="O47" i="15" s="1"/>
  <c r="I47" i="14"/>
  <c r="Q47" i="14" s="1"/>
  <c r="F47" i="8"/>
  <c r="O47" i="8" s="1"/>
  <c r="Q48" i="10"/>
  <c r="E48" i="8"/>
  <c r="N48" i="8" s="1"/>
  <c r="I50" i="14"/>
  <c r="Q50" i="14" s="1"/>
  <c r="F50" i="15"/>
  <c r="O50" i="15" s="1"/>
  <c r="R50" i="10"/>
  <c r="F50" i="8"/>
  <c r="O50" i="8" s="1"/>
  <c r="F58" i="15"/>
  <c r="O58" i="15" s="1"/>
  <c r="I58" i="14"/>
  <c r="Q58" i="14" s="1"/>
  <c r="R58" i="10"/>
  <c r="F58" i="8"/>
  <c r="O58" i="8" s="1"/>
  <c r="E60" i="8"/>
  <c r="N60" i="8" s="1"/>
  <c r="D67" i="8"/>
  <c r="M67" i="8" s="1"/>
  <c r="D67" i="6"/>
  <c r="L67" i="6" s="1"/>
  <c r="F74" i="15"/>
  <c r="O74" i="15" s="1"/>
  <c r="I74" i="14"/>
  <c r="Q74" i="14" s="1"/>
  <c r="F74" i="8"/>
  <c r="O74" i="8" s="1"/>
  <c r="E76" i="8"/>
  <c r="N76" i="8" s="1"/>
  <c r="D83" i="8"/>
  <c r="M83" i="8" s="1"/>
  <c r="D83" i="6"/>
  <c r="L83" i="6" s="1"/>
  <c r="F90" i="15"/>
  <c r="I90" i="14"/>
  <c r="R90" i="10"/>
  <c r="F90" i="8"/>
  <c r="O90" i="8" s="1"/>
  <c r="E92" i="8"/>
  <c r="N92" i="8" s="1"/>
  <c r="I3" i="6"/>
  <c r="Q3" i="6" s="1"/>
  <c r="E5" i="6"/>
  <c r="M5" i="6" s="1"/>
  <c r="I7" i="6"/>
  <c r="Q7" i="6" s="1"/>
  <c r="E9" i="6"/>
  <c r="M9" i="6" s="1"/>
  <c r="E11" i="6"/>
  <c r="M11" i="6" s="1"/>
  <c r="I13" i="6"/>
  <c r="Q13" i="6" s="1"/>
  <c r="E15" i="6"/>
  <c r="M15" i="6" s="1"/>
  <c r="I17" i="6"/>
  <c r="Q17" i="6" s="1"/>
  <c r="I19" i="6"/>
  <c r="Q19" i="6" s="1"/>
  <c r="I21" i="6"/>
  <c r="Q21" i="6" s="1"/>
  <c r="I23" i="6"/>
  <c r="Q23" i="6" s="1"/>
  <c r="I25" i="6"/>
  <c r="Q25" i="6" s="1"/>
  <c r="I27" i="6"/>
  <c r="Q27" i="6" s="1"/>
  <c r="E29" i="6"/>
  <c r="M29" i="6" s="1"/>
  <c r="I31" i="6"/>
  <c r="Q31" i="6" s="1"/>
  <c r="E33" i="6"/>
  <c r="M33" i="6" s="1"/>
  <c r="I35" i="6"/>
  <c r="Q35" i="6" s="1"/>
  <c r="I37" i="6"/>
  <c r="Q37" i="6" s="1"/>
  <c r="I39" i="6"/>
  <c r="Q39" i="6" s="1"/>
  <c r="I41" i="6"/>
  <c r="Q41" i="6" s="1"/>
  <c r="I43" i="6"/>
  <c r="Q43" i="6" s="1"/>
  <c r="E45" i="6"/>
  <c r="M45" i="6" s="1"/>
  <c r="I47" i="6"/>
  <c r="Q47" i="6" s="1"/>
  <c r="E49" i="6"/>
  <c r="M49" i="6" s="1"/>
  <c r="I51" i="6"/>
  <c r="Q51" i="6" s="1"/>
  <c r="F5" i="15"/>
  <c r="O5" i="15" s="1"/>
  <c r="I5" i="14"/>
  <c r="Q5" i="14" s="1"/>
  <c r="F9" i="15"/>
  <c r="O9" i="15" s="1"/>
  <c r="I9" i="14"/>
  <c r="Q9" i="14" s="1"/>
  <c r="R9" i="10"/>
  <c r="F14" i="15"/>
  <c r="O14" i="15" s="1"/>
  <c r="I14" i="14"/>
  <c r="Q14" i="14" s="1"/>
  <c r="F15" i="15"/>
  <c r="O15" i="15" s="1"/>
  <c r="I15" i="14"/>
  <c r="Q15" i="14" s="1"/>
  <c r="R15" i="10"/>
  <c r="F29" i="15"/>
  <c r="O29" i="15" s="1"/>
  <c r="I29" i="14"/>
  <c r="Q29" i="14" s="1"/>
  <c r="R29" i="10"/>
  <c r="F33" i="15"/>
  <c r="O33" i="15" s="1"/>
  <c r="I33" i="14"/>
  <c r="Q33" i="14" s="1"/>
  <c r="R33" i="10"/>
  <c r="F40" i="15"/>
  <c r="O40" i="15" s="1"/>
  <c r="I40" i="14"/>
  <c r="Q40" i="14" s="1"/>
  <c r="R40" i="10"/>
  <c r="F42" i="15"/>
  <c r="O42" i="15" s="1"/>
  <c r="I42" i="14"/>
  <c r="Q42" i="14" s="1"/>
  <c r="R42" i="10"/>
  <c r="F44" i="15"/>
  <c r="O44" i="15" s="1"/>
  <c r="I44" i="14"/>
  <c r="Q44" i="14" s="1"/>
  <c r="R44" i="10"/>
  <c r="I45" i="14"/>
  <c r="Q45" i="14" s="1"/>
  <c r="F45" i="15"/>
  <c r="O45" i="15" s="1"/>
  <c r="R45" i="10"/>
  <c r="F49" i="15"/>
  <c r="O49" i="15" s="1"/>
  <c r="I49" i="14"/>
  <c r="Q49" i="14" s="1"/>
  <c r="R49" i="10"/>
  <c r="F53" i="15"/>
  <c r="O53" i="15" s="1"/>
  <c r="I53" i="14"/>
  <c r="Q53" i="14" s="1"/>
  <c r="R53" i="10"/>
  <c r="F57" i="15"/>
  <c r="O57" i="15" s="1"/>
  <c r="I57" i="14"/>
  <c r="Q57" i="14" s="1"/>
  <c r="R57" i="10"/>
  <c r="I61" i="14"/>
  <c r="Q61" i="14" s="1"/>
  <c r="F61" i="15"/>
  <c r="O61" i="15" s="1"/>
  <c r="R65" i="10"/>
  <c r="F65" i="15"/>
  <c r="O65" i="15" s="1"/>
  <c r="I65" i="14"/>
  <c r="Q65" i="14" s="1"/>
  <c r="I69" i="14"/>
  <c r="Q69" i="14" s="1"/>
  <c r="R69" i="10"/>
  <c r="F69" i="15"/>
  <c r="O69" i="15" s="1"/>
  <c r="E71" i="8"/>
  <c r="N71" i="8" s="1"/>
  <c r="Q71" i="10"/>
  <c r="F73" i="15"/>
  <c r="O73" i="15" s="1"/>
  <c r="I73" i="14"/>
  <c r="Q73" i="14" s="1"/>
  <c r="E75" i="8"/>
  <c r="N75" i="8" s="1"/>
  <c r="Q75" i="10"/>
  <c r="I77" i="14"/>
  <c r="Q77" i="14" s="1"/>
  <c r="F77" i="15"/>
  <c r="O77" i="15" s="1"/>
  <c r="E79" i="8"/>
  <c r="N79" i="8" s="1"/>
  <c r="Q79" i="10"/>
  <c r="I81" i="14"/>
  <c r="Q81" i="14" s="1"/>
  <c r="R81" i="10"/>
  <c r="F81" i="15"/>
  <c r="O81" i="15" s="1"/>
  <c r="Q83" i="10"/>
  <c r="E83" i="8"/>
  <c r="N83" i="8" s="1"/>
  <c r="I85" i="14"/>
  <c r="Q85" i="14" s="1"/>
  <c r="F85" i="15"/>
  <c r="O85" i="15" s="1"/>
  <c r="Q87" i="10"/>
  <c r="E87" i="8"/>
  <c r="N87" i="8" s="1"/>
  <c r="I89" i="14"/>
  <c r="R89" i="10"/>
  <c r="F89" i="15"/>
  <c r="Q91" i="10"/>
  <c r="E91" i="8"/>
  <c r="N91" i="8" s="1"/>
  <c r="I93" i="14"/>
  <c r="F93" i="15"/>
  <c r="Q95" i="10"/>
  <c r="E95" i="8"/>
  <c r="N95" i="8" s="1"/>
  <c r="I97" i="14"/>
  <c r="R97" i="10"/>
  <c r="F97" i="15"/>
  <c r="F2" i="8"/>
  <c r="O2" i="8" s="1"/>
  <c r="D5" i="8"/>
  <c r="M5" i="8" s="1"/>
  <c r="D9" i="8"/>
  <c r="M9" i="8" s="1"/>
  <c r="D13" i="8"/>
  <c r="M13" i="8" s="1"/>
  <c r="F14" i="8"/>
  <c r="O14" i="8" s="1"/>
  <c r="D15" i="8"/>
  <c r="M15" i="8" s="1"/>
  <c r="D17" i="8"/>
  <c r="M17" i="8" s="1"/>
  <c r="D19" i="8"/>
  <c r="M19" i="8" s="1"/>
  <c r="D21" i="8"/>
  <c r="M21" i="8" s="1"/>
  <c r="D23" i="8"/>
  <c r="M23" i="8" s="1"/>
  <c r="D25" i="8"/>
  <c r="M25" i="8" s="1"/>
  <c r="D27" i="8"/>
  <c r="M27" i="8" s="1"/>
  <c r="D29" i="8"/>
  <c r="M29" i="8" s="1"/>
  <c r="D33" i="8"/>
  <c r="M33" i="8" s="1"/>
  <c r="D37" i="8"/>
  <c r="M37" i="8" s="1"/>
  <c r="D39" i="8"/>
  <c r="M39" i="8" s="1"/>
  <c r="F40" i="8"/>
  <c r="O40" i="8" s="1"/>
  <c r="F42" i="8"/>
  <c r="O42" i="8" s="1"/>
  <c r="F44" i="8"/>
  <c r="O44" i="8" s="1"/>
  <c r="D45" i="8"/>
  <c r="M45" i="8" s="1"/>
  <c r="D49" i="8"/>
  <c r="M49" i="8" s="1"/>
  <c r="D53" i="8"/>
  <c r="M53" i="8" s="1"/>
  <c r="D57" i="8"/>
  <c r="M57" i="8" s="1"/>
  <c r="D61" i="8"/>
  <c r="M61" i="8" s="1"/>
  <c r="D66" i="8"/>
  <c r="M66" i="8" s="1"/>
  <c r="D68" i="8"/>
  <c r="M68" i="8" s="1"/>
  <c r="D70" i="8"/>
  <c r="M70" i="8" s="1"/>
  <c r="D72" i="8"/>
  <c r="M72" i="8" s="1"/>
  <c r="I2" i="14"/>
  <c r="Q2" i="14" s="1"/>
  <c r="F2" i="15"/>
  <c r="O2" i="15" s="1"/>
  <c r="F6" i="15"/>
  <c r="O6" i="15" s="1"/>
  <c r="I6" i="14"/>
  <c r="Q6" i="14" s="1"/>
  <c r="R6" i="10"/>
  <c r="F10" i="15"/>
  <c r="O10" i="15" s="1"/>
  <c r="I10" i="14"/>
  <c r="Q10" i="14" s="1"/>
  <c r="R10" i="10"/>
  <c r="I11" i="14"/>
  <c r="Q11" i="14" s="1"/>
  <c r="F11" i="15"/>
  <c r="O11" i="15" s="1"/>
  <c r="R11" i="10"/>
  <c r="F28" i="15"/>
  <c r="O28" i="15" s="1"/>
  <c r="I28" i="14"/>
  <c r="Q28" i="14" s="1"/>
  <c r="R28" i="10"/>
  <c r="F32" i="15"/>
  <c r="O32" i="15" s="1"/>
  <c r="I32" i="14"/>
  <c r="Q32" i="14" s="1"/>
  <c r="R32" i="10"/>
  <c r="F36" i="15"/>
  <c r="O36" i="15" s="1"/>
  <c r="I36" i="14"/>
  <c r="Q36" i="14" s="1"/>
  <c r="R36" i="10"/>
  <c r="F38" i="15"/>
  <c r="O38" i="15" s="1"/>
  <c r="I38" i="14"/>
  <c r="Q38" i="14" s="1"/>
  <c r="F48" i="15"/>
  <c r="O48" i="15" s="1"/>
  <c r="I48" i="14"/>
  <c r="Q48" i="14" s="1"/>
  <c r="R48" i="10"/>
  <c r="F52" i="15"/>
  <c r="O52" i="15" s="1"/>
  <c r="I52" i="14"/>
  <c r="Q52" i="14" s="1"/>
  <c r="R52" i="10"/>
  <c r="F56" i="15"/>
  <c r="O56" i="15" s="1"/>
  <c r="I56" i="14"/>
  <c r="Q56" i="14" s="1"/>
  <c r="F60" i="15"/>
  <c r="O60" i="15" s="1"/>
  <c r="I60" i="14"/>
  <c r="Q60" i="14" s="1"/>
  <c r="F64" i="15"/>
  <c r="O64" i="15" s="1"/>
  <c r="I64" i="14"/>
  <c r="Q64" i="14" s="1"/>
  <c r="R64" i="10"/>
  <c r="F68" i="15"/>
  <c r="O68" i="15" s="1"/>
  <c r="I68" i="14"/>
  <c r="Q68" i="14" s="1"/>
  <c r="F68" i="8"/>
  <c r="O68" i="8" s="1"/>
  <c r="F72" i="15"/>
  <c r="O72" i="15" s="1"/>
  <c r="I72" i="14"/>
  <c r="Q72" i="14" s="1"/>
  <c r="R72" i="10"/>
  <c r="F72" i="8"/>
  <c r="O72" i="8" s="1"/>
  <c r="F76" i="15"/>
  <c r="O76" i="15" s="1"/>
  <c r="R76" i="10"/>
  <c r="F76" i="8"/>
  <c r="O76" i="8" s="1"/>
  <c r="F80" i="15"/>
  <c r="O80" i="15" s="1"/>
  <c r="I80" i="14"/>
  <c r="Q80" i="14" s="1"/>
  <c r="R80" i="10"/>
  <c r="F80" i="8"/>
  <c r="O80" i="8" s="1"/>
  <c r="F84" i="15"/>
  <c r="O84" i="15" s="1"/>
  <c r="R84" i="10"/>
  <c r="I84" i="14"/>
  <c r="Q84" i="14" s="1"/>
  <c r="F84" i="8"/>
  <c r="O84" i="8" s="1"/>
  <c r="F88" i="15"/>
  <c r="I88" i="14"/>
  <c r="R88" i="10"/>
  <c r="F88" i="8"/>
  <c r="O88" i="8" s="1"/>
  <c r="F92" i="15"/>
  <c r="R92" i="10"/>
  <c r="I92" i="14"/>
  <c r="F92" i="8"/>
  <c r="O92" i="8" s="1"/>
  <c r="F96" i="15"/>
  <c r="I96" i="14"/>
  <c r="R96" i="10"/>
  <c r="F96" i="8"/>
  <c r="O96" i="8" s="1"/>
  <c r="E3" i="8"/>
  <c r="N3" i="8" s="1"/>
  <c r="E7" i="8"/>
  <c r="N7" i="8" s="1"/>
  <c r="E13" i="8"/>
  <c r="N13" i="8" s="1"/>
  <c r="E17" i="8"/>
  <c r="N17" i="8" s="1"/>
  <c r="E19" i="8"/>
  <c r="N19" i="8" s="1"/>
  <c r="E21" i="8"/>
  <c r="N21" i="8" s="1"/>
  <c r="E23" i="8"/>
  <c r="N23" i="8" s="1"/>
  <c r="E25" i="8"/>
  <c r="N25" i="8" s="1"/>
  <c r="E27" i="8"/>
  <c r="N27" i="8" s="1"/>
  <c r="E31" i="8"/>
  <c r="N31" i="8" s="1"/>
  <c r="E35" i="8"/>
  <c r="N35" i="8" s="1"/>
  <c r="E37" i="8"/>
  <c r="N37" i="8" s="1"/>
  <c r="E39" i="8"/>
  <c r="N39" i="8" s="1"/>
  <c r="E41" i="8"/>
  <c r="N41" i="8" s="1"/>
  <c r="E43" i="8"/>
  <c r="N43" i="8" s="1"/>
  <c r="E47" i="8"/>
  <c r="N47" i="8" s="1"/>
  <c r="E51" i="8"/>
  <c r="N51" i="8" s="1"/>
  <c r="E53" i="8"/>
  <c r="N53" i="8" s="1"/>
  <c r="E55" i="8"/>
  <c r="N55" i="8" s="1"/>
  <c r="E57" i="8"/>
  <c r="N57" i="8" s="1"/>
  <c r="E59" i="8"/>
  <c r="N59" i="8" s="1"/>
  <c r="E61" i="8"/>
  <c r="N61" i="8" s="1"/>
  <c r="E63" i="8"/>
  <c r="N63" i="8" s="1"/>
  <c r="F65" i="8"/>
  <c r="O65" i="8" s="1"/>
  <c r="E66" i="8"/>
  <c r="N66" i="8" s="1"/>
  <c r="F69" i="8"/>
  <c r="O69" i="8" s="1"/>
  <c r="E70" i="8"/>
  <c r="N70" i="8" s="1"/>
  <c r="F73" i="8"/>
  <c r="O73" i="8" s="1"/>
  <c r="D74" i="8"/>
  <c r="M74" i="8" s="1"/>
  <c r="Q67" i="10"/>
  <c r="F55" i="15"/>
  <c r="O55" i="15" s="1"/>
  <c r="I55" i="14"/>
  <c r="Q55" i="14" s="1"/>
  <c r="R55" i="10"/>
  <c r="F59" i="15"/>
  <c r="O59" i="15" s="1"/>
  <c r="I59" i="14"/>
  <c r="Q59" i="14" s="1"/>
  <c r="R59" i="10"/>
  <c r="F63" i="15"/>
  <c r="O63" i="15" s="1"/>
  <c r="I63" i="14"/>
  <c r="Q63" i="14" s="1"/>
  <c r="R63" i="10"/>
  <c r="E65" i="8"/>
  <c r="N65" i="8" s="1"/>
  <c r="F67" i="15"/>
  <c r="O67" i="15" s="1"/>
  <c r="I67" i="14"/>
  <c r="Q67" i="14" s="1"/>
  <c r="E69" i="8"/>
  <c r="N69" i="8" s="1"/>
  <c r="F71" i="15"/>
  <c r="O71" i="15" s="1"/>
  <c r="I71" i="14"/>
  <c r="Q71" i="14" s="1"/>
  <c r="E73" i="8"/>
  <c r="N73" i="8" s="1"/>
  <c r="Q73" i="10"/>
  <c r="F75" i="15"/>
  <c r="O75" i="15" s="1"/>
  <c r="I75" i="14"/>
  <c r="Q75" i="14" s="1"/>
  <c r="R75" i="10"/>
  <c r="E77" i="8"/>
  <c r="N77" i="8" s="1"/>
  <c r="Q77" i="10"/>
  <c r="F79" i="15"/>
  <c r="O79" i="15" s="1"/>
  <c r="R79" i="10"/>
  <c r="I79" i="14"/>
  <c r="Q79" i="14" s="1"/>
  <c r="E81" i="8"/>
  <c r="N81" i="8" s="1"/>
  <c r="Q81" i="10"/>
  <c r="F83" i="15"/>
  <c r="O83" i="15" s="1"/>
  <c r="I83" i="14"/>
  <c r="Q83" i="14" s="1"/>
  <c r="E85" i="8"/>
  <c r="N85" i="8" s="1"/>
  <c r="F87" i="15"/>
  <c r="I87" i="14"/>
  <c r="R87" i="10"/>
  <c r="Q89" i="10"/>
  <c r="E89" i="8"/>
  <c r="N89" i="8" s="1"/>
  <c r="F91" i="15"/>
  <c r="I91" i="14"/>
  <c r="Q93" i="10"/>
  <c r="E93" i="8"/>
  <c r="N93" i="8" s="1"/>
  <c r="F95" i="15"/>
  <c r="I95" i="14"/>
  <c r="E97" i="8"/>
  <c r="N97" i="8" s="1"/>
  <c r="D4" i="6"/>
  <c r="L4" i="6" s="1"/>
  <c r="D8" i="6"/>
  <c r="L8" i="6" s="1"/>
  <c r="D14" i="6"/>
  <c r="L14" i="6" s="1"/>
  <c r="D16" i="6"/>
  <c r="L16" i="6" s="1"/>
  <c r="D18" i="6"/>
  <c r="L18" i="6" s="1"/>
  <c r="D20" i="6"/>
  <c r="L20" i="6" s="1"/>
  <c r="D22" i="6"/>
  <c r="L22" i="6" s="1"/>
  <c r="D24" i="6"/>
  <c r="L24" i="6" s="1"/>
  <c r="D26" i="6"/>
  <c r="L26" i="6" s="1"/>
  <c r="D30" i="6"/>
  <c r="L30" i="6" s="1"/>
  <c r="D34" i="6"/>
  <c r="L34" i="6" s="1"/>
  <c r="D40" i="6"/>
  <c r="L40" i="6" s="1"/>
  <c r="D42" i="6"/>
  <c r="L42" i="6" s="1"/>
  <c r="D44" i="6"/>
  <c r="L44" i="6" s="1"/>
  <c r="D46" i="6"/>
  <c r="L46" i="6" s="1"/>
  <c r="D50" i="6"/>
  <c r="L50" i="6" s="1"/>
  <c r="D54" i="6"/>
  <c r="L54" i="6" s="1"/>
  <c r="D56" i="6"/>
  <c r="L56" i="6" s="1"/>
  <c r="D58" i="6"/>
  <c r="L58" i="6" s="1"/>
  <c r="D60" i="6"/>
  <c r="L60" i="6" s="1"/>
  <c r="D62" i="6"/>
  <c r="L62" i="6" s="1"/>
  <c r="D64" i="6"/>
  <c r="L64" i="6" s="1"/>
  <c r="D65" i="6"/>
  <c r="L65" i="6" s="1"/>
  <c r="D69" i="6"/>
  <c r="L69" i="6" s="1"/>
  <c r="D73" i="6"/>
  <c r="L73" i="6" s="1"/>
  <c r="D76" i="6"/>
  <c r="L76" i="6" s="1"/>
  <c r="D77" i="6"/>
  <c r="L77" i="6" s="1"/>
  <c r="D78" i="6"/>
  <c r="L78" i="6" s="1"/>
  <c r="D80" i="6"/>
  <c r="L80" i="6" s="1"/>
  <c r="D81" i="6"/>
  <c r="L81" i="6" s="1"/>
  <c r="D82" i="6"/>
  <c r="L82" i="6" s="1"/>
  <c r="D84" i="6"/>
  <c r="L84" i="6" s="1"/>
  <c r="D85" i="6"/>
  <c r="L85" i="6" s="1"/>
  <c r="D86" i="6"/>
  <c r="L86" i="6" s="1"/>
  <c r="D88" i="6"/>
  <c r="L88" i="6" s="1"/>
  <c r="D89" i="6"/>
  <c r="L89" i="6" s="1"/>
  <c r="D90" i="6"/>
  <c r="L90" i="6" s="1"/>
  <c r="D92" i="6"/>
  <c r="L92" i="6" s="1"/>
  <c r="D93" i="6"/>
  <c r="L93" i="6" s="1"/>
  <c r="D94" i="6"/>
  <c r="L94" i="6" s="1"/>
  <c r="D96" i="6"/>
  <c r="L96" i="6" s="1"/>
  <c r="D97" i="6"/>
  <c r="L97" i="6" s="1"/>
  <c r="F5" i="8"/>
  <c r="O5" i="8" s="1"/>
  <c r="F9" i="8"/>
  <c r="O9" i="8" s="1"/>
  <c r="F11" i="8"/>
  <c r="O11" i="8" s="1"/>
  <c r="F15" i="8"/>
  <c r="O15" i="8" s="1"/>
  <c r="F29" i="8"/>
  <c r="O29" i="8" s="1"/>
  <c r="F33" i="8"/>
  <c r="O33" i="8" s="1"/>
  <c r="F45" i="8"/>
  <c r="O45" i="8" s="1"/>
  <c r="F49" i="8"/>
  <c r="O49" i="8" s="1"/>
  <c r="F53" i="8"/>
  <c r="O53" i="8" s="1"/>
  <c r="F55" i="8"/>
  <c r="O55" i="8" s="1"/>
  <c r="F57" i="8"/>
  <c r="O57" i="8" s="1"/>
  <c r="F59" i="8"/>
  <c r="O59" i="8" s="1"/>
  <c r="F61" i="8"/>
  <c r="O61" i="8" s="1"/>
  <c r="F63" i="8"/>
  <c r="O63" i="8" s="1"/>
  <c r="E74" i="8"/>
  <c r="N74" i="8" s="1"/>
  <c r="F75" i="8"/>
  <c r="O75" i="8" s="1"/>
  <c r="I76" i="14"/>
  <c r="Q76" i="14" s="1"/>
  <c r="N70" i="14"/>
  <c r="N54" i="14"/>
  <c r="G118" i="15"/>
  <c r="P118" i="15" s="1"/>
  <c r="N50" i="14"/>
  <c r="G41" i="24"/>
  <c r="G9" i="24"/>
  <c r="C7" i="24"/>
  <c r="D42" i="24"/>
  <c r="V12" i="18"/>
  <c r="O18" i="20"/>
  <c r="I27" i="24"/>
  <c r="I57" i="3"/>
  <c r="M72" i="3" s="1"/>
  <c r="Q59" i="3"/>
  <c r="Q58" i="3"/>
  <c r="E13" i="14" s="1"/>
  <c r="M59" i="3"/>
  <c r="I58" i="3"/>
  <c r="H72" i="3" s="1"/>
  <c r="O58" i="3"/>
  <c r="H78" i="3" s="1"/>
  <c r="N58" i="3"/>
  <c r="H77" i="3" s="1"/>
  <c r="P59" i="3"/>
  <c r="J58" i="3"/>
  <c r="E6" i="14" s="1"/>
  <c r="O59" i="3"/>
  <c r="P58" i="3"/>
  <c r="H79" i="3" s="1"/>
  <c r="H58" i="3"/>
  <c r="H71" i="3" s="1"/>
  <c r="F4" i="16" s="1"/>
  <c r="H59" i="3"/>
  <c r="L59" i="3"/>
  <c r="L58" i="3"/>
  <c r="H75" i="3" s="1"/>
  <c r="F8" i="16" s="1"/>
  <c r="F59" i="3"/>
  <c r="J59" i="3"/>
  <c r="N59" i="3"/>
  <c r="I24" i="3"/>
  <c r="M25" i="3"/>
  <c r="L76" i="3" s="1"/>
  <c r="Q26" i="3"/>
  <c r="G80" i="3" s="1"/>
  <c r="I25" i="3"/>
  <c r="L72" i="3" s="1"/>
  <c r="M27" i="3"/>
  <c r="Q27" i="3"/>
  <c r="I26" i="3"/>
  <c r="D5" i="14" s="1"/>
  <c r="M26" i="3"/>
  <c r="G76" i="3" s="1"/>
  <c r="I56" i="3"/>
  <c r="H27" i="3"/>
  <c r="L27" i="3"/>
  <c r="P27" i="3"/>
  <c r="F26" i="3"/>
  <c r="D2" i="14" s="1"/>
  <c r="J26" i="3"/>
  <c r="D6" i="14" s="1"/>
  <c r="N26" i="3"/>
  <c r="G77" i="3" s="1"/>
  <c r="M57" i="3"/>
  <c r="M76" i="3" s="1"/>
  <c r="E9" i="14"/>
  <c r="G26" i="3"/>
  <c r="K26" i="3"/>
  <c r="O26" i="3"/>
  <c r="M24" i="3"/>
  <c r="Q25" i="3"/>
  <c r="L80" i="3" s="1"/>
  <c r="I27" i="3"/>
  <c r="M56" i="3"/>
  <c r="Q57" i="3"/>
  <c r="M80" i="3" s="1"/>
  <c r="I59" i="3"/>
  <c r="F27" i="3"/>
  <c r="J27" i="3"/>
  <c r="N27" i="3"/>
  <c r="H26" i="3"/>
  <c r="L26" i="3"/>
  <c r="P26" i="3"/>
  <c r="Q24" i="3"/>
  <c r="Q56" i="3"/>
  <c r="G27" i="3"/>
  <c r="G25" i="3"/>
  <c r="L70" i="3" s="1"/>
  <c r="G24" i="3"/>
  <c r="K27" i="3"/>
  <c r="K25" i="3"/>
  <c r="L74" i="3" s="1"/>
  <c r="K24" i="3"/>
  <c r="O27" i="3"/>
  <c r="O25" i="3"/>
  <c r="L78" i="3" s="1"/>
  <c r="O24" i="3"/>
  <c r="F24" i="3"/>
  <c r="J24" i="3"/>
  <c r="N24" i="3"/>
  <c r="F25" i="3"/>
  <c r="L69" i="3" s="1"/>
  <c r="J25" i="3"/>
  <c r="L73" i="3" s="1"/>
  <c r="N25" i="3"/>
  <c r="L77" i="3" s="1"/>
  <c r="F56" i="3"/>
  <c r="J56" i="3"/>
  <c r="N56" i="3"/>
  <c r="F57" i="3"/>
  <c r="M69" i="3" s="1"/>
  <c r="J57" i="3"/>
  <c r="M73" i="3" s="1"/>
  <c r="N57" i="3"/>
  <c r="M77" i="3" s="1"/>
  <c r="G56" i="3"/>
  <c r="K56" i="3"/>
  <c r="O56" i="3"/>
  <c r="G57" i="3"/>
  <c r="M70" i="3" s="1"/>
  <c r="K57" i="3"/>
  <c r="M74" i="3" s="1"/>
  <c r="O57" i="3"/>
  <c r="M78" i="3" s="1"/>
  <c r="H24" i="3"/>
  <c r="L24" i="3"/>
  <c r="P24" i="3"/>
  <c r="H25" i="3"/>
  <c r="L71" i="3" s="1"/>
  <c r="L25" i="3"/>
  <c r="L75" i="3" s="1"/>
  <c r="P25" i="3"/>
  <c r="L79" i="3" s="1"/>
  <c r="H56" i="3"/>
  <c r="L56" i="3"/>
  <c r="P56" i="3"/>
  <c r="H57" i="3"/>
  <c r="M71" i="3" s="1"/>
  <c r="L57" i="3"/>
  <c r="M75" i="3" s="1"/>
  <c r="P57" i="3"/>
  <c r="M79" i="3" s="1"/>
  <c r="Z5" i="10" l="1"/>
  <c r="Z2" i="10"/>
  <c r="Z9" i="10"/>
  <c r="M37" i="16"/>
  <c r="Y37" i="16" s="1"/>
  <c r="Y37" i="10"/>
  <c r="M36" i="16"/>
  <c r="Y36" i="16" s="1"/>
  <c r="Y36" i="10"/>
  <c r="AV46" i="2"/>
  <c r="J34" i="16"/>
  <c r="J34" i="10"/>
  <c r="AP45" i="2"/>
  <c r="I33" i="16"/>
  <c r="AY38" i="2"/>
  <c r="L26" i="16"/>
  <c r="X26" i="16" s="1"/>
  <c r="X26" i="10"/>
  <c r="AP38" i="2"/>
  <c r="I26" i="16"/>
  <c r="AP47" i="2"/>
  <c r="I35" i="16"/>
  <c r="AP48" i="2"/>
  <c r="I36" i="16"/>
  <c r="AY44" i="2"/>
  <c r="L32" i="16"/>
  <c r="X32" i="16" s="1"/>
  <c r="X32" i="10"/>
  <c r="AY47" i="2"/>
  <c r="L35" i="16"/>
  <c r="X35" i="16" s="1"/>
  <c r="X35" i="10"/>
  <c r="AP46" i="2"/>
  <c r="I34" i="16"/>
  <c r="AV39" i="2"/>
  <c r="J27" i="16"/>
  <c r="J27" i="10"/>
  <c r="Z11" i="10"/>
  <c r="I32" i="10"/>
  <c r="U32" i="10" s="1"/>
  <c r="K32" i="16"/>
  <c r="W32" i="16" s="1"/>
  <c r="K32" i="10"/>
  <c r="W32" i="10" s="1"/>
  <c r="I30" i="10"/>
  <c r="K30" i="16"/>
  <c r="W30" i="16" s="1"/>
  <c r="K30" i="10"/>
  <c r="W30" i="10" s="1"/>
  <c r="I28" i="10"/>
  <c r="K28" i="16"/>
  <c r="W28" i="16" s="1"/>
  <c r="K28" i="10"/>
  <c r="W28" i="10" s="1"/>
  <c r="I33" i="10"/>
  <c r="K33" i="16"/>
  <c r="W33" i="16" s="1"/>
  <c r="K33" i="10"/>
  <c r="W33" i="10" s="1"/>
  <c r="AL43" i="2"/>
  <c r="F43" i="6" s="1"/>
  <c r="N43" i="6" s="1"/>
  <c r="F31" i="14"/>
  <c r="N31" i="14" s="1"/>
  <c r="I27" i="10"/>
  <c r="K27" i="16"/>
  <c r="W27" i="16" s="1"/>
  <c r="K27" i="10"/>
  <c r="W27" i="10" s="1"/>
  <c r="M28" i="16"/>
  <c r="Y28" i="16" s="1"/>
  <c r="Y28" i="10"/>
  <c r="M33" i="16"/>
  <c r="Y33" i="16" s="1"/>
  <c r="Y33" i="10"/>
  <c r="M29" i="16"/>
  <c r="Y29" i="16" s="1"/>
  <c r="Y29" i="10"/>
  <c r="Z10" i="10"/>
  <c r="M35" i="16"/>
  <c r="Y35" i="16" s="1"/>
  <c r="Y35" i="10"/>
  <c r="Z13" i="10"/>
  <c r="I35" i="10"/>
  <c r="U35" i="10" s="1"/>
  <c r="K35" i="16"/>
  <c r="W35" i="16" s="1"/>
  <c r="K35" i="10"/>
  <c r="W35" i="10" s="1"/>
  <c r="M31" i="16"/>
  <c r="Y31" i="16" s="1"/>
  <c r="Y31" i="10"/>
  <c r="Z7" i="10"/>
  <c r="AV40" i="2"/>
  <c r="J28" i="16"/>
  <c r="J28" i="10"/>
  <c r="AP39" i="2"/>
  <c r="I27" i="16"/>
  <c r="H6" i="20"/>
  <c r="AB6" i="19"/>
  <c r="G6" i="24"/>
  <c r="AB12" i="19"/>
  <c r="H12" i="20"/>
  <c r="AY42" i="2"/>
  <c r="L30" i="16"/>
  <c r="X30" i="16" s="1"/>
  <c r="X30" i="10"/>
  <c r="AY45" i="2"/>
  <c r="L33" i="16"/>
  <c r="X33" i="16" s="1"/>
  <c r="X33" i="10"/>
  <c r="AV41" i="2"/>
  <c r="J29" i="16"/>
  <c r="J29" i="10"/>
  <c r="AP40" i="2"/>
  <c r="I28" i="16"/>
  <c r="I26" i="10"/>
  <c r="K26" i="16"/>
  <c r="W26" i="16" s="1"/>
  <c r="K26" i="10"/>
  <c r="W26" i="10" s="1"/>
  <c r="AV48" i="2"/>
  <c r="J36" i="16"/>
  <c r="J36" i="10"/>
  <c r="R9" i="6"/>
  <c r="AL79" i="2"/>
  <c r="I36" i="10"/>
  <c r="K36" i="16"/>
  <c r="W36" i="16" s="1"/>
  <c r="K36" i="10"/>
  <c r="W36" i="10" s="1"/>
  <c r="G31" i="15"/>
  <c r="P31" i="15" s="1"/>
  <c r="M27" i="16"/>
  <c r="Y27" i="16" s="1"/>
  <c r="Y27" i="10"/>
  <c r="M32" i="16"/>
  <c r="Y32" i="16" s="1"/>
  <c r="Y32" i="10"/>
  <c r="Z12" i="10"/>
  <c r="Z8" i="10"/>
  <c r="Z4" i="10"/>
  <c r="AV42" i="2"/>
  <c r="J30" i="16"/>
  <c r="J30" i="10"/>
  <c r="AP41" i="2"/>
  <c r="I29" i="16"/>
  <c r="E6" i="24"/>
  <c r="AB10" i="19"/>
  <c r="H10" i="20"/>
  <c r="H7" i="20"/>
  <c r="AB7" i="19"/>
  <c r="C6" i="24"/>
  <c r="AB8" i="19"/>
  <c r="H8" i="20"/>
  <c r="AB5" i="19"/>
  <c r="H5" i="20"/>
  <c r="AP49" i="2"/>
  <c r="I37" i="16"/>
  <c r="AY43" i="2"/>
  <c r="L31" i="16"/>
  <c r="X31" i="16" s="1"/>
  <c r="X31" i="10"/>
  <c r="AY46" i="2"/>
  <c r="L34" i="16"/>
  <c r="X34" i="16" s="1"/>
  <c r="X34" i="10"/>
  <c r="AY49" i="2"/>
  <c r="L37" i="16"/>
  <c r="X37" i="16" s="1"/>
  <c r="X37" i="10"/>
  <c r="AV43" i="2"/>
  <c r="J31" i="16"/>
  <c r="V31" i="16" s="1"/>
  <c r="J31" i="10"/>
  <c r="AP42" i="2"/>
  <c r="I30" i="16"/>
  <c r="I43" i="10"/>
  <c r="U43" i="10" s="1"/>
  <c r="K43" i="16"/>
  <c r="W43" i="16" s="1"/>
  <c r="K43" i="10"/>
  <c r="W43" i="10" s="1"/>
  <c r="M34" i="16"/>
  <c r="Y34" i="16" s="1"/>
  <c r="Y34" i="10"/>
  <c r="AV49" i="2"/>
  <c r="J37" i="16"/>
  <c r="J37" i="10"/>
  <c r="AY39" i="2"/>
  <c r="L27" i="16"/>
  <c r="X27" i="16" s="1"/>
  <c r="X27" i="10"/>
  <c r="R15" i="6"/>
  <c r="F99" i="14"/>
  <c r="N99" i="14" s="1"/>
  <c r="I34" i="10"/>
  <c r="K34" i="16"/>
  <c r="W34" i="16" s="1"/>
  <c r="K34" i="10"/>
  <c r="W34" i="10" s="1"/>
  <c r="I29" i="10"/>
  <c r="U29" i="10" s="1"/>
  <c r="K29" i="16"/>
  <c r="W29" i="16" s="1"/>
  <c r="K29" i="10"/>
  <c r="W29" i="10" s="1"/>
  <c r="I37" i="10"/>
  <c r="K37" i="16"/>
  <c r="W37" i="16" s="1"/>
  <c r="K37" i="10"/>
  <c r="W37" i="10" s="1"/>
  <c r="Z6" i="10"/>
  <c r="M30" i="16"/>
  <c r="Y30" i="16" s="1"/>
  <c r="Y30" i="10"/>
  <c r="I31" i="10"/>
  <c r="U31" i="10" s="1"/>
  <c r="K31" i="16"/>
  <c r="W31" i="16" s="1"/>
  <c r="K31" i="10"/>
  <c r="W31" i="10" s="1"/>
  <c r="M26" i="16"/>
  <c r="Y26" i="16" s="1"/>
  <c r="Y26" i="10"/>
  <c r="AY48" i="2"/>
  <c r="L36" i="16"/>
  <c r="X36" i="16" s="1"/>
  <c r="X36" i="10"/>
  <c r="AV44" i="2"/>
  <c r="J32" i="16"/>
  <c r="J32" i="10"/>
  <c r="AP43" i="2"/>
  <c r="I31" i="16"/>
  <c r="AY40" i="2"/>
  <c r="L28" i="16"/>
  <c r="X28" i="16" s="1"/>
  <c r="X28" i="10"/>
  <c r="G44" i="24"/>
  <c r="G48" i="24" s="1"/>
  <c r="O12" i="18"/>
  <c r="F6" i="24"/>
  <c r="AB11" i="19"/>
  <c r="H11" i="20"/>
  <c r="AB9" i="19"/>
  <c r="H9" i="20"/>
  <c r="D6" i="24"/>
  <c r="AV47" i="2"/>
  <c r="J35" i="16"/>
  <c r="J35" i="10"/>
  <c r="AY41" i="2"/>
  <c r="L29" i="16"/>
  <c r="X29" i="16" s="1"/>
  <c r="X29" i="10"/>
  <c r="AV45" i="2"/>
  <c r="J33" i="16"/>
  <c r="J33" i="10"/>
  <c r="AP44" i="2"/>
  <c r="I32" i="16"/>
  <c r="AV38" i="2"/>
  <c r="J26" i="16"/>
  <c r="J26" i="10"/>
  <c r="Z3" i="10"/>
  <c r="Z21" i="10"/>
  <c r="Z18" i="10"/>
  <c r="Z25" i="10"/>
  <c r="Z14" i="10"/>
  <c r="Z22" i="10"/>
  <c r="Z17" i="10"/>
  <c r="Z19" i="10"/>
  <c r="Z20" i="10"/>
  <c r="Z16" i="10"/>
  <c r="Z23" i="10"/>
  <c r="Z15" i="10"/>
  <c r="Z24" i="10"/>
  <c r="S87" i="16"/>
  <c r="H69" i="3"/>
  <c r="F2" i="16" s="1"/>
  <c r="N57" i="14"/>
  <c r="AF5" i="19"/>
  <c r="T38" i="16"/>
  <c r="G111" i="16"/>
  <c r="S111" i="16" s="1"/>
  <c r="S99" i="16"/>
  <c r="T33" i="16"/>
  <c r="T33" i="10"/>
  <c r="BB43" i="2"/>
  <c r="V31" i="10"/>
  <c r="BA41" i="2"/>
  <c r="T41" i="16"/>
  <c r="T41" i="10"/>
  <c r="F33" i="6"/>
  <c r="N33" i="6" s="1"/>
  <c r="T31" i="16"/>
  <c r="T31" i="10"/>
  <c r="BB46" i="2"/>
  <c r="V34" i="16"/>
  <c r="V34" i="10"/>
  <c r="BB44" i="2"/>
  <c r="V32" i="16"/>
  <c r="V32" i="10"/>
  <c r="T29" i="16"/>
  <c r="T29" i="10"/>
  <c r="T32" i="16"/>
  <c r="T32" i="10"/>
  <c r="BB41" i="2"/>
  <c r="V29" i="10"/>
  <c r="BA45" i="2"/>
  <c r="BB49" i="2"/>
  <c r="V37" i="16"/>
  <c r="BB47" i="2"/>
  <c r="V35" i="16"/>
  <c r="V35" i="10"/>
  <c r="BA44" i="2"/>
  <c r="BA40" i="2"/>
  <c r="U28" i="16"/>
  <c r="T35" i="16"/>
  <c r="T35" i="10"/>
  <c r="AW47" i="2"/>
  <c r="F33" i="14"/>
  <c r="N33" i="14" s="1"/>
  <c r="BB39" i="2"/>
  <c r="BA48" i="2"/>
  <c r="BB42" i="2"/>
  <c r="V30" i="16"/>
  <c r="V30" i="10"/>
  <c r="BB40" i="2"/>
  <c r="V28" i="16"/>
  <c r="V28" i="10"/>
  <c r="BB45" i="2"/>
  <c r="V33" i="16"/>
  <c r="V33" i="10"/>
  <c r="BA43" i="2"/>
  <c r="U31" i="16"/>
  <c r="BA39" i="2"/>
  <c r="U27" i="16"/>
  <c r="T26" i="16"/>
  <c r="T26" i="10"/>
  <c r="BB48" i="2"/>
  <c r="V36" i="16"/>
  <c r="V36" i="10"/>
  <c r="T37" i="16"/>
  <c r="T37" i="10"/>
  <c r="I40" i="8"/>
  <c r="R40" i="8" s="1"/>
  <c r="T36" i="16"/>
  <c r="T28" i="16"/>
  <c r="T28" i="10"/>
  <c r="AL45" i="2"/>
  <c r="G33" i="15"/>
  <c r="P33" i="15" s="1"/>
  <c r="F62" i="14"/>
  <c r="BA47" i="2"/>
  <c r="U35" i="16"/>
  <c r="BA38" i="2"/>
  <c r="U26" i="16"/>
  <c r="BA49" i="2"/>
  <c r="BA46" i="2"/>
  <c r="U34" i="16"/>
  <c r="BA42" i="2"/>
  <c r="BB38" i="2"/>
  <c r="V26" i="16"/>
  <c r="V26" i="10"/>
  <c r="H70" i="3"/>
  <c r="F3" i="16" s="1"/>
  <c r="S11" i="20"/>
  <c r="N5" i="20"/>
  <c r="R4" i="16"/>
  <c r="F16" i="16"/>
  <c r="R8" i="16"/>
  <c r="F20" i="16"/>
  <c r="D9" i="15"/>
  <c r="D21" i="15" s="1"/>
  <c r="E9" i="16"/>
  <c r="E21" i="16" s="1"/>
  <c r="E33" i="16" s="1"/>
  <c r="E45" i="16" s="1"/>
  <c r="E57" i="16" s="1"/>
  <c r="E69" i="16" s="1"/>
  <c r="E81" i="16" s="1"/>
  <c r="E93" i="16" s="1"/>
  <c r="D10" i="15"/>
  <c r="D22" i="15" s="1"/>
  <c r="E10" i="16"/>
  <c r="E22" i="16" s="1"/>
  <c r="E34" i="16" s="1"/>
  <c r="E46" i="16" s="1"/>
  <c r="E58" i="16" s="1"/>
  <c r="E70" i="16" s="1"/>
  <c r="E82" i="16" s="1"/>
  <c r="E94" i="16" s="1"/>
  <c r="D13" i="15"/>
  <c r="M13" i="15" s="1"/>
  <c r="E13" i="16"/>
  <c r="F5" i="16"/>
  <c r="F9" i="16"/>
  <c r="F11" i="16"/>
  <c r="F12" i="16"/>
  <c r="F10" i="16"/>
  <c r="E4" i="15"/>
  <c r="E16" i="15" s="1"/>
  <c r="E8" i="15"/>
  <c r="E20" i="15" s="1"/>
  <c r="H74" i="3"/>
  <c r="N59" i="14"/>
  <c r="G111" i="15"/>
  <c r="P111" i="15" s="1"/>
  <c r="M7" i="20"/>
  <c r="N7" i="20" s="1"/>
  <c r="N66" i="14"/>
  <c r="F104" i="14"/>
  <c r="N104" i="14" s="1"/>
  <c r="R13" i="6"/>
  <c r="Y12" i="18"/>
  <c r="Y13" i="18" s="1"/>
  <c r="I47" i="24" s="1"/>
  <c r="H6" i="18"/>
  <c r="AQ52" i="2"/>
  <c r="I52" i="8" s="1"/>
  <c r="R52" i="8" s="1"/>
  <c r="C6" i="18"/>
  <c r="D6" i="18" s="1"/>
  <c r="M6" i="20"/>
  <c r="N6" i="20" s="1"/>
  <c r="T8" i="8"/>
  <c r="L8" i="18"/>
  <c r="D48" i="24"/>
  <c r="S5" i="20"/>
  <c r="H5" i="18"/>
  <c r="N8" i="20"/>
  <c r="R8" i="20"/>
  <c r="S8" i="20" s="1"/>
  <c r="G104" i="15"/>
  <c r="P104" i="15" s="1"/>
  <c r="P58" i="15"/>
  <c r="M11" i="20"/>
  <c r="N11" i="20" s="1"/>
  <c r="G100" i="15"/>
  <c r="P100" i="15" s="1"/>
  <c r="T22" i="8"/>
  <c r="AJ8" i="19"/>
  <c r="R10" i="20"/>
  <c r="S10" i="20" s="1"/>
  <c r="AJ5" i="19"/>
  <c r="AF11" i="19"/>
  <c r="P59" i="15"/>
  <c r="G105" i="15"/>
  <c r="P105" i="15" s="1"/>
  <c r="H11" i="18"/>
  <c r="AJ10" i="19"/>
  <c r="R7" i="20"/>
  <c r="S7" i="20" s="1"/>
  <c r="D9" i="18"/>
  <c r="H10" i="18"/>
  <c r="L5" i="18"/>
  <c r="S9" i="20"/>
  <c r="AQ56" i="2"/>
  <c r="AQ68" i="2" s="1"/>
  <c r="O16" i="20"/>
  <c r="H27" i="24" s="1"/>
  <c r="L9" i="18"/>
  <c r="AF8" i="19"/>
  <c r="D8" i="18"/>
  <c r="R4" i="6"/>
  <c r="E9" i="24"/>
  <c r="E52" i="25"/>
  <c r="F52" i="25" s="1"/>
  <c r="F9" i="24"/>
  <c r="AN8" i="19"/>
  <c r="D8" i="24"/>
  <c r="D10" i="18"/>
  <c r="N53" i="14"/>
  <c r="R25" i="6"/>
  <c r="H9" i="18"/>
  <c r="AF9" i="19"/>
  <c r="I44" i="8"/>
  <c r="R44" i="8" s="1"/>
  <c r="L11" i="18"/>
  <c r="AJ9" i="19"/>
  <c r="H45" i="24"/>
  <c r="E41" i="24"/>
  <c r="R23" i="6"/>
  <c r="C52" i="25"/>
  <c r="D49" i="25" s="1"/>
  <c r="D7" i="24"/>
  <c r="H8" i="18"/>
  <c r="D11" i="18"/>
  <c r="G114" i="15"/>
  <c r="P114" i="15" s="1"/>
  <c r="N58" i="14"/>
  <c r="N61" i="14"/>
  <c r="R8" i="6"/>
  <c r="F29" i="24"/>
  <c r="H7" i="18"/>
  <c r="D5" i="18"/>
  <c r="L6" i="18"/>
  <c r="F48" i="24"/>
  <c r="E29" i="24"/>
  <c r="L10" i="18"/>
  <c r="I33" i="15"/>
  <c r="R33" i="15" s="1"/>
  <c r="I33" i="8"/>
  <c r="R33" i="8" s="1"/>
  <c r="AQ45" i="2"/>
  <c r="AS59" i="2"/>
  <c r="AW45" i="2"/>
  <c r="J43" i="8"/>
  <c r="S43" i="8" s="1"/>
  <c r="J43" i="15"/>
  <c r="S43" i="15" s="1"/>
  <c r="AZ55" i="2"/>
  <c r="AW49" i="2"/>
  <c r="AT42" i="2"/>
  <c r="G36" i="15"/>
  <c r="P36" i="15" s="1"/>
  <c r="S36" i="16"/>
  <c r="F36" i="14"/>
  <c r="N36" i="14" s="1"/>
  <c r="S36" i="10"/>
  <c r="G36" i="8"/>
  <c r="P36" i="8" s="1"/>
  <c r="F36" i="6"/>
  <c r="N36" i="6" s="1"/>
  <c r="AL48" i="2"/>
  <c r="AL84" i="2"/>
  <c r="J30" i="15"/>
  <c r="S30" i="15" s="1"/>
  <c r="J30" i="8"/>
  <c r="S30" i="8" s="1"/>
  <c r="AZ42" i="2"/>
  <c r="AW59" i="2"/>
  <c r="S47" i="16"/>
  <c r="F47" i="14"/>
  <c r="N47" i="14" s="1"/>
  <c r="G47" i="15"/>
  <c r="P47" i="15" s="1"/>
  <c r="G47" i="8"/>
  <c r="P47" i="8" s="1"/>
  <c r="F47" i="6"/>
  <c r="N47" i="6" s="1"/>
  <c r="AL95" i="2"/>
  <c r="S47" i="10"/>
  <c r="AU39" i="2"/>
  <c r="G33" i="14"/>
  <c r="O33" i="14" s="1"/>
  <c r="G33" i="6"/>
  <c r="O33" i="6" s="1"/>
  <c r="R33" i="6" s="1"/>
  <c r="H33" i="8"/>
  <c r="Q33" i="8" s="1"/>
  <c r="T33" i="8" s="1"/>
  <c r="H33" i="15"/>
  <c r="Q33" i="15" s="1"/>
  <c r="BC45" i="2"/>
  <c r="S74" i="16"/>
  <c r="F74" i="14"/>
  <c r="N74" i="14" s="1"/>
  <c r="G74" i="8"/>
  <c r="P74" i="8" s="1"/>
  <c r="G74" i="15"/>
  <c r="P74" i="15" s="1"/>
  <c r="F74" i="6"/>
  <c r="N74" i="6" s="1"/>
  <c r="S74" i="10"/>
  <c r="AJ12" i="19"/>
  <c r="R16" i="20" s="1"/>
  <c r="M10" i="20"/>
  <c r="N10" i="20" s="1"/>
  <c r="E43" i="24"/>
  <c r="G109" i="15"/>
  <c r="P109" i="15" s="1"/>
  <c r="F100" i="14"/>
  <c r="N100" i="14" s="1"/>
  <c r="R5" i="6"/>
  <c r="M12" i="20"/>
  <c r="N12" i="20" s="1"/>
  <c r="N16" i="20" s="1"/>
  <c r="N17" i="20" s="1"/>
  <c r="N9" i="20"/>
  <c r="G110" i="15"/>
  <c r="P110" i="15" s="1"/>
  <c r="G98" i="15"/>
  <c r="P98" i="15" s="1"/>
  <c r="AN9" i="19"/>
  <c r="F103" i="14"/>
  <c r="N103" i="14" s="1"/>
  <c r="S79" i="16"/>
  <c r="G79" i="15"/>
  <c r="P79" i="15" s="1"/>
  <c r="G79" i="8"/>
  <c r="P79" i="8" s="1"/>
  <c r="F79" i="14"/>
  <c r="N79" i="14" s="1"/>
  <c r="S79" i="10"/>
  <c r="F79" i="6"/>
  <c r="N79" i="6" s="1"/>
  <c r="S71" i="16"/>
  <c r="F71" i="14"/>
  <c r="G71" i="15"/>
  <c r="S71" i="10"/>
  <c r="F71" i="6"/>
  <c r="N71" i="6" s="1"/>
  <c r="G71" i="8"/>
  <c r="P71" i="8" s="1"/>
  <c r="AU50" i="2"/>
  <c r="S37" i="16"/>
  <c r="F37" i="14"/>
  <c r="N37" i="14" s="1"/>
  <c r="G37" i="15"/>
  <c r="P37" i="15" s="1"/>
  <c r="G37" i="8"/>
  <c r="P37" i="8" s="1"/>
  <c r="S37" i="10"/>
  <c r="F37" i="6"/>
  <c r="N37" i="6" s="1"/>
  <c r="AL85" i="2"/>
  <c r="AL49" i="2"/>
  <c r="AU47" i="2"/>
  <c r="AW44" i="2"/>
  <c r="AW42" i="2"/>
  <c r="AW40" i="2"/>
  <c r="U26" i="10"/>
  <c r="AS38" i="2"/>
  <c r="AW55" i="2"/>
  <c r="AU42" i="2"/>
  <c r="J27" i="15"/>
  <c r="S27" i="15" s="1"/>
  <c r="J27" i="8"/>
  <c r="S27" i="8" s="1"/>
  <c r="AZ39" i="2"/>
  <c r="R6" i="20"/>
  <c r="S6" i="20" s="1"/>
  <c r="AJ6" i="19"/>
  <c r="AR57" i="2"/>
  <c r="I56" i="15"/>
  <c r="I56" i="8"/>
  <c r="R56" i="8" s="1"/>
  <c r="S43" i="16"/>
  <c r="G43" i="8"/>
  <c r="P43" i="8" s="1"/>
  <c r="S43" i="10"/>
  <c r="I52" i="15"/>
  <c r="U37" i="16"/>
  <c r="U37" i="10"/>
  <c r="AS49" i="2"/>
  <c r="G19" i="6"/>
  <c r="O19" i="6" s="1"/>
  <c r="R19" i="6" s="1"/>
  <c r="G19" i="14"/>
  <c r="O19" i="14" s="1"/>
  <c r="H19" i="8"/>
  <c r="Q19" i="8" s="1"/>
  <c r="T19" i="8" s="1"/>
  <c r="H19" i="15"/>
  <c r="Q19" i="15" s="1"/>
  <c r="BC31" i="2"/>
  <c r="J41" i="8"/>
  <c r="S41" i="8" s="1"/>
  <c r="J41" i="15"/>
  <c r="S41" i="15" s="1"/>
  <c r="AZ53" i="2"/>
  <c r="I37" i="15"/>
  <c r="R37" i="15" s="1"/>
  <c r="AQ49" i="2"/>
  <c r="I37" i="8"/>
  <c r="R37" i="8" s="1"/>
  <c r="J34" i="15"/>
  <c r="S34" i="15" s="1"/>
  <c r="J34" i="8"/>
  <c r="S34" i="8" s="1"/>
  <c r="AZ46" i="2"/>
  <c r="T30" i="16"/>
  <c r="T30" i="10"/>
  <c r="AR42" i="2"/>
  <c r="S64" i="16"/>
  <c r="G64" i="15"/>
  <c r="F64" i="14"/>
  <c r="G64" i="8"/>
  <c r="P64" i="8" s="1"/>
  <c r="F64" i="6"/>
  <c r="N64" i="6" s="1"/>
  <c r="S64" i="10"/>
  <c r="I34" i="8"/>
  <c r="R34" i="8" s="1"/>
  <c r="AQ46" i="2"/>
  <c r="I34" i="15"/>
  <c r="R34" i="15" s="1"/>
  <c r="U29" i="16"/>
  <c r="AS41" i="2"/>
  <c r="G99" i="15"/>
  <c r="P99" i="15" s="1"/>
  <c r="P51" i="15"/>
  <c r="S45" i="16"/>
  <c r="G45" i="15"/>
  <c r="P45" i="15" s="1"/>
  <c r="S45" i="10"/>
  <c r="G45" i="8"/>
  <c r="P45" i="8" s="1"/>
  <c r="AL93" i="2"/>
  <c r="F45" i="14"/>
  <c r="N45" i="14" s="1"/>
  <c r="F45" i="6"/>
  <c r="N45" i="6" s="1"/>
  <c r="H46" i="15"/>
  <c r="Q46" i="15" s="1"/>
  <c r="G46" i="14"/>
  <c r="O46" i="14" s="1"/>
  <c r="G46" i="6"/>
  <c r="O46" i="6" s="1"/>
  <c r="H46" i="8"/>
  <c r="Q46" i="8" s="1"/>
  <c r="BC58" i="2"/>
  <c r="G27" i="14"/>
  <c r="O27" i="14" s="1"/>
  <c r="H27" i="15"/>
  <c r="Q27" i="15" s="1"/>
  <c r="H27" i="8"/>
  <c r="Q27" i="8" s="1"/>
  <c r="G27" i="6"/>
  <c r="O27" i="6" s="1"/>
  <c r="R27" i="6" s="1"/>
  <c r="BC39" i="2"/>
  <c r="J40" i="15"/>
  <c r="S40" i="15" s="1"/>
  <c r="J40" i="8"/>
  <c r="S40" i="8" s="1"/>
  <c r="AZ52" i="2"/>
  <c r="AR52" i="2"/>
  <c r="S81" i="16"/>
  <c r="F81" i="14"/>
  <c r="N81" i="14" s="1"/>
  <c r="G81" i="8"/>
  <c r="P81" i="8" s="1"/>
  <c r="F81" i="6"/>
  <c r="N81" i="6" s="1"/>
  <c r="G81" i="15"/>
  <c r="P81" i="15" s="1"/>
  <c r="S81" i="10"/>
  <c r="S73" i="16"/>
  <c r="G73" i="15"/>
  <c r="F73" i="14"/>
  <c r="F73" i="6"/>
  <c r="N73" i="6" s="1"/>
  <c r="S73" i="10"/>
  <c r="G73" i="8"/>
  <c r="P73" i="8" s="1"/>
  <c r="S65" i="16"/>
  <c r="F65" i="14"/>
  <c r="S65" i="10"/>
  <c r="G65" i="15"/>
  <c r="F65" i="6"/>
  <c r="N65" i="6" s="1"/>
  <c r="G65" i="8"/>
  <c r="P65" i="8" s="1"/>
  <c r="AT52" i="2"/>
  <c r="AR49" i="2"/>
  <c r="H35" i="15"/>
  <c r="Q35" i="15" s="1"/>
  <c r="H35" i="8"/>
  <c r="Q35" i="8" s="1"/>
  <c r="G35" i="14"/>
  <c r="O35" i="14" s="1"/>
  <c r="G35" i="6"/>
  <c r="O35" i="6" s="1"/>
  <c r="R35" i="6" s="1"/>
  <c r="BC47" i="2"/>
  <c r="U34" i="10"/>
  <c r="AS46" i="2"/>
  <c r="I31" i="15"/>
  <c r="R31" i="15" s="1"/>
  <c r="I31" i="8"/>
  <c r="R31" i="8" s="1"/>
  <c r="AQ43" i="2"/>
  <c r="I29" i="15"/>
  <c r="R29" i="15" s="1"/>
  <c r="I29" i="8"/>
  <c r="R29" i="8" s="1"/>
  <c r="AQ41" i="2"/>
  <c r="AW38" i="2"/>
  <c r="G24" i="14"/>
  <c r="O24" i="14" s="1"/>
  <c r="H24" i="15"/>
  <c r="Q24" i="15" s="1"/>
  <c r="H24" i="8"/>
  <c r="Q24" i="8" s="1"/>
  <c r="T24" i="8" s="1"/>
  <c r="G24" i="6"/>
  <c r="O24" i="6" s="1"/>
  <c r="BC36" i="2"/>
  <c r="G102" i="15"/>
  <c r="P102" i="15" s="1"/>
  <c r="P54" i="15"/>
  <c r="H18" i="15"/>
  <c r="Q18" i="15" s="1"/>
  <c r="G18" i="14"/>
  <c r="O18" i="14" s="1"/>
  <c r="H18" i="8"/>
  <c r="Q18" i="8" s="1"/>
  <c r="T18" i="8" s="1"/>
  <c r="G18" i="6"/>
  <c r="O18" i="6" s="1"/>
  <c r="R18" i="6" s="1"/>
  <c r="BC30" i="2"/>
  <c r="J45" i="15"/>
  <c r="S45" i="15" s="1"/>
  <c r="J45" i="8"/>
  <c r="S45" i="8" s="1"/>
  <c r="AZ57" i="2"/>
  <c r="AT46" i="2"/>
  <c r="AU49" i="2"/>
  <c r="S28" i="16"/>
  <c r="F28" i="14"/>
  <c r="N28" i="14" s="1"/>
  <c r="G28" i="15"/>
  <c r="P28" i="15" s="1"/>
  <c r="G28" i="8"/>
  <c r="P28" i="8" s="1"/>
  <c r="S28" i="10"/>
  <c r="F28" i="6"/>
  <c r="N28" i="6" s="1"/>
  <c r="AL40" i="2"/>
  <c r="AL76" i="2"/>
  <c r="L7" i="18"/>
  <c r="R22" i="6"/>
  <c r="G101" i="15"/>
  <c r="P101" i="15" s="1"/>
  <c r="P55" i="15"/>
  <c r="S77" i="16"/>
  <c r="F77" i="14"/>
  <c r="N77" i="14" s="1"/>
  <c r="F77" i="6"/>
  <c r="N77" i="6" s="1"/>
  <c r="S77" i="10"/>
  <c r="G77" i="8"/>
  <c r="P77" i="8" s="1"/>
  <c r="G77" i="15"/>
  <c r="P77" i="15" s="1"/>
  <c r="S69" i="16"/>
  <c r="G69" i="15"/>
  <c r="F69" i="14"/>
  <c r="S69" i="10"/>
  <c r="F69" i="6"/>
  <c r="N69" i="6" s="1"/>
  <c r="G69" i="8"/>
  <c r="P69" i="8" s="1"/>
  <c r="I38" i="8"/>
  <c r="R38" i="8" s="1"/>
  <c r="I38" i="15"/>
  <c r="R38" i="15" s="1"/>
  <c r="AQ50" i="2"/>
  <c r="AW48" i="2"/>
  <c r="I35" i="15"/>
  <c r="R35" i="15" s="1"/>
  <c r="I35" i="8"/>
  <c r="R35" i="8" s="1"/>
  <c r="AQ47" i="2"/>
  <c r="U32" i="16"/>
  <c r="AS44" i="2"/>
  <c r="U30" i="16"/>
  <c r="U30" i="10"/>
  <c r="AS42" i="2"/>
  <c r="U28" i="10"/>
  <c r="AS40" i="2"/>
  <c r="H16" i="15"/>
  <c r="Q16" i="15" s="1"/>
  <c r="G16" i="14"/>
  <c r="O16" i="14" s="1"/>
  <c r="H16" i="8"/>
  <c r="Q16" i="8" s="1"/>
  <c r="T16" i="8" s="1"/>
  <c r="G16" i="6"/>
  <c r="O16" i="6" s="1"/>
  <c r="R16" i="6" s="1"/>
  <c r="BC28" i="2"/>
  <c r="S72" i="16"/>
  <c r="F72" i="14"/>
  <c r="G72" i="15"/>
  <c r="S72" i="10"/>
  <c r="G72" i="8"/>
  <c r="P72" i="8" s="1"/>
  <c r="F72" i="6"/>
  <c r="N72" i="6" s="1"/>
  <c r="AS55" i="2"/>
  <c r="AW41" i="2"/>
  <c r="T27" i="16"/>
  <c r="T27" i="10"/>
  <c r="AR39" i="2"/>
  <c r="F8" i="24"/>
  <c r="AJ11" i="19"/>
  <c r="AT60" i="2"/>
  <c r="AU68" i="2"/>
  <c r="AU64" i="2"/>
  <c r="I27" i="15"/>
  <c r="R27" i="15" s="1"/>
  <c r="I27" i="8"/>
  <c r="R27" i="8" s="1"/>
  <c r="AQ39" i="2"/>
  <c r="S41" i="16"/>
  <c r="F41" i="14"/>
  <c r="N41" i="14" s="1"/>
  <c r="G41" i="15"/>
  <c r="P41" i="15" s="1"/>
  <c r="G41" i="8"/>
  <c r="P41" i="8" s="1"/>
  <c r="AL89" i="2"/>
  <c r="S41" i="10"/>
  <c r="F41" i="6"/>
  <c r="N41" i="6" s="1"/>
  <c r="J36" i="15"/>
  <c r="S36" i="15" s="1"/>
  <c r="J36" i="8"/>
  <c r="S36" i="8" s="1"/>
  <c r="AZ48" i="2"/>
  <c r="T34" i="16"/>
  <c r="T34" i="10"/>
  <c r="AR46" i="2"/>
  <c r="S30" i="16"/>
  <c r="G30" i="15"/>
  <c r="P30" i="15" s="1"/>
  <c r="F30" i="14"/>
  <c r="N30" i="14" s="1"/>
  <c r="S30" i="10"/>
  <c r="G30" i="8"/>
  <c r="P30" i="8" s="1"/>
  <c r="F30" i="6"/>
  <c r="N30" i="6" s="1"/>
  <c r="AL42" i="2"/>
  <c r="AL78" i="2"/>
  <c r="AW39" i="2"/>
  <c r="H14" i="15"/>
  <c r="Q14" i="15" s="1"/>
  <c r="G14" i="14"/>
  <c r="O14" i="14" s="1"/>
  <c r="H14" i="8"/>
  <c r="Q14" i="8" s="1"/>
  <c r="T14" i="8" s="1"/>
  <c r="G14" i="6"/>
  <c r="O14" i="6" s="1"/>
  <c r="R14" i="6" s="1"/>
  <c r="BC26" i="2"/>
  <c r="N60" i="14"/>
  <c r="F108" i="14"/>
  <c r="N108" i="14" s="1"/>
  <c r="U33" i="16"/>
  <c r="U33" i="10"/>
  <c r="AS45" i="2"/>
  <c r="T43" i="16"/>
  <c r="T43" i="10"/>
  <c r="AR55" i="2"/>
  <c r="AU58" i="2"/>
  <c r="I42" i="15"/>
  <c r="R42" i="15" s="1"/>
  <c r="I42" i="8"/>
  <c r="R42" i="8" s="1"/>
  <c r="AQ54" i="2"/>
  <c r="J44" i="15"/>
  <c r="S44" i="15" s="1"/>
  <c r="J44" i="8"/>
  <c r="S44" i="8" s="1"/>
  <c r="AZ56" i="2"/>
  <c r="S80" i="16"/>
  <c r="G80" i="15"/>
  <c r="P80" i="15" s="1"/>
  <c r="F80" i="6"/>
  <c r="N80" i="6" s="1"/>
  <c r="S80" i="10"/>
  <c r="G80" i="8"/>
  <c r="P80" i="8" s="1"/>
  <c r="F80" i="14"/>
  <c r="N80" i="14" s="1"/>
  <c r="AT55" i="2"/>
  <c r="J38" i="15"/>
  <c r="S38" i="15" s="1"/>
  <c r="J38" i="8"/>
  <c r="S38" i="8" s="1"/>
  <c r="AZ50" i="2"/>
  <c r="H37" i="15"/>
  <c r="Q37" i="15" s="1"/>
  <c r="G37" i="14"/>
  <c r="O37" i="14" s="1"/>
  <c r="G37" i="6"/>
  <c r="O37" i="6" s="1"/>
  <c r="H37" i="8"/>
  <c r="Q37" i="8" s="1"/>
  <c r="BC49" i="2"/>
  <c r="AT57" i="2"/>
  <c r="R12" i="20"/>
  <c r="S12" i="20" s="1"/>
  <c r="S16" i="20" s="1"/>
  <c r="S17" i="20" s="1"/>
  <c r="S18" i="20" s="1"/>
  <c r="E7" i="24"/>
  <c r="G7" i="24"/>
  <c r="T4" i="8"/>
  <c r="S83" i="16"/>
  <c r="G83" i="15"/>
  <c r="P83" i="15" s="1"/>
  <c r="F83" i="14"/>
  <c r="N83" i="14" s="1"/>
  <c r="F83" i="6"/>
  <c r="N83" i="6" s="1"/>
  <c r="G83" i="8"/>
  <c r="P83" i="8" s="1"/>
  <c r="S83" i="10"/>
  <c r="S75" i="16"/>
  <c r="F75" i="14"/>
  <c r="N75" i="14" s="1"/>
  <c r="G75" i="15"/>
  <c r="P75" i="15" s="1"/>
  <c r="S75" i="10"/>
  <c r="G75" i="8"/>
  <c r="P75" i="8" s="1"/>
  <c r="F75" i="6"/>
  <c r="N75" i="6" s="1"/>
  <c r="S67" i="16"/>
  <c r="S67" i="10"/>
  <c r="F67" i="14"/>
  <c r="F67" i="6"/>
  <c r="N67" i="6" s="1"/>
  <c r="G67" i="15"/>
  <c r="G67" i="8"/>
  <c r="P67" i="8" s="1"/>
  <c r="AT56" i="2"/>
  <c r="J37" i="8"/>
  <c r="S37" i="8" s="1"/>
  <c r="J37" i="15"/>
  <c r="S37" i="15" s="1"/>
  <c r="AZ49" i="2"/>
  <c r="U36" i="16"/>
  <c r="U36" i="10"/>
  <c r="AS48" i="2"/>
  <c r="AW46" i="2"/>
  <c r="AU45" i="2"/>
  <c r="AU43" i="2"/>
  <c r="AU41" i="2"/>
  <c r="V27" i="16"/>
  <c r="V27" i="10"/>
  <c r="AT39" i="2"/>
  <c r="H20" i="15"/>
  <c r="Q20" i="15" s="1"/>
  <c r="G20" i="14"/>
  <c r="O20" i="14" s="1"/>
  <c r="H20" i="8"/>
  <c r="Q20" i="8" s="1"/>
  <c r="T20" i="8" s="1"/>
  <c r="G20" i="6"/>
  <c r="O20" i="6" s="1"/>
  <c r="R20" i="6" s="1"/>
  <c r="BC32" i="2"/>
  <c r="S68" i="16"/>
  <c r="G68" i="15"/>
  <c r="F68" i="14"/>
  <c r="S68" i="10"/>
  <c r="G68" i="8"/>
  <c r="P68" i="8" s="1"/>
  <c r="F68" i="6"/>
  <c r="N68" i="6" s="1"/>
  <c r="AU60" i="2"/>
  <c r="V37" i="10"/>
  <c r="AT49" i="2"/>
  <c r="T47" i="16"/>
  <c r="T47" i="10"/>
  <c r="AR59" i="2"/>
  <c r="AT50" i="2"/>
  <c r="T36" i="10"/>
  <c r="AR48" i="2"/>
  <c r="S34" i="16"/>
  <c r="G34" i="15"/>
  <c r="P34" i="15" s="1"/>
  <c r="F34" i="14"/>
  <c r="N34" i="14" s="1"/>
  <c r="S34" i="10"/>
  <c r="F34" i="6"/>
  <c r="N34" i="6" s="1"/>
  <c r="R34" i="6" s="1"/>
  <c r="G34" i="8"/>
  <c r="P34" i="8" s="1"/>
  <c r="AL82" i="2"/>
  <c r="AL46" i="2"/>
  <c r="V29" i="16"/>
  <c r="AT41" i="2"/>
  <c r="U27" i="10"/>
  <c r="AS39" i="2"/>
  <c r="H17" i="15"/>
  <c r="Q17" i="15" s="1"/>
  <c r="G17" i="14"/>
  <c r="O17" i="14" s="1"/>
  <c r="H17" i="8"/>
  <c r="Q17" i="8" s="1"/>
  <c r="T17" i="8" s="1"/>
  <c r="G17" i="6"/>
  <c r="O17" i="6" s="1"/>
  <c r="R17" i="6" s="1"/>
  <c r="BC29" i="2"/>
  <c r="J47" i="15"/>
  <c r="S47" i="15" s="1"/>
  <c r="J47" i="8"/>
  <c r="S47" i="8" s="1"/>
  <c r="AZ59" i="2"/>
  <c r="T44" i="16"/>
  <c r="T44" i="10"/>
  <c r="AR56" i="2"/>
  <c r="S44" i="16"/>
  <c r="F44" i="14"/>
  <c r="N44" i="14" s="1"/>
  <c r="G44" i="15"/>
  <c r="P44" i="15" s="1"/>
  <c r="F44" i="6"/>
  <c r="N44" i="6" s="1"/>
  <c r="AL92" i="2"/>
  <c r="S44" i="10"/>
  <c r="G44" i="8"/>
  <c r="P44" i="8" s="1"/>
  <c r="I60" i="15"/>
  <c r="AQ72" i="2"/>
  <c r="I60" i="8"/>
  <c r="R60" i="8" s="1"/>
  <c r="AT59" i="2"/>
  <c r="T38" i="10"/>
  <c r="AR50" i="2"/>
  <c r="G38" i="15"/>
  <c r="P38" i="15" s="1"/>
  <c r="F38" i="14"/>
  <c r="N38" i="14" s="1"/>
  <c r="F38" i="6"/>
  <c r="N38" i="6" s="1"/>
  <c r="G38" i="8"/>
  <c r="P38" i="8" s="1"/>
  <c r="S38" i="16"/>
  <c r="AL86" i="2"/>
  <c r="S38" i="10"/>
  <c r="T53" i="16"/>
  <c r="T53" i="10"/>
  <c r="AR65" i="2"/>
  <c r="R21" i="6"/>
  <c r="T12" i="8"/>
  <c r="R10" i="6"/>
  <c r="T11" i="8"/>
  <c r="T3" i="8"/>
  <c r="H80" i="3"/>
  <c r="F13" i="16" s="1"/>
  <c r="D29" i="24"/>
  <c r="E5" i="14"/>
  <c r="E17" i="14" s="1"/>
  <c r="T9" i="8"/>
  <c r="T7" i="8"/>
  <c r="E11" i="14"/>
  <c r="E23" i="14" s="1"/>
  <c r="P98" i="14"/>
  <c r="T23" i="8"/>
  <c r="T15" i="8"/>
  <c r="T5" i="8"/>
  <c r="R2" i="6"/>
  <c r="R24" i="6"/>
  <c r="R6" i="6"/>
  <c r="C48" i="24"/>
  <c r="G29" i="24"/>
  <c r="C29" i="24"/>
  <c r="F103" i="15"/>
  <c r="O91" i="15"/>
  <c r="I102" i="14"/>
  <c r="Q90" i="14"/>
  <c r="I109" i="14"/>
  <c r="Q97" i="14"/>
  <c r="O93" i="15"/>
  <c r="F105" i="15"/>
  <c r="I101" i="14"/>
  <c r="Q89" i="14"/>
  <c r="F104" i="15"/>
  <c r="O92" i="15"/>
  <c r="Q88" i="14"/>
  <c r="I100" i="14"/>
  <c r="H46" i="24"/>
  <c r="V13" i="18"/>
  <c r="I46" i="24" s="1"/>
  <c r="H100" i="14"/>
  <c r="P99" i="14"/>
  <c r="I103" i="14"/>
  <c r="Q91" i="14"/>
  <c r="O96" i="15"/>
  <c r="F108" i="15"/>
  <c r="T25" i="8"/>
  <c r="O94" i="15"/>
  <c r="F106" i="15"/>
  <c r="J27" i="24"/>
  <c r="C35" i="24" s="1"/>
  <c r="E35" i="24" s="1"/>
  <c r="I107" i="14"/>
  <c r="Q95" i="14"/>
  <c r="I99" i="14"/>
  <c r="Q87" i="14"/>
  <c r="O88" i="15"/>
  <c r="F100" i="15"/>
  <c r="T21" i="8"/>
  <c r="L57" i="25"/>
  <c r="H57" i="25"/>
  <c r="D57" i="25"/>
  <c r="K56" i="25"/>
  <c r="G56" i="25"/>
  <c r="C56" i="25"/>
  <c r="K57" i="25"/>
  <c r="G57" i="25"/>
  <c r="C57" i="25"/>
  <c r="J56" i="25"/>
  <c r="F56" i="25"/>
  <c r="J57" i="25"/>
  <c r="F57" i="25"/>
  <c r="I56" i="25"/>
  <c r="E56" i="25"/>
  <c r="I57" i="25"/>
  <c r="H56" i="25"/>
  <c r="E57" i="25"/>
  <c r="D56" i="25"/>
  <c r="D64" i="25" s="1"/>
  <c r="L56" i="25"/>
  <c r="F102" i="15"/>
  <c r="O90" i="15"/>
  <c r="Q86" i="14"/>
  <c r="I98" i="14"/>
  <c r="R7" i="6"/>
  <c r="T2" i="8"/>
  <c r="R11" i="6"/>
  <c r="R3" i="6"/>
  <c r="H9" i="24"/>
  <c r="AN13" i="19"/>
  <c r="F107" i="15"/>
  <c r="O95" i="15"/>
  <c r="F99" i="15"/>
  <c r="O87" i="15"/>
  <c r="Q96" i="14"/>
  <c r="I108" i="14"/>
  <c r="I104" i="14"/>
  <c r="Q92" i="14"/>
  <c r="T13" i="8"/>
  <c r="F109" i="15"/>
  <c r="O97" i="15"/>
  <c r="Q93" i="14"/>
  <c r="I105" i="14"/>
  <c r="O89" i="15"/>
  <c r="F101" i="15"/>
  <c r="D52" i="25"/>
  <c r="D51" i="25"/>
  <c r="D50" i="25"/>
  <c r="T6" i="8"/>
  <c r="F98" i="15"/>
  <c r="O86" i="15"/>
  <c r="I106" i="14"/>
  <c r="Q94" i="14"/>
  <c r="T10" i="8"/>
  <c r="E8" i="14"/>
  <c r="E20" i="14" s="1"/>
  <c r="E32" i="14" s="1"/>
  <c r="E10" i="14"/>
  <c r="E22" i="14" s="1"/>
  <c r="H73" i="3"/>
  <c r="E12" i="14"/>
  <c r="M12" i="14" s="1"/>
  <c r="E4" i="14"/>
  <c r="M4" i="14" s="1"/>
  <c r="D13" i="14"/>
  <c r="L13" i="14" s="1"/>
  <c r="D10" i="14"/>
  <c r="D22" i="14" s="1"/>
  <c r="G73" i="3"/>
  <c r="G69" i="3"/>
  <c r="D9" i="14"/>
  <c r="L9" i="14" s="1"/>
  <c r="G72" i="3"/>
  <c r="E25" i="14"/>
  <c r="M13" i="14"/>
  <c r="E18" i="14"/>
  <c r="M6" i="14"/>
  <c r="D18" i="14"/>
  <c r="L6" i="14"/>
  <c r="E15" i="14"/>
  <c r="M3" i="14"/>
  <c r="D11" i="14"/>
  <c r="G78" i="3"/>
  <c r="L5" i="14"/>
  <c r="D17" i="14"/>
  <c r="E21" i="14"/>
  <c r="M9" i="14"/>
  <c r="E5" i="15"/>
  <c r="E9" i="15"/>
  <c r="E10" i="15"/>
  <c r="D8" i="14"/>
  <c r="G75" i="3"/>
  <c r="D7" i="14"/>
  <c r="G74" i="3"/>
  <c r="E11" i="15"/>
  <c r="D12" i="14"/>
  <c r="G79" i="3"/>
  <c r="E14" i="14"/>
  <c r="M2" i="14"/>
  <c r="E12" i="15"/>
  <c r="D4" i="14"/>
  <c r="G71" i="3"/>
  <c r="D14" i="14"/>
  <c r="L2" i="14"/>
  <c r="E19" i="14"/>
  <c r="M7" i="14"/>
  <c r="D3" i="14"/>
  <c r="G70" i="3"/>
  <c r="I48" i="10" l="1"/>
  <c r="K48" i="16"/>
  <c r="W48" i="16" s="1"/>
  <c r="K48" i="10"/>
  <c r="W48" i="10" s="1"/>
  <c r="AY53" i="2"/>
  <c r="L41" i="16"/>
  <c r="X41" i="16" s="1"/>
  <c r="X41" i="10"/>
  <c r="AP55" i="2"/>
  <c r="I43" i="16"/>
  <c r="U43" i="16" s="1"/>
  <c r="AY51" i="2"/>
  <c r="L39" i="16"/>
  <c r="X39" i="16" s="1"/>
  <c r="X39" i="10"/>
  <c r="AY61" i="2"/>
  <c r="L49" i="16"/>
  <c r="X49" i="16" s="1"/>
  <c r="X49" i="10"/>
  <c r="AP61" i="2"/>
  <c r="I49" i="16"/>
  <c r="U49" i="16" s="1"/>
  <c r="AP53" i="2"/>
  <c r="I41" i="16"/>
  <c r="AP52" i="2"/>
  <c r="I40" i="16"/>
  <c r="U40" i="16" s="1"/>
  <c r="AP51" i="2"/>
  <c r="I39" i="16"/>
  <c r="AV51" i="2"/>
  <c r="J39" i="16"/>
  <c r="V39" i="16" s="1"/>
  <c r="J39" i="10"/>
  <c r="AY56" i="2"/>
  <c r="L44" i="16"/>
  <c r="X44" i="16" s="1"/>
  <c r="X44" i="10"/>
  <c r="AP59" i="2"/>
  <c r="I47" i="16"/>
  <c r="Z37" i="10"/>
  <c r="I38" i="10"/>
  <c r="K38" i="16"/>
  <c r="W38" i="16" s="1"/>
  <c r="K38" i="10"/>
  <c r="W38" i="10" s="1"/>
  <c r="AL91" i="2"/>
  <c r="F43" i="14"/>
  <c r="N43" i="14" s="1"/>
  <c r="I40" i="10"/>
  <c r="K40" i="16"/>
  <c r="W40" i="16" s="1"/>
  <c r="K40" i="10"/>
  <c r="W40" i="10" s="1"/>
  <c r="I59" i="10"/>
  <c r="K59" i="16"/>
  <c r="W59" i="16" s="1"/>
  <c r="K59" i="10"/>
  <c r="W59" i="10" s="1"/>
  <c r="M45" i="16"/>
  <c r="Y45" i="16" s="1"/>
  <c r="Y45" i="10"/>
  <c r="M39" i="16"/>
  <c r="Y39" i="16" s="1"/>
  <c r="Y39" i="10"/>
  <c r="Z35" i="10"/>
  <c r="M49" i="16"/>
  <c r="Y49" i="16" s="1"/>
  <c r="Y49" i="10"/>
  <c r="Z31" i="10"/>
  <c r="AV57" i="2"/>
  <c r="J45" i="16"/>
  <c r="V45" i="16" s="1"/>
  <c r="J45" i="10"/>
  <c r="AV55" i="2"/>
  <c r="J43" i="16"/>
  <c r="J43" i="10"/>
  <c r="AY54" i="2"/>
  <c r="L42" i="16"/>
  <c r="X42" i="16" s="1"/>
  <c r="X42" i="10"/>
  <c r="AY59" i="2"/>
  <c r="L47" i="16"/>
  <c r="X47" i="16" s="1"/>
  <c r="X47" i="10"/>
  <c r="AY50" i="2"/>
  <c r="L38" i="16"/>
  <c r="X38" i="16" s="1"/>
  <c r="X38" i="10"/>
  <c r="M48" i="16"/>
  <c r="Y48" i="16" s="1"/>
  <c r="Y48" i="10"/>
  <c r="AV50" i="2"/>
  <c r="J38" i="16"/>
  <c r="J38" i="10"/>
  <c r="AB13" i="19"/>
  <c r="I39" i="10"/>
  <c r="U39" i="10" s="1"/>
  <c r="K39" i="16"/>
  <c r="W39" i="16" s="1"/>
  <c r="K39" i="10"/>
  <c r="W39" i="10" s="1"/>
  <c r="AQ64" i="2"/>
  <c r="G43" i="15"/>
  <c r="P43" i="15" s="1"/>
  <c r="I55" i="10"/>
  <c r="K55" i="16"/>
  <c r="W55" i="16" s="1"/>
  <c r="K55" i="10"/>
  <c r="W55" i="10" s="1"/>
  <c r="I42" i="10"/>
  <c r="U42" i="10" s="1"/>
  <c r="K42" i="16"/>
  <c r="W42" i="16" s="1"/>
  <c r="K42" i="10"/>
  <c r="W42" i="10" s="1"/>
  <c r="I49" i="10"/>
  <c r="K49" i="16"/>
  <c r="W49" i="16" s="1"/>
  <c r="K49" i="10"/>
  <c r="W49" i="10" s="1"/>
  <c r="I45" i="10"/>
  <c r="K45" i="16"/>
  <c r="W45" i="16" s="1"/>
  <c r="K45" i="10"/>
  <c r="W45" i="10" s="1"/>
  <c r="Z26" i="10"/>
  <c r="Z28" i="10"/>
  <c r="M46" i="16"/>
  <c r="Y46" i="16" s="1"/>
  <c r="Y46" i="10"/>
  <c r="AP56" i="2"/>
  <c r="I44" i="16"/>
  <c r="H44" i="24"/>
  <c r="O13" i="18"/>
  <c r="I44" i="24" s="1"/>
  <c r="AY52" i="2"/>
  <c r="L40" i="16"/>
  <c r="X40" i="16" s="1"/>
  <c r="X40" i="10"/>
  <c r="AY60" i="2"/>
  <c r="L48" i="16"/>
  <c r="X48" i="16" s="1"/>
  <c r="X48" i="10"/>
  <c r="AP54" i="2"/>
  <c r="I42" i="16"/>
  <c r="U42" i="16" s="1"/>
  <c r="AY55" i="2"/>
  <c r="L43" i="16"/>
  <c r="X43" i="16" s="1"/>
  <c r="X43" i="10"/>
  <c r="AB14" i="19"/>
  <c r="AY57" i="2"/>
  <c r="L45" i="16"/>
  <c r="X45" i="16" s="1"/>
  <c r="X45" i="10"/>
  <c r="AP58" i="2"/>
  <c r="I46" i="16"/>
  <c r="AP60" i="2"/>
  <c r="I48" i="16"/>
  <c r="U48" i="16" s="1"/>
  <c r="AP50" i="2"/>
  <c r="I38" i="16"/>
  <c r="AV58" i="2"/>
  <c r="J46" i="16"/>
  <c r="J46" i="10"/>
  <c r="I46" i="10"/>
  <c r="K46" i="16"/>
  <c r="W46" i="16" s="1"/>
  <c r="K46" i="10"/>
  <c r="W46" i="10" s="1"/>
  <c r="M38" i="16"/>
  <c r="Y38" i="16" s="1"/>
  <c r="Y38" i="10"/>
  <c r="M40" i="16"/>
  <c r="Y40" i="16" s="1"/>
  <c r="Y40" i="10"/>
  <c r="M41" i="16"/>
  <c r="Y41" i="16" s="1"/>
  <c r="Y41" i="10"/>
  <c r="I41" i="10"/>
  <c r="K41" i="16"/>
  <c r="W41" i="16" s="1"/>
  <c r="K41" i="10"/>
  <c r="W41" i="10" s="1"/>
  <c r="I44" i="10"/>
  <c r="K44" i="16"/>
  <c r="W44" i="16" s="1"/>
  <c r="K44" i="10"/>
  <c r="W44" i="10" s="1"/>
  <c r="M42" i="16"/>
  <c r="Y42" i="16" s="1"/>
  <c r="Y42" i="10"/>
  <c r="I47" i="10"/>
  <c r="U47" i="10" s="1"/>
  <c r="K47" i="16"/>
  <c r="W47" i="16" s="1"/>
  <c r="K47" i="10"/>
  <c r="W47" i="10" s="1"/>
  <c r="M47" i="16"/>
  <c r="Y47" i="16" s="1"/>
  <c r="Y47" i="10"/>
  <c r="M44" i="16"/>
  <c r="Y44" i="16" s="1"/>
  <c r="Y44" i="10"/>
  <c r="M43" i="16"/>
  <c r="Y43" i="16" s="1"/>
  <c r="Y43" i="10"/>
  <c r="AV59" i="2"/>
  <c r="J47" i="16"/>
  <c r="V47" i="16" s="1"/>
  <c r="J47" i="10"/>
  <c r="AV56" i="2"/>
  <c r="J44" i="16"/>
  <c r="V44" i="16" s="1"/>
  <c r="J44" i="10"/>
  <c r="V44" i="10" s="1"/>
  <c r="AV61" i="2"/>
  <c r="J49" i="16"/>
  <c r="J49" i="10"/>
  <c r="AY58" i="2"/>
  <c r="L46" i="16"/>
  <c r="X46" i="16" s="1"/>
  <c r="X46" i="10"/>
  <c r="AV54" i="2"/>
  <c r="J42" i="16"/>
  <c r="V42" i="16" s="1"/>
  <c r="J42" i="10"/>
  <c r="AV60" i="2"/>
  <c r="J48" i="10"/>
  <c r="V48" i="10" s="1"/>
  <c r="J48" i="16"/>
  <c r="V48" i="16" s="1"/>
  <c r="AV53" i="2"/>
  <c r="J41" i="16"/>
  <c r="J41" i="10"/>
  <c r="H6" i="24"/>
  <c r="H16" i="20"/>
  <c r="AV52" i="2"/>
  <c r="J40" i="16"/>
  <c r="J40" i="10"/>
  <c r="V40" i="10" s="1"/>
  <c r="AP57" i="2"/>
  <c r="I45" i="16"/>
  <c r="Z27" i="10"/>
  <c r="Z33" i="10"/>
  <c r="Z29" i="10"/>
  <c r="Z34" i="10"/>
  <c r="Z36" i="10"/>
  <c r="Z30" i="10"/>
  <c r="Z32" i="10"/>
  <c r="E2" i="15"/>
  <c r="N2" i="15" s="1"/>
  <c r="T40" i="16"/>
  <c r="T40" i="10"/>
  <c r="BA60" i="2"/>
  <c r="T49" i="10"/>
  <c r="H12" i="18"/>
  <c r="H13" i="18" s="1"/>
  <c r="BA58" i="2"/>
  <c r="U46" i="16"/>
  <c r="BA50" i="2"/>
  <c r="BB60" i="2"/>
  <c r="BA51" i="2"/>
  <c r="BA52" i="2"/>
  <c r="BB61" i="2"/>
  <c r="V49" i="16"/>
  <c r="V49" i="10"/>
  <c r="BB56" i="2"/>
  <c r="T42" i="16"/>
  <c r="BB57" i="2"/>
  <c r="V45" i="10"/>
  <c r="BB58" i="2"/>
  <c r="V46" i="10"/>
  <c r="F110" i="14"/>
  <c r="N110" i="14" s="1"/>
  <c r="N62" i="14"/>
  <c r="T45" i="16"/>
  <c r="T45" i="10"/>
  <c r="BB54" i="2"/>
  <c r="BB59" i="2"/>
  <c r="V47" i="10"/>
  <c r="Z47" i="10" s="1"/>
  <c r="BB53" i="2"/>
  <c r="BB55" i="2"/>
  <c r="V43" i="16"/>
  <c r="V43" i="10"/>
  <c r="Z43" i="10" s="1"/>
  <c r="BB50" i="2"/>
  <c r="V38" i="16"/>
  <c r="V38" i="10"/>
  <c r="BA54" i="2"/>
  <c r="BA61" i="2"/>
  <c r="BA59" i="2"/>
  <c r="U47" i="16"/>
  <c r="BA55" i="2"/>
  <c r="BB52" i="2"/>
  <c r="V40" i="16"/>
  <c r="BB51" i="2"/>
  <c r="V39" i="10"/>
  <c r="BA56" i="2"/>
  <c r="BA57" i="2"/>
  <c r="BA53" i="2"/>
  <c r="E3" i="15"/>
  <c r="N3" i="15" s="1"/>
  <c r="AJ13" i="19"/>
  <c r="R17" i="20" s="1"/>
  <c r="T17" i="20" s="1"/>
  <c r="I28" i="24" s="1"/>
  <c r="H8" i="24"/>
  <c r="M9" i="15"/>
  <c r="D25" i="15"/>
  <c r="M25" i="15" s="1"/>
  <c r="D7" i="18"/>
  <c r="D12" i="18" s="1"/>
  <c r="D13" i="18" s="1"/>
  <c r="S13" i="18"/>
  <c r="I45" i="24" s="1"/>
  <c r="L12" i="18"/>
  <c r="L13" i="18" s="1"/>
  <c r="F32" i="16"/>
  <c r="R20" i="16"/>
  <c r="R12" i="16"/>
  <c r="F24" i="16"/>
  <c r="R5" i="16"/>
  <c r="F17" i="16"/>
  <c r="R10" i="16"/>
  <c r="F22" i="16"/>
  <c r="R13" i="16"/>
  <c r="F25" i="16"/>
  <c r="R11" i="16"/>
  <c r="F23" i="16"/>
  <c r="F28" i="16"/>
  <c r="R16" i="16"/>
  <c r="R3" i="16"/>
  <c r="F15" i="16"/>
  <c r="R2" i="16"/>
  <c r="F14" i="16"/>
  <c r="R9" i="16"/>
  <c r="F21" i="16"/>
  <c r="N8" i="15"/>
  <c r="M10" i="15"/>
  <c r="D8" i="15"/>
  <c r="D20" i="15" s="1"/>
  <c r="E8" i="16"/>
  <c r="E20" i="16" s="1"/>
  <c r="E32" i="16" s="1"/>
  <c r="E44" i="16" s="1"/>
  <c r="E56" i="16" s="1"/>
  <c r="E68" i="16" s="1"/>
  <c r="E80" i="16" s="1"/>
  <c r="E92" i="16" s="1"/>
  <c r="D11" i="15"/>
  <c r="D23" i="15" s="1"/>
  <c r="E11" i="16"/>
  <c r="E23" i="16" s="1"/>
  <c r="E35" i="16" s="1"/>
  <c r="E47" i="16" s="1"/>
  <c r="E59" i="16" s="1"/>
  <c r="E71" i="16" s="1"/>
  <c r="E83" i="16" s="1"/>
  <c r="E95" i="16" s="1"/>
  <c r="D5" i="15"/>
  <c r="D17" i="15" s="1"/>
  <c r="M17" i="15" s="1"/>
  <c r="E5" i="16"/>
  <c r="E17" i="16" s="1"/>
  <c r="E29" i="16" s="1"/>
  <c r="E41" i="16" s="1"/>
  <c r="E53" i="16" s="1"/>
  <c r="E65" i="16" s="1"/>
  <c r="E77" i="16" s="1"/>
  <c r="E89" i="16" s="1"/>
  <c r="F7" i="16"/>
  <c r="D7" i="15"/>
  <c r="D19" i="15" s="1"/>
  <c r="E7" i="16"/>
  <c r="E19" i="16" s="1"/>
  <c r="E31" i="16" s="1"/>
  <c r="E43" i="16" s="1"/>
  <c r="E55" i="16" s="1"/>
  <c r="E67" i="16" s="1"/>
  <c r="E79" i="16" s="1"/>
  <c r="E91" i="16" s="1"/>
  <c r="D4" i="15"/>
  <c r="D16" i="15" s="1"/>
  <c r="E4" i="16"/>
  <c r="E16" i="16" s="1"/>
  <c r="E28" i="16" s="1"/>
  <c r="E40" i="16" s="1"/>
  <c r="E52" i="16" s="1"/>
  <c r="E64" i="16" s="1"/>
  <c r="E76" i="16" s="1"/>
  <c r="E88" i="16" s="1"/>
  <c r="D3" i="15"/>
  <c r="D15" i="15" s="1"/>
  <c r="E3" i="16"/>
  <c r="E15" i="16" s="1"/>
  <c r="E27" i="16" s="1"/>
  <c r="E39" i="16" s="1"/>
  <c r="E51" i="16" s="1"/>
  <c r="E63" i="16" s="1"/>
  <c r="E75" i="16" s="1"/>
  <c r="E87" i="16" s="1"/>
  <c r="F6" i="16"/>
  <c r="N4" i="15"/>
  <c r="D12" i="15"/>
  <c r="D24" i="15" s="1"/>
  <c r="E12" i="16"/>
  <c r="E24" i="16" s="1"/>
  <c r="E36" i="16" s="1"/>
  <c r="E48" i="16" s="1"/>
  <c r="E60" i="16" s="1"/>
  <c r="E72" i="16" s="1"/>
  <c r="E84" i="16" s="1"/>
  <c r="E96" i="16" s="1"/>
  <c r="E7" i="15"/>
  <c r="E19" i="15" s="1"/>
  <c r="D6" i="15"/>
  <c r="M6" i="15" s="1"/>
  <c r="E6" i="16"/>
  <c r="E18" i="16" s="1"/>
  <c r="E30" i="16" s="1"/>
  <c r="E42" i="16" s="1"/>
  <c r="E54" i="16" s="1"/>
  <c r="E66" i="16" s="1"/>
  <c r="E78" i="16" s="1"/>
  <c r="E90" i="16" s="1"/>
  <c r="D2" i="15"/>
  <c r="D14" i="15" s="1"/>
  <c r="D26" i="15" s="1"/>
  <c r="E2" i="16"/>
  <c r="E14" i="16" s="1"/>
  <c r="E26" i="16" s="1"/>
  <c r="E38" i="16" s="1"/>
  <c r="E50" i="16" s="1"/>
  <c r="E62" i="16" s="1"/>
  <c r="E74" i="16" s="1"/>
  <c r="E86" i="16" s="1"/>
  <c r="E13" i="15"/>
  <c r="E25" i="15" s="1"/>
  <c r="E25" i="16"/>
  <c r="E37" i="16" s="1"/>
  <c r="E49" i="16" s="1"/>
  <c r="E61" i="16" s="1"/>
  <c r="E73" i="16" s="1"/>
  <c r="E85" i="16" s="1"/>
  <c r="E97" i="16" s="1"/>
  <c r="H47" i="24"/>
  <c r="T16" i="20"/>
  <c r="H28" i="24" s="1"/>
  <c r="N5" i="13"/>
  <c r="F50" i="25"/>
  <c r="T34" i="8"/>
  <c r="M16" i="20"/>
  <c r="R37" i="6"/>
  <c r="E48" i="24"/>
  <c r="F51" i="25"/>
  <c r="T37" i="8"/>
  <c r="T35" i="8"/>
  <c r="T27" i="8"/>
  <c r="N4" i="13"/>
  <c r="F86" i="14"/>
  <c r="N86" i="14" s="1"/>
  <c r="F86" i="6"/>
  <c r="N86" i="6" s="1"/>
  <c r="S86" i="10"/>
  <c r="G86" i="8"/>
  <c r="P86" i="8" s="1"/>
  <c r="G86" i="15"/>
  <c r="P86" i="15" s="1"/>
  <c r="AT62" i="2"/>
  <c r="AU61" i="2"/>
  <c r="P65" i="15"/>
  <c r="G113" i="15"/>
  <c r="P113" i="15" s="1"/>
  <c r="P73" i="15"/>
  <c r="G121" i="15"/>
  <c r="P121" i="15" s="1"/>
  <c r="AU54" i="2"/>
  <c r="S84" i="16"/>
  <c r="F84" i="14"/>
  <c r="N84" i="14" s="1"/>
  <c r="G84" i="15"/>
  <c r="P84" i="15" s="1"/>
  <c r="S84" i="10"/>
  <c r="F84" i="6"/>
  <c r="N84" i="6" s="1"/>
  <c r="G84" i="8"/>
  <c r="P84" i="8" s="1"/>
  <c r="V42" i="10"/>
  <c r="AT54" i="2"/>
  <c r="AT71" i="2"/>
  <c r="I72" i="15"/>
  <c r="AQ84" i="2"/>
  <c r="I72" i="8"/>
  <c r="R72" i="8" s="1"/>
  <c r="F92" i="14"/>
  <c r="N92" i="14" s="1"/>
  <c r="G92" i="15"/>
  <c r="P92" i="15" s="1"/>
  <c r="F92" i="6"/>
  <c r="N92" i="6" s="1"/>
  <c r="S92" i="10"/>
  <c r="G92" i="8"/>
  <c r="P92" i="8" s="1"/>
  <c r="J59" i="8"/>
  <c r="S59" i="8" s="1"/>
  <c r="J59" i="15"/>
  <c r="AZ71" i="2"/>
  <c r="S46" i="16"/>
  <c r="G46" i="15"/>
  <c r="P46" i="15" s="1"/>
  <c r="F46" i="14"/>
  <c r="N46" i="14" s="1"/>
  <c r="F46" i="6"/>
  <c r="N46" i="6" s="1"/>
  <c r="R46" i="6" s="1"/>
  <c r="AL94" i="2"/>
  <c r="S46" i="10"/>
  <c r="G46" i="8"/>
  <c r="P46" i="8" s="1"/>
  <c r="T48" i="16"/>
  <c r="T48" i="10"/>
  <c r="AR60" i="2"/>
  <c r="AU72" i="2"/>
  <c r="AU55" i="2"/>
  <c r="AU57" i="2"/>
  <c r="T55" i="16"/>
  <c r="T55" i="10"/>
  <c r="AR67" i="2"/>
  <c r="H26" i="15"/>
  <c r="Q26" i="15" s="1"/>
  <c r="G26" i="14"/>
  <c r="O26" i="14" s="1"/>
  <c r="H26" i="8"/>
  <c r="Q26" i="8" s="1"/>
  <c r="T26" i="8" s="1"/>
  <c r="G26" i="6"/>
  <c r="O26" i="6" s="1"/>
  <c r="R26" i="6" s="1"/>
  <c r="BC38" i="2"/>
  <c r="S78" i="16"/>
  <c r="F78" i="14"/>
  <c r="N78" i="14" s="1"/>
  <c r="G78" i="15"/>
  <c r="P78" i="15" s="1"/>
  <c r="S78" i="10"/>
  <c r="F78" i="6"/>
  <c r="N78" i="6" s="1"/>
  <c r="G78" i="8"/>
  <c r="P78" i="8" s="1"/>
  <c r="T46" i="16"/>
  <c r="T46" i="10"/>
  <c r="AR58" i="2"/>
  <c r="AT72" i="2"/>
  <c r="AW53" i="2"/>
  <c r="H28" i="15"/>
  <c r="Q28" i="15" s="1"/>
  <c r="G28" i="6"/>
  <c r="O28" i="6" s="1"/>
  <c r="R28" i="6" s="1"/>
  <c r="H28" i="8"/>
  <c r="Q28" i="8" s="1"/>
  <c r="T28" i="8" s="1"/>
  <c r="G28" i="14"/>
  <c r="O28" i="14" s="1"/>
  <c r="BC40" i="2"/>
  <c r="AS54" i="2"/>
  <c r="I50" i="15"/>
  <c r="I50" i="8"/>
  <c r="R50" i="8" s="1"/>
  <c r="AQ62" i="2"/>
  <c r="G40" i="15"/>
  <c r="P40" i="15" s="1"/>
  <c r="F40" i="14"/>
  <c r="N40" i="14" s="1"/>
  <c r="S40" i="10"/>
  <c r="AL88" i="2"/>
  <c r="F40" i="6"/>
  <c r="N40" i="6" s="1"/>
  <c r="S40" i="16"/>
  <c r="G40" i="8"/>
  <c r="P40" i="8" s="1"/>
  <c r="I43" i="15"/>
  <c r="R43" i="15" s="1"/>
  <c r="I43" i="8"/>
  <c r="R43" i="8" s="1"/>
  <c r="AQ55" i="2"/>
  <c r="U46" i="10"/>
  <c r="AS58" i="2"/>
  <c r="J52" i="15"/>
  <c r="J52" i="8"/>
  <c r="S52" i="8" s="1"/>
  <c r="AZ64" i="2"/>
  <c r="U41" i="16"/>
  <c r="U41" i="10"/>
  <c r="AS53" i="2"/>
  <c r="I46" i="15"/>
  <c r="R46" i="15" s="1"/>
  <c r="I46" i="8"/>
  <c r="R46" i="8" s="1"/>
  <c r="AQ58" i="2"/>
  <c r="T42" i="10"/>
  <c r="AR54" i="2"/>
  <c r="H31" i="15"/>
  <c r="Q31" i="15" s="1"/>
  <c r="H31" i="8"/>
  <c r="Q31" i="8" s="1"/>
  <c r="T31" i="8" s="1"/>
  <c r="G31" i="14"/>
  <c r="O31" i="14" s="1"/>
  <c r="G31" i="6"/>
  <c r="O31" i="6" s="1"/>
  <c r="R31" i="6" s="1"/>
  <c r="BC43" i="2"/>
  <c r="I64" i="15"/>
  <c r="AQ76" i="2"/>
  <c r="I64" i="8"/>
  <c r="R64" i="8" s="1"/>
  <c r="I104" i="15"/>
  <c r="R104" i="15" s="1"/>
  <c r="R56" i="15"/>
  <c r="AW52" i="2"/>
  <c r="S49" i="16"/>
  <c r="G49" i="15"/>
  <c r="P49" i="15" s="1"/>
  <c r="F49" i="14"/>
  <c r="N49" i="14" s="1"/>
  <c r="G49" i="8"/>
  <c r="P49" i="8" s="1"/>
  <c r="AL97" i="2"/>
  <c r="S49" i="10"/>
  <c r="F49" i="6"/>
  <c r="N49" i="6" s="1"/>
  <c r="AU62" i="2"/>
  <c r="H45" i="15"/>
  <c r="Q45" i="15" s="1"/>
  <c r="G45" i="14"/>
  <c r="O45" i="14" s="1"/>
  <c r="G45" i="6"/>
  <c r="O45" i="6" s="1"/>
  <c r="R45" i="6" s="1"/>
  <c r="H45" i="8"/>
  <c r="Q45" i="8" s="1"/>
  <c r="BC57" i="2"/>
  <c r="AW71" i="2"/>
  <c r="G48" i="15"/>
  <c r="P48" i="15" s="1"/>
  <c r="F48" i="14"/>
  <c r="N48" i="14" s="1"/>
  <c r="AL96" i="2"/>
  <c r="F48" i="6"/>
  <c r="N48" i="6" s="1"/>
  <c r="S48" i="10"/>
  <c r="S48" i="16"/>
  <c r="G48" i="8"/>
  <c r="P48" i="8" s="1"/>
  <c r="I45" i="15"/>
  <c r="R45" i="15" s="1"/>
  <c r="I45" i="8"/>
  <c r="R45" i="8" s="1"/>
  <c r="AQ57" i="2"/>
  <c r="T65" i="16"/>
  <c r="T65" i="10"/>
  <c r="AR77" i="2"/>
  <c r="F115" i="14"/>
  <c r="N115" i="14" s="1"/>
  <c r="N67" i="14"/>
  <c r="J50" i="15"/>
  <c r="J50" i="8"/>
  <c r="S50" i="8" s="1"/>
  <c r="AZ62" i="2"/>
  <c r="U45" i="16"/>
  <c r="AS57" i="2"/>
  <c r="U45" i="10"/>
  <c r="J48" i="15"/>
  <c r="S48" i="15" s="1"/>
  <c r="J48" i="8"/>
  <c r="S48" i="8" s="1"/>
  <c r="AZ60" i="2"/>
  <c r="I39" i="15"/>
  <c r="R39" i="15" s="1"/>
  <c r="AQ51" i="2"/>
  <c r="I39" i="8"/>
  <c r="R39" i="8" s="1"/>
  <c r="T50" i="16"/>
  <c r="T50" i="10"/>
  <c r="AR62" i="2"/>
  <c r="R60" i="15"/>
  <c r="I108" i="15"/>
  <c r="R108" i="15" s="1"/>
  <c r="T56" i="16"/>
  <c r="T56" i="10"/>
  <c r="AR68" i="2"/>
  <c r="H29" i="15"/>
  <c r="Q29" i="15" s="1"/>
  <c r="G29" i="6"/>
  <c r="O29" i="6" s="1"/>
  <c r="R29" i="6" s="1"/>
  <c r="H29" i="8"/>
  <c r="Q29" i="8" s="1"/>
  <c r="T29" i="8" s="1"/>
  <c r="G29" i="14"/>
  <c r="O29" i="14" s="1"/>
  <c r="BC41" i="2"/>
  <c r="V41" i="16"/>
  <c r="V41" i="10"/>
  <c r="AT53" i="2"/>
  <c r="S82" i="16"/>
  <c r="S82" i="10"/>
  <c r="F82" i="6"/>
  <c r="N82" i="6" s="1"/>
  <c r="G82" i="15"/>
  <c r="P82" i="15" s="1"/>
  <c r="G82" i="8"/>
  <c r="P82" i="8" s="1"/>
  <c r="F82" i="14"/>
  <c r="N82" i="14" s="1"/>
  <c r="AT61" i="2"/>
  <c r="H32" i="15"/>
  <c r="Q32" i="15" s="1"/>
  <c r="G32" i="14"/>
  <c r="O32" i="14" s="1"/>
  <c r="G32" i="6"/>
  <c r="O32" i="6" s="1"/>
  <c r="R32" i="6" s="1"/>
  <c r="H32" i="8"/>
  <c r="Q32" i="8" s="1"/>
  <c r="T32" i="8" s="1"/>
  <c r="BC44" i="2"/>
  <c r="AU53" i="2"/>
  <c r="U48" i="10"/>
  <c r="AS60" i="2"/>
  <c r="AT68" i="2"/>
  <c r="P67" i="15"/>
  <c r="G115" i="15"/>
  <c r="P115" i="15" s="1"/>
  <c r="AT67" i="2"/>
  <c r="J56" i="15"/>
  <c r="J56" i="8"/>
  <c r="S56" i="8" s="1"/>
  <c r="AZ68" i="2"/>
  <c r="S42" i="16"/>
  <c r="G42" i="15"/>
  <c r="P42" i="15" s="1"/>
  <c r="S42" i="10"/>
  <c r="F42" i="14"/>
  <c r="N42" i="14" s="1"/>
  <c r="AL90" i="2"/>
  <c r="G42" i="8"/>
  <c r="P42" i="8" s="1"/>
  <c r="F42" i="6"/>
  <c r="N42" i="6" s="1"/>
  <c r="AU80" i="2"/>
  <c r="T39" i="16"/>
  <c r="T39" i="10"/>
  <c r="AR51" i="2"/>
  <c r="P72" i="15"/>
  <c r="G120" i="15"/>
  <c r="P120" i="15" s="1"/>
  <c r="U40" i="10"/>
  <c r="AS52" i="2"/>
  <c r="AW60" i="2"/>
  <c r="G36" i="14"/>
  <c r="O36" i="14" s="1"/>
  <c r="H36" i="15"/>
  <c r="Q36" i="15" s="1"/>
  <c r="G36" i="6"/>
  <c r="O36" i="6" s="1"/>
  <c r="R36" i="6" s="1"/>
  <c r="H36" i="8"/>
  <c r="Q36" i="8" s="1"/>
  <c r="T36" i="8" s="1"/>
  <c r="BC48" i="2"/>
  <c r="I41" i="15"/>
  <c r="R41" i="15" s="1"/>
  <c r="AQ53" i="2"/>
  <c r="I41" i="8"/>
  <c r="R41" i="8" s="1"/>
  <c r="N65" i="14"/>
  <c r="F113" i="14"/>
  <c r="N113" i="14" s="1"/>
  <c r="T52" i="16"/>
  <c r="T52" i="10"/>
  <c r="AR64" i="2"/>
  <c r="H39" i="15"/>
  <c r="Q39" i="15" s="1"/>
  <c r="G39" i="14"/>
  <c r="O39" i="14" s="1"/>
  <c r="G39" i="6"/>
  <c r="O39" i="6" s="1"/>
  <c r="R39" i="6" s="1"/>
  <c r="BC51" i="2"/>
  <c r="H39" i="8"/>
  <c r="Q39" i="8" s="1"/>
  <c r="G93" i="15"/>
  <c r="P93" i="15" s="1"/>
  <c r="F93" i="14"/>
  <c r="N93" i="14" s="1"/>
  <c r="S93" i="10"/>
  <c r="G93" i="8"/>
  <c r="P93" i="8" s="1"/>
  <c r="F93" i="6"/>
  <c r="N93" i="6" s="1"/>
  <c r="F112" i="14"/>
  <c r="N112" i="14" s="1"/>
  <c r="N64" i="14"/>
  <c r="I49" i="15"/>
  <c r="R49" i="15" s="1"/>
  <c r="AQ61" i="2"/>
  <c r="I49" i="8"/>
  <c r="R49" i="8" s="1"/>
  <c r="U49" i="10"/>
  <c r="AS61" i="2"/>
  <c r="T57" i="16"/>
  <c r="T57" i="10"/>
  <c r="AR69" i="2"/>
  <c r="U38" i="16"/>
  <c r="U38" i="10"/>
  <c r="AS50" i="2"/>
  <c r="AU59" i="2"/>
  <c r="S85" i="16"/>
  <c r="F85" i="14"/>
  <c r="N85" i="14" s="1"/>
  <c r="G85" i="15"/>
  <c r="P85" i="15" s="1"/>
  <c r="S85" i="10"/>
  <c r="G85" i="8"/>
  <c r="P85" i="8" s="1"/>
  <c r="F85" i="6"/>
  <c r="N85" i="6" s="1"/>
  <c r="N18" i="20"/>
  <c r="M18" i="20" s="1"/>
  <c r="AF14" i="19" s="1"/>
  <c r="J7" i="24" s="1"/>
  <c r="C18" i="24" s="1"/>
  <c r="E18" i="24" s="1"/>
  <c r="M17" i="20"/>
  <c r="AF13" i="19" s="1"/>
  <c r="I7" i="24" s="1"/>
  <c r="AU51" i="2"/>
  <c r="G95" i="15"/>
  <c r="P95" i="15" s="1"/>
  <c r="S95" i="10"/>
  <c r="G95" i="8"/>
  <c r="P95" i="8" s="1"/>
  <c r="F95" i="6"/>
  <c r="N95" i="6" s="1"/>
  <c r="F95" i="14"/>
  <c r="N95" i="14" s="1"/>
  <c r="J55" i="8"/>
  <c r="S55" i="8" s="1"/>
  <c r="J55" i="15"/>
  <c r="AZ67" i="2"/>
  <c r="U59" i="10"/>
  <c r="AS71" i="2"/>
  <c r="P68" i="15"/>
  <c r="G116" i="15"/>
  <c r="P116" i="15" s="1"/>
  <c r="AW58" i="2"/>
  <c r="AT69" i="2"/>
  <c r="U55" i="10"/>
  <c r="AS67" i="2"/>
  <c r="U44" i="16"/>
  <c r="U44" i="10"/>
  <c r="AS56" i="2"/>
  <c r="G117" i="15"/>
  <c r="P117" i="15" s="1"/>
  <c r="P69" i="15"/>
  <c r="S76" i="16"/>
  <c r="G76" i="15"/>
  <c r="P76" i="15" s="1"/>
  <c r="F76" i="14"/>
  <c r="N76" i="14" s="1"/>
  <c r="S76" i="10"/>
  <c r="F76" i="6"/>
  <c r="N76" i="6" s="1"/>
  <c r="G76" i="8"/>
  <c r="P76" i="8" s="1"/>
  <c r="T49" i="16"/>
  <c r="AR61" i="2"/>
  <c r="J46" i="15"/>
  <c r="S46" i="15" s="1"/>
  <c r="J46" i="8"/>
  <c r="S46" i="8" s="1"/>
  <c r="AZ58" i="2"/>
  <c r="J53" i="15"/>
  <c r="J53" i="8"/>
  <c r="S53" i="8" s="1"/>
  <c r="AZ65" i="2"/>
  <c r="G91" i="15"/>
  <c r="P91" i="15" s="1"/>
  <c r="F91" i="14"/>
  <c r="N91" i="14" s="1"/>
  <c r="G91" i="8"/>
  <c r="P91" i="8" s="1"/>
  <c r="F91" i="6"/>
  <c r="N91" i="6" s="1"/>
  <c r="S91" i="10"/>
  <c r="I68" i="15"/>
  <c r="AQ80" i="2"/>
  <c r="I68" i="8"/>
  <c r="R68" i="8" s="1"/>
  <c r="AW54" i="2"/>
  <c r="F119" i="14"/>
  <c r="N119" i="14" s="1"/>
  <c r="N71" i="14"/>
  <c r="U39" i="16"/>
  <c r="AS51" i="2"/>
  <c r="T59" i="16"/>
  <c r="T59" i="10"/>
  <c r="AR71" i="2"/>
  <c r="N68" i="14"/>
  <c r="F116" i="14"/>
  <c r="N116" i="14" s="1"/>
  <c r="AT51" i="2"/>
  <c r="J49" i="8"/>
  <c r="S49" i="8" s="1"/>
  <c r="J49" i="15"/>
  <c r="S49" i="15" s="1"/>
  <c r="AZ61" i="2"/>
  <c r="H49" i="15"/>
  <c r="Q49" i="15" s="1"/>
  <c r="G49" i="14"/>
  <c r="O49" i="14" s="1"/>
  <c r="G49" i="6"/>
  <c r="O49" i="6" s="1"/>
  <c r="H49" i="8"/>
  <c r="Q49" i="8" s="1"/>
  <c r="BC61" i="2"/>
  <c r="I54" i="15"/>
  <c r="I54" i="8"/>
  <c r="R54" i="8" s="1"/>
  <c r="AQ66" i="2"/>
  <c r="AU70" i="2"/>
  <c r="AW51" i="2"/>
  <c r="G89" i="15"/>
  <c r="P89" i="15" s="1"/>
  <c r="S89" i="10"/>
  <c r="F89" i="6"/>
  <c r="N89" i="6" s="1"/>
  <c r="G89" i="8"/>
  <c r="P89" i="8" s="1"/>
  <c r="F89" i="14"/>
  <c r="N89" i="14" s="1"/>
  <c r="AU76" i="2"/>
  <c r="N72" i="14"/>
  <c r="F120" i="14"/>
  <c r="N120" i="14" s="1"/>
  <c r="I47" i="15"/>
  <c r="R47" i="15" s="1"/>
  <c r="I47" i="8"/>
  <c r="R47" i="8" s="1"/>
  <c r="AQ59" i="2"/>
  <c r="F117" i="14"/>
  <c r="N117" i="14" s="1"/>
  <c r="N69" i="14"/>
  <c r="V46" i="16"/>
  <c r="AT58" i="2"/>
  <c r="J57" i="8"/>
  <c r="S57" i="8" s="1"/>
  <c r="J57" i="15"/>
  <c r="AZ69" i="2"/>
  <c r="H30" i="15"/>
  <c r="Q30" i="15" s="1"/>
  <c r="G30" i="14"/>
  <c r="O30" i="14" s="1"/>
  <c r="H30" i="8"/>
  <c r="Q30" i="8" s="1"/>
  <c r="T30" i="8" s="1"/>
  <c r="G30" i="6"/>
  <c r="O30" i="6" s="1"/>
  <c r="R30" i="6" s="1"/>
  <c r="BC42" i="2"/>
  <c r="AW50" i="2"/>
  <c r="H47" i="15"/>
  <c r="Q47" i="15" s="1"/>
  <c r="G47" i="14"/>
  <c r="O47" i="14" s="1"/>
  <c r="G47" i="6"/>
  <c r="O47" i="6" s="1"/>
  <c r="R47" i="6" s="1"/>
  <c r="H47" i="8"/>
  <c r="Q47" i="8" s="1"/>
  <c r="BC59" i="2"/>
  <c r="AT64" i="2"/>
  <c r="F121" i="14"/>
  <c r="N121" i="14" s="1"/>
  <c r="N73" i="14"/>
  <c r="G58" i="14"/>
  <c r="H58" i="15"/>
  <c r="H58" i="8"/>
  <c r="Q58" i="8" s="1"/>
  <c r="BC70" i="2"/>
  <c r="G58" i="6"/>
  <c r="O58" i="6" s="1"/>
  <c r="R58" i="6" s="1"/>
  <c r="G112" i="15"/>
  <c r="P112" i="15" s="1"/>
  <c r="P64" i="15"/>
  <c r="R52" i="15"/>
  <c r="I100" i="15"/>
  <c r="R100" i="15" s="1"/>
  <c r="J39" i="8"/>
  <c r="S39" i="8" s="1"/>
  <c r="J39" i="15"/>
  <c r="S39" i="15" s="1"/>
  <c r="AZ51" i="2"/>
  <c r="AW67" i="2"/>
  <c r="AW56" i="2"/>
  <c r="P71" i="15"/>
  <c r="G119" i="15"/>
  <c r="P119" i="15" s="1"/>
  <c r="J42" i="15"/>
  <c r="S42" i="15" s="1"/>
  <c r="J42" i="8"/>
  <c r="S42" i="8" s="1"/>
  <c r="AZ54" i="2"/>
  <c r="AW61" i="2"/>
  <c r="AW57" i="2"/>
  <c r="H64" i="25"/>
  <c r="E71" i="2" s="1"/>
  <c r="F71" i="2" s="1"/>
  <c r="D4" i="13"/>
  <c r="M5" i="14"/>
  <c r="R5" i="14" s="1"/>
  <c r="M11" i="14"/>
  <c r="I5" i="13"/>
  <c r="D5" i="13"/>
  <c r="M10" i="14"/>
  <c r="F110" i="15"/>
  <c r="O110" i="15" s="1"/>
  <c r="O98" i="15"/>
  <c r="F113" i="15"/>
  <c r="O113" i="15" s="1"/>
  <c r="O101" i="15"/>
  <c r="Q104" i="14"/>
  <c r="I116" i="14"/>
  <c r="Q116" i="14" s="1"/>
  <c r="F111" i="15"/>
  <c r="O111" i="15" s="1"/>
  <c r="O99" i="15"/>
  <c r="I4" i="13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E64" i="25"/>
  <c r="F64" i="25"/>
  <c r="Q99" i="14"/>
  <c r="I111" i="14"/>
  <c r="Q111" i="14" s="1"/>
  <c r="Q107" i="14"/>
  <c r="I119" i="14"/>
  <c r="Q119" i="14" s="1"/>
  <c r="Q103" i="14"/>
  <c r="I115" i="14"/>
  <c r="Q115" i="14" s="1"/>
  <c r="G14" i="19"/>
  <c r="L64" i="25"/>
  <c r="I68" i="25"/>
  <c r="E68" i="25"/>
  <c r="L68" i="25"/>
  <c r="H68" i="25"/>
  <c r="D68" i="25"/>
  <c r="K68" i="25"/>
  <c r="G68" i="25"/>
  <c r="C68" i="25"/>
  <c r="J68" i="25"/>
  <c r="F68" i="25"/>
  <c r="F121" i="15"/>
  <c r="O121" i="15" s="1"/>
  <c r="O109" i="15"/>
  <c r="Q108" i="14"/>
  <c r="I120" i="14"/>
  <c r="Q120" i="14" s="1"/>
  <c r="AN14" i="19"/>
  <c r="J9" i="24" s="1"/>
  <c r="C20" i="24" s="1"/>
  <c r="E20" i="24" s="1"/>
  <c r="I9" i="24"/>
  <c r="I64" i="25"/>
  <c r="J64" i="25"/>
  <c r="C64" i="25"/>
  <c r="P100" i="14"/>
  <c r="H101" i="14"/>
  <c r="F116" i="15"/>
  <c r="O116" i="15" s="1"/>
  <c r="O104" i="15"/>
  <c r="Q102" i="14"/>
  <c r="I114" i="14"/>
  <c r="Q114" i="14" s="1"/>
  <c r="Q98" i="14"/>
  <c r="I110" i="14"/>
  <c r="Q110" i="14" s="1"/>
  <c r="F112" i="15"/>
  <c r="O112" i="15" s="1"/>
  <c r="O100" i="15"/>
  <c r="Q106" i="14"/>
  <c r="I118" i="14"/>
  <c r="Q118" i="14" s="1"/>
  <c r="L81" i="25"/>
  <c r="H81" i="25"/>
  <c r="D81" i="25"/>
  <c r="K80" i="25"/>
  <c r="G80" i="25"/>
  <c r="C80" i="25"/>
  <c r="J69" i="25"/>
  <c r="F69" i="25"/>
  <c r="K81" i="25"/>
  <c r="G81" i="25"/>
  <c r="C81" i="25"/>
  <c r="J80" i="25"/>
  <c r="F80" i="25"/>
  <c r="I69" i="25"/>
  <c r="E69" i="25"/>
  <c r="J81" i="25"/>
  <c r="F81" i="25"/>
  <c r="I80" i="25"/>
  <c r="E80" i="25"/>
  <c r="L69" i="25"/>
  <c r="H69" i="25"/>
  <c r="D69" i="25"/>
  <c r="L80" i="25"/>
  <c r="K69" i="25"/>
  <c r="I81" i="25"/>
  <c r="H80" i="25"/>
  <c r="G69" i="25"/>
  <c r="E81" i="25"/>
  <c r="C69" i="25"/>
  <c r="D80" i="25"/>
  <c r="Q105" i="14"/>
  <c r="I117" i="14"/>
  <c r="Q117" i="14" s="1"/>
  <c r="F119" i="15"/>
  <c r="O119" i="15" s="1"/>
  <c r="O107" i="15"/>
  <c r="F114" i="15"/>
  <c r="O114" i="15" s="1"/>
  <c r="O102" i="15"/>
  <c r="G64" i="25"/>
  <c r="F118" i="15"/>
  <c r="O118" i="15" s="1"/>
  <c r="O106" i="15"/>
  <c r="Q100" i="14"/>
  <c r="I112" i="14"/>
  <c r="Q112" i="14" s="1"/>
  <c r="Q101" i="14"/>
  <c r="I113" i="14"/>
  <c r="Q113" i="14" s="1"/>
  <c r="Q109" i="14"/>
  <c r="I121" i="14"/>
  <c r="Q121" i="14" s="1"/>
  <c r="G13" i="19"/>
  <c r="K64" i="25"/>
  <c r="F120" i="15"/>
  <c r="O120" i="15" s="1"/>
  <c r="O108" i="15"/>
  <c r="AJ14" i="19"/>
  <c r="F117" i="15"/>
  <c r="O117" i="15" s="1"/>
  <c r="O105" i="15"/>
  <c r="F115" i="15"/>
  <c r="O115" i="15" s="1"/>
  <c r="O103" i="15"/>
  <c r="M20" i="14"/>
  <c r="M8" i="14"/>
  <c r="E6" i="15"/>
  <c r="E18" i="15" s="1"/>
  <c r="E24" i="14"/>
  <c r="M24" i="14" s="1"/>
  <c r="E16" i="14"/>
  <c r="M16" i="14" s="1"/>
  <c r="L10" i="14"/>
  <c r="R6" i="14"/>
  <c r="D25" i="14"/>
  <c r="D37" i="14" s="1"/>
  <c r="D21" i="14"/>
  <c r="L21" i="14" s="1"/>
  <c r="R9" i="14"/>
  <c r="R2" i="14"/>
  <c r="D34" i="14"/>
  <c r="L22" i="14"/>
  <c r="D20" i="14"/>
  <c r="L8" i="14"/>
  <c r="E22" i="15"/>
  <c r="N10" i="15"/>
  <c r="E33" i="14"/>
  <c r="M21" i="14"/>
  <c r="E29" i="14"/>
  <c r="M17" i="14"/>
  <c r="D23" i="14"/>
  <c r="L11" i="14"/>
  <c r="E35" i="14"/>
  <c r="M23" i="14"/>
  <c r="R13" i="14"/>
  <c r="E37" i="14"/>
  <c r="M25" i="14"/>
  <c r="E26" i="14"/>
  <c r="M14" i="14"/>
  <c r="D24" i="14"/>
  <c r="L12" i="14"/>
  <c r="R12" i="14" s="1"/>
  <c r="E24" i="15"/>
  <c r="N12" i="15"/>
  <c r="E23" i="15"/>
  <c r="N11" i="15"/>
  <c r="Q10" i="16"/>
  <c r="N9" i="15"/>
  <c r="E21" i="15"/>
  <c r="N5" i="15"/>
  <c r="E17" i="15"/>
  <c r="L17" i="14"/>
  <c r="D29" i="14"/>
  <c r="D15" i="14"/>
  <c r="L3" i="14"/>
  <c r="R3" i="14" s="1"/>
  <c r="D26" i="14"/>
  <c r="L14" i="14"/>
  <c r="D16" i="14"/>
  <c r="L4" i="14"/>
  <c r="R4" i="14" s="1"/>
  <c r="E34" i="14"/>
  <c r="M22" i="14"/>
  <c r="M21" i="15"/>
  <c r="D33" i="15"/>
  <c r="Q9" i="16"/>
  <c r="E32" i="15"/>
  <c r="N20" i="15"/>
  <c r="D34" i="15"/>
  <c r="M22" i="15"/>
  <c r="E27" i="14"/>
  <c r="M15" i="14"/>
  <c r="D30" i="14"/>
  <c r="L18" i="14"/>
  <c r="E30" i="14"/>
  <c r="M18" i="14"/>
  <c r="E31" i="14"/>
  <c r="M19" i="14"/>
  <c r="D19" i="14"/>
  <c r="L7" i="14"/>
  <c r="R7" i="14" s="1"/>
  <c r="E28" i="15"/>
  <c r="N16" i="15"/>
  <c r="M32" i="14"/>
  <c r="E44" i="14"/>
  <c r="Z44" i="10" l="1"/>
  <c r="Z48" i="10"/>
  <c r="I61" i="10"/>
  <c r="K61" i="16"/>
  <c r="W61" i="16" s="1"/>
  <c r="K61" i="10"/>
  <c r="W61" i="10" s="1"/>
  <c r="I50" i="10"/>
  <c r="U50" i="10" s="1"/>
  <c r="K50" i="16"/>
  <c r="W50" i="16" s="1"/>
  <c r="K50" i="10"/>
  <c r="W50" i="10" s="1"/>
  <c r="I51" i="10"/>
  <c r="K51" i="16"/>
  <c r="W51" i="16" s="1"/>
  <c r="K51" i="10"/>
  <c r="W51" i="10" s="1"/>
  <c r="I58" i="10"/>
  <c r="K58" i="16"/>
  <c r="W58" i="16" s="1"/>
  <c r="K58" i="10"/>
  <c r="W58" i="10" s="1"/>
  <c r="I52" i="10"/>
  <c r="K52" i="16"/>
  <c r="W52" i="16" s="1"/>
  <c r="K52" i="10"/>
  <c r="W52" i="10" s="1"/>
  <c r="M57" i="16"/>
  <c r="Y57" i="16" s="1"/>
  <c r="Y57" i="10"/>
  <c r="M56" i="16"/>
  <c r="Y56" i="16" s="1"/>
  <c r="Y56" i="10"/>
  <c r="M60" i="16"/>
  <c r="Y60" i="16" s="1"/>
  <c r="Y60" i="10"/>
  <c r="AY70" i="2"/>
  <c r="L58" i="16"/>
  <c r="X58" i="16" s="1"/>
  <c r="X58" i="10"/>
  <c r="AV62" i="2"/>
  <c r="J50" i="16"/>
  <c r="J50" i="10"/>
  <c r="AY71" i="2"/>
  <c r="L59" i="16"/>
  <c r="X59" i="16" s="1"/>
  <c r="X59" i="10"/>
  <c r="I54" i="10"/>
  <c r="K54" i="16"/>
  <c r="W54" i="16" s="1"/>
  <c r="K54" i="10"/>
  <c r="W54" i="10" s="1"/>
  <c r="G12" i="18"/>
  <c r="H42" i="24" s="1"/>
  <c r="M52" i="16"/>
  <c r="Y52" i="16" s="1"/>
  <c r="Y52" i="10"/>
  <c r="M58" i="16"/>
  <c r="Y58" i="16" s="1"/>
  <c r="Y58" i="10"/>
  <c r="AV66" i="2"/>
  <c r="J54" i="16"/>
  <c r="V54" i="16" s="1"/>
  <c r="J54" i="10"/>
  <c r="AV71" i="2"/>
  <c r="J59" i="16"/>
  <c r="J59" i="10"/>
  <c r="V59" i="10" s="1"/>
  <c r="AP66" i="2"/>
  <c r="I54" i="16"/>
  <c r="I6" i="24"/>
  <c r="H17" i="20"/>
  <c r="AY62" i="2"/>
  <c r="L50" i="16"/>
  <c r="X50" i="16" s="1"/>
  <c r="X50" i="10"/>
  <c r="AV69" i="2"/>
  <c r="J57" i="16"/>
  <c r="J57" i="10"/>
  <c r="AV63" i="2"/>
  <c r="J51" i="16"/>
  <c r="J51" i="10"/>
  <c r="AP64" i="2"/>
  <c r="I52" i="16"/>
  <c r="AP73" i="2"/>
  <c r="I61" i="16"/>
  <c r="AP67" i="2"/>
  <c r="I55" i="16"/>
  <c r="J6" i="24"/>
  <c r="C17" i="24" s="1"/>
  <c r="E17" i="24" s="1"/>
  <c r="AY65" i="2"/>
  <c r="L53" i="16"/>
  <c r="X53" i="16" s="1"/>
  <c r="X53" i="10"/>
  <c r="I56" i="10"/>
  <c r="K56" i="16"/>
  <c r="W56" i="16" s="1"/>
  <c r="K56" i="10"/>
  <c r="W56" i="10" s="1"/>
  <c r="I71" i="10"/>
  <c r="U71" i="10" s="1"/>
  <c r="K71" i="16"/>
  <c r="W71" i="16" s="1"/>
  <c r="K71" i="10"/>
  <c r="W71" i="10" s="1"/>
  <c r="M51" i="16"/>
  <c r="Y51" i="16" s="1"/>
  <c r="Y51" i="10"/>
  <c r="M55" i="16"/>
  <c r="Y55" i="16" s="1"/>
  <c r="Y55" i="10"/>
  <c r="M59" i="16"/>
  <c r="Y59" i="16" s="1"/>
  <c r="Y59" i="10"/>
  <c r="Z45" i="10"/>
  <c r="AV64" i="2"/>
  <c r="J52" i="16"/>
  <c r="J52" i="10"/>
  <c r="V52" i="10" s="1"/>
  <c r="AV72" i="2"/>
  <c r="J60" i="16"/>
  <c r="J60" i="10"/>
  <c r="AV68" i="2"/>
  <c r="J56" i="16"/>
  <c r="J56" i="10"/>
  <c r="AV70" i="2"/>
  <c r="J58" i="16"/>
  <c r="V58" i="16" s="1"/>
  <c r="J58" i="10"/>
  <c r="AP72" i="2"/>
  <c r="I60" i="16"/>
  <c r="AV67" i="2"/>
  <c r="J55" i="16"/>
  <c r="J55" i="10"/>
  <c r="AY68" i="2"/>
  <c r="L56" i="16"/>
  <c r="X56" i="16" s="1"/>
  <c r="X56" i="10"/>
  <c r="I60" i="10"/>
  <c r="K60" i="16"/>
  <c r="W60" i="16" s="1"/>
  <c r="K60" i="10"/>
  <c r="W60" i="10" s="1"/>
  <c r="I53" i="10"/>
  <c r="K53" i="16"/>
  <c r="W53" i="16" s="1"/>
  <c r="K53" i="10"/>
  <c r="W53" i="10" s="1"/>
  <c r="AP62" i="2"/>
  <c r="I50" i="16"/>
  <c r="AP70" i="2"/>
  <c r="I58" i="16"/>
  <c r="AY72" i="2"/>
  <c r="L60" i="16"/>
  <c r="X60" i="16" s="1"/>
  <c r="X60" i="10"/>
  <c r="AY73" i="2"/>
  <c r="L61" i="16"/>
  <c r="X61" i="16" s="1"/>
  <c r="X61" i="10"/>
  <c r="I8" i="24"/>
  <c r="I57" i="10"/>
  <c r="K57" i="16"/>
  <c r="W57" i="16" s="1"/>
  <c r="K57" i="10"/>
  <c r="W57" i="10" s="1"/>
  <c r="I67" i="10"/>
  <c r="K67" i="16"/>
  <c r="W67" i="16" s="1"/>
  <c r="K67" i="10"/>
  <c r="W67" i="10" s="1"/>
  <c r="M50" i="16"/>
  <c r="Y50" i="16" s="1"/>
  <c r="Y50" i="10"/>
  <c r="M53" i="16"/>
  <c r="Y53" i="16" s="1"/>
  <c r="Y53" i="10"/>
  <c r="M54" i="16"/>
  <c r="Y54" i="16" s="1"/>
  <c r="Y54" i="10"/>
  <c r="M61" i="16"/>
  <c r="Y61" i="16" s="1"/>
  <c r="Y61" i="10"/>
  <c r="AP69" i="2"/>
  <c r="I57" i="16"/>
  <c r="AV65" i="2"/>
  <c r="J53" i="16"/>
  <c r="V53" i="16" s="1"/>
  <c r="J53" i="10"/>
  <c r="AV73" i="2"/>
  <c r="J61" i="16"/>
  <c r="J61" i="10"/>
  <c r="AY69" i="2"/>
  <c r="L57" i="16"/>
  <c r="X57" i="16" s="1"/>
  <c r="X57" i="10"/>
  <c r="AY67" i="2"/>
  <c r="L55" i="16"/>
  <c r="X55" i="16" s="1"/>
  <c r="X55" i="10"/>
  <c r="AY64" i="2"/>
  <c r="L52" i="16"/>
  <c r="X52" i="16" s="1"/>
  <c r="X52" i="10"/>
  <c r="AP68" i="2"/>
  <c r="I56" i="16"/>
  <c r="AY66" i="2"/>
  <c r="L54" i="16"/>
  <c r="X54" i="16" s="1"/>
  <c r="X54" i="10"/>
  <c r="AP71" i="2"/>
  <c r="I59" i="16"/>
  <c r="U59" i="16" s="1"/>
  <c r="AP63" i="2"/>
  <c r="I51" i="16"/>
  <c r="AP65" i="2"/>
  <c r="I53" i="16"/>
  <c r="U53" i="16" s="1"/>
  <c r="AY63" i="2"/>
  <c r="L51" i="16"/>
  <c r="X51" i="16" s="1"/>
  <c r="X51" i="10"/>
  <c r="E73" i="2"/>
  <c r="F73" i="2" s="1"/>
  <c r="C73" i="14" s="1"/>
  <c r="K12" i="18"/>
  <c r="Z40" i="10"/>
  <c r="E14" i="15"/>
  <c r="E26" i="15" s="1"/>
  <c r="Z41" i="10"/>
  <c r="Z46" i="10"/>
  <c r="Z42" i="10"/>
  <c r="Z39" i="10"/>
  <c r="Z38" i="10"/>
  <c r="Z49" i="10"/>
  <c r="E15" i="15"/>
  <c r="E27" i="15" s="1"/>
  <c r="BA65" i="2"/>
  <c r="BA67" i="2"/>
  <c r="U55" i="16"/>
  <c r="BB71" i="2"/>
  <c r="V59" i="16"/>
  <c r="BB62" i="2"/>
  <c r="V50" i="16"/>
  <c r="V50" i="10"/>
  <c r="BB65" i="2"/>
  <c r="BB69" i="2"/>
  <c r="V57" i="16"/>
  <c r="V57" i="10"/>
  <c r="BB73" i="2"/>
  <c r="BA63" i="2"/>
  <c r="BA72" i="2"/>
  <c r="BA68" i="2"/>
  <c r="U56" i="16"/>
  <c r="BB72" i="2"/>
  <c r="V60" i="16"/>
  <c r="V60" i="10"/>
  <c r="R18" i="20"/>
  <c r="T18" i="20" s="1"/>
  <c r="J28" i="24" s="1"/>
  <c r="C36" i="24" s="1"/>
  <c r="E36" i="24" s="1"/>
  <c r="J8" i="24"/>
  <c r="C19" i="24" s="1"/>
  <c r="E19" i="24" s="1"/>
  <c r="D6" i="13"/>
  <c r="BA69" i="2"/>
  <c r="BB64" i="2"/>
  <c r="V52" i="16"/>
  <c r="BA71" i="2"/>
  <c r="BA66" i="2"/>
  <c r="BB67" i="2"/>
  <c r="V55" i="10"/>
  <c r="Z55" i="10" s="1"/>
  <c r="V55" i="16"/>
  <c r="BB70" i="2"/>
  <c r="V58" i="10"/>
  <c r="BB68" i="2"/>
  <c r="V56" i="16"/>
  <c r="V56" i="10"/>
  <c r="BA62" i="2"/>
  <c r="BA73" i="2"/>
  <c r="U61" i="16"/>
  <c r="BA70" i="2"/>
  <c r="BB63" i="2"/>
  <c r="BB66" i="2"/>
  <c r="BA64" i="2"/>
  <c r="T9" i="15"/>
  <c r="D37" i="15"/>
  <c r="D49" i="15" s="1"/>
  <c r="M8" i="15"/>
  <c r="T8" i="15" s="1"/>
  <c r="M5" i="15"/>
  <c r="T5" i="15" s="1"/>
  <c r="N13" i="15"/>
  <c r="T13" i="15" s="1"/>
  <c r="C12" i="18"/>
  <c r="C13" i="18" s="1"/>
  <c r="I41" i="24" s="1"/>
  <c r="G13" i="18"/>
  <c r="I42" i="24" s="1"/>
  <c r="Z10" i="16"/>
  <c r="Z9" i="16"/>
  <c r="M14" i="15"/>
  <c r="Q3" i="16"/>
  <c r="Z3" i="16" s="1"/>
  <c r="D29" i="15"/>
  <c r="M29" i="15" s="1"/>
  <c r="R6" i="16"/>
  <c r="F18" i="16"/>
  <c r="F27" i="16"/>
  <c r="R15" i="16"/>
  <c r="F35" i="16"/>
  <c r="R23" i="16"/>
  <c r="F34" i="16"/>
  <c r="R22" i="16"/>
  <c r="F36" i="16"/>
  <c r="R24" i="16"/>
  <c r="F26" i="16"/>
  <c r="R14" i="16"/>
  <c r="F37" i="16"/>
  <c r="R25" i="16"/>
  <c r="F29" i="16"/>
  <c r="R17" i="16"/>
  <c r="F33" i="16"/>
  <c r="R21" i="16"/>
  <c r="R7" i="16"/>
  <c r="F19" i="16"/>
  <c r="F40" i="16"/>
  <c r="R28" i="16"/>
  <c r="F44" i="16"/>
  <c r="R32" i="16"/>
  <c r="Q5" i="16"/>
  <c r="Z5" i="16" s="1"/>
  <c r="M4" i="15"/>
  <c r="T4" i="15" s="1"/>
  <c r="Q12" i="16"/>
  <c r="Z12" i="16" s="1"/>
  <c r="T10" i="15"/>
  <c r="Q7" i="16"/>
  <c r="M2" i="15"/>
  <c r="T2" i="15" s="1"/>
  <c r="Q16" i="16"/>
  <c r="Z16" i="16" s="1"/>
  <c r="M11" i="15"/>
  <c r="T11" i="15" s="1"/>
  <c r="Q8" i="16"/>
  <c r="Z8" i="16" s="1"/>
  <c r="D18" i="15"/>
  <c r="M18" i="15" s="1"/>
  <c r="Q20" i="16"/>
  <c r="Z20" i="16" s="1"/>
  <c r="Q6" i="16"/>
  <c r="M12" i="15"/>
  <c r="T12" i="15" s="1"/>
  <c r="M7" i="15"/>
  <c r="M3" i="15"/>
  <c r="T3" i="15" s="1"/>
  <c r="Q11" i="16"/>
  <c r="Z11" i="16" s="1"/>
  <c r="Q4" i="16"/>
  <c r="Z4" i="16" s="1"/>
  <c r="N7" i="15"/>
  <c r="Q2" i="16"/>
  <c r="Z2" i="16" s="1"/>
  <c r="Q13" i="16"/>
  <c r="Z13" i="16" s="1"/>
  <c r="E62" i="2"/>
  <c r="F62" i="2" s="1"/>
  <c r="N6" i="13"/>
  <c r="E72" i="2"/>
  <c r="F72" i="2" s="1"/>
  <c r="C72" i="6" s="1"/>
  <c r="T47" i="8"/>
  <c r="E70" i="2"/>
  <c r="F70" i="2" s="1"/>
  <c r="C70" i="14" s="1"/>
  <c r="E63" i="2"/>
  <c r="F63" i="2" s="1"/>
  <c r="C63" i="6" s="1"/>
  <c r="E69" i="2"/>
  <c r="F69" i="2" s="1"/>
  <c r="C69" i="14" s="1"/>
  <c r="L75" i="25"/>
  <c r="F74" i="25"/>
  <c r="F75" i="25"/>
  <c r="C72" i="25"/>
  <c r="D74" i="25"/>
  <c r="H75" i="25"/>
  <c r="C74" i="25"/>
  <c r="E72" i="25"/>
  <c r="K70" i="25"/>
  <c r="G75" i="25"/>
  <c r="I73" i="25"/>
  <c r="D72" i="25"/>
  <c r="J70" i="25"/>
  <c r="I74" i="25"/>
  <c r="B12" i="21" s="1"/>
  <c r="D73" i="25"/>
  <c r="J71" i="25"/>
  <c r="I75" i="25"/>
  <c r="K73" i="25"/>
  <c r="C73" i="25"/>
  <c r="L74" i="25"/>
  <c r="H71" i="25"/>
  <c r="J74" i="25"/>
  <c r="G71" i="25"/>
  <c r="L73" i="25"/>
  <c r="G73" i="25"/>
  <c r="I71" i="25"/>
  <c r="G74" i="25"/>
  <c r="I72" i="25"/>
  <c r="D71" i="25"/>
  <c r="K75" i="25"/>
  <c r="H72" i="25"/>
  <c r="C71" i="25"/>
  <c r="H73" i="25"/>
  <c r="E70" i="25"/>
  <c r="F72" i="25"/>
  <c r="H70" i="25"/>
  <c r="D75" i="25"/>
  <c r="J73" i="25"/>
  <c r="L71" i="25"/>
  <c r="G70" i="25"/>
  <c r="C75" i="25"/>
  <c r="E73" i="25"/>
  <c r="K71" i="25"/>
  <c r="F70" i="25"/>
  <c r="E74" i="25"/>
  <c r="K72" i="25"/>
  <c r="F71" i="25"/>
  <c r="H74" i="25"/>
  <c r="D70" i="25"/>
  <c r="L70" i="25"/>
  <c r="E71" i="25"/>
  <c r="F73" i="25"/>
  <c r="C70" i="25"/>
  <c r="L72" i="25"/>
  <c r="J75" i="25"/>
  <c r="I70" i="25"/>
  <c r="E75" i="25"/>
  <c r="J72" i="25"/>
  <c r="K74" i="25"/>
  <c r="G72" i="25"/>
  <c r="R8" i="14"/>
  <c r="F87" i="25"/>
  <c r="H85" i="25"/>
  <c r="C84" i="25"/>
  <c r="E82" i="25"/>
  <c r="H86" i="25"/>
  <c r="C85" i="25"/>
  <c r="E83" i="25"/>
  <c r="L87" i="25"/>
  <c r="G86" i="25"/>
  <c r="I84" i="25"/>
  <c r="D83" i="25"/>
  <c r="I85" i="25"/>
  <c r="C87" i="25"/>
  <c r="E85" i="25"/>
  <c r="F86" i="25"/>
  <c r="G84" i="25"/>
  <c r="L86" i="25"/>
  <c r="D82" i="25"/>
  <c r="H83" i="25"/>
  <c r="F82" i="25"/>
  <c r="I86" i="25"/>
  <c r="B13" i="21" s="1"/>
  <c r="B14" i="21" s="1"/>
  <c r="C11" i="21" s="1"/>
  <c r="D85" i="25"/>
  <c r="J83" i="25"/>
  <c r="I87" i="25"/>
  <c r="D86" i="25"/>
  <c r="J84" i="25"/>
  <c r="L82" i="25"/>
  <c r="H87" i="25"/>
  <c r="C86" i="25"/>
  <c r="E84" i="25"/>
  <c r="K82" i="25"/>
  <c r="H84" i="25"/>
  <c r="J82" i="25"/>
  <c r="D84" i="25"/>
  <c r="L84" i="25"/>
  <c r="L85" i="25"/>
  <c r="I82" i="25"/>
  <c r="I83" i="25"/>
  <c r="K86" i="25"/>
  <c r="C82" i="25"/>
  <c r="G87" i="25"/>
  <c r="E86" i="25"/>
  <c r="K84" i="25"/>
  <c r="F83" i="25"/>
  <c r="E87" i="25"/>
  <c r="K85" i="25"/>
  <c r="F84" i="25"/>
  <c r="H82" i="25"/>
  <c r="D87" i="25"/>
  <c r="J85" i="25"/>
  <c r="L83" i="25"/>
  <c r="G82" i="25"/>
  <c r="G83" i="25"/>
  <c r="K87" i="25"/>
  <c r="C83" i="25"/>
  <c r="K83" i="25"/>
  <c r="J87" i="25"/>
  <c r="G85" i="25"/>
  <c r="G88" i="25" s="1"/>
  <c r="F85" i="25"/>
  <c r="J86" i="25"/>
  <c r="I6" i="13"/>
  <c r="J54" i="15"/>
  <c r="J54" i="8"/>
  <c r="S54" i="8" s="1"/>
  <c r="AZ66" i="2"/>
  <c r="I59" i="15"/>
  <c r="I59" i="8"/>
  <c r="R59" i="8" s="1"/>
  <c r="AQ71" i="2"/>
  <c r="I66" i="15"/>
  <c r="AQ78" i="2"/>
  <c r="I66" i="8"/>
  <c r="R66" i="8" s="1"/>
  <c r="AW70" i="2"/>
  <c r="AU63" i="2"/>
  <c r="U61" i="10"/>
  <c r="AS73" i="2"/>
  <c r="AW83" i="2"/>
  <c r="I112" i="15"/>
  <c r="R112" i="15" s="1"/>
  <c r="R64" i="15"/>
  <c r="U58" i="16"/>
  <c r="U58" i="10"/>
  <c r="AS70" i="2"/>
  <c r="U54" i="16"/>
  <c r="U54" i="10"/>
  <c r="AS66" i="2"/>
  <c r="AW65" i="2"/>
  <c r="H38" i="15"/>
  <c r="Q38" i="15" s="1"/>
  <c r="H38" i="8"/>
  <c r="Q38" i="8" s="1"/>
  <c r="T38" i="8" s="1"/>
  <c r="G38" i="14"/>
  <c r="O38" i="14" s="1"/>
  <c r="G38" i="6"/>
  <c r="O38" i="6" s="1"/>
  <c r="R38" i="6" s="1"/>
  <c r="BC50" i="2"/>
  <c r="AU69" i="2"/>
  <c r="J71" i="15"/>
  <c r="J71" i="8"/>
  <c r="S71" i="8" s="1"/>
  <c r="AZ83" i="2"/>
  <c r="I84" i="15"/>
  <c r="R84" i="15" s="1"/>
  <c r="I84" i="8"/>
  <c r="R84" i="8" s="1"/>
  <c r="AQ96" i="2"/>
  <c r="AW73" i="2"/>
  <c r="H59" i="15"/>
  <c r="G59" i="14"/>
  <c r="G59" i="6"/>
  <c r="O59" i="6" s="1"/>
  <c r="R59" i="6" s="1"/>
  <c r="H59" i="8"/>
  <c r="Q59" i="8" s="1"/>
  <c r="BC71" i="2"/>
  <c r="G42" i="14"/>
  <c r="O42" i="14" s="1"/>
  <c r="H42" i="8"/>
  <c r="Q42" i="8" s="1"/>
  <c r="T42" i="8" s="1"/>
  <c r="G42" i="6"/>
  <c r="O42" i="6" s="1"/>
  <c r="R42" i="6" s="1"/>
  <c r="BC54" i="2"/>
  <c r="H42" i="15"/>
  <c r="Q42" i="15" s="1"/>
  <c r="AU88" i="2"/>
  <c r="S89" i="16"/>
  <c r="AU82" i="2"/>
  <c r="V51" i="16"/>
  <c r="V51" i="10"/>
  <c r="AT63" i="2"/>
  <c r="U51" i="16"/>
  <c r="U51" i="10"/>
  <c r="AS63" i="2"/>
  <c r="S91" i="16"/>
  <c r="J101" i="15"/>
  <c r="S101" i="15" s="1"/>
  <c r="S53" i="15"/>
  <c r="AT81" i="2"/>
  <c r="J67" i="8"/>
  <c r="S67" i="8" s="1"/>
  <c r="J67" i="15"/>
  <c r="AZ79" i="2"/>
  <c r="T69" i="16"/>
  <c r="T69" i="10"/>
  <c r="AR81" i="2"/>
  <c r="S93" i="16"/>
  <c r="I53" i="15"/>
  <c r="AQ65" i="2"/>
  <c r="I53" i="8"/>
  <c r="R53" i="8" s="1"/>
  <c r="J68" i="15"/>
  <c r="J68" i="8"/>
  <c r="S68" i="8" s="1"/>
  <c r="AZ80" i="2"/>
  <c r="V61" i="16"/>
  <c r="V61" i="10"/>
  <c r="AT73" i="2"/>
  <c r="H41" i="15"/>
  <c r="Q41" i="15" s="1"/>
  <c r="G41" i="14"/>
  <c r="O41" i="14" s="1"/>
  <c r="G41" i="6"/>
  <c r="O41" i="6" s="1"/>
  <c r="R41" i="6" s="1"/>
  <c r="BC53" i="2"/>
  <c r="H41" i="8"/>
  <c r="Q41" i="8" s="1"/>
  <c r="T41" i="8" s="1"/>
  <c r="I51" i="15"/>
  <c r="I51" i="8"/>
  <c r="R51" i="8" s="1"/>
  <c r="AQ63" i="2"/>
  <c r="U57" i="16"/>
  <c r="AS69" i="2"/>
  <c r="U57" i="10"/>
  <c r="I57" i="15"/>
  <c r="I57" i="8"/>
  <c r="R57" i="8" s="1"/>
  <c r="AQ69" i="2"/>
  <c r="T49" i="8"/>
  <c r="AW64" i="2"/>
  <c r="H43" i="15"/>
  <c r="Q43" i="15" s="1"/>
  <c r="G43" i="14"/>
  <c r="O43" i="14" s="1"/>
  <c r="G43" i="6"/>
  <c r="O43" i="6" s="1"/>
  <c r="R43" i="6" s="1"/>
  <c r="BC55" i="2"/>
  <c r="H43" i="8"/>
  <c r="Q43" i="8" s="1"/>
  <c r="T43" i="8" s="1"/>
  <c r="I58" i="15"/>
  <c r="AQ70" i="2"/>
  <c r="I58" i="8"/>
  <c r="R58" i="8" s="1"/>
  <c r="F88" i="14"/>
  <c r="N88" i="14" s="1"/>
  <c r="S88" i="10"/>
  <c r="G88" i="15"/>
  <c r="P88" i="15" s="1"/>
  <c r="F88" i="6"/>
  <c r="N88" i="6" s="1"/>
  <c r="G88" i="8"/>
  <c r="P88" i="8" s="1"/>
  <c r="I62" i="15"/>
  <c r="AQ74" i="2"/>
  <c r="I62" i="8"/>
  <c r="R62" i="8" s="1"/>
  <c r="T67" i="16"/>
  <c r="T67" i="10"/>
  <c r="AR79" i="2"/>
  <c r="T60" i="16"/>
  <c r="T60" i="10"/>
  <c r="AR72" i="2"/>
  <c r="T46" i="8"/>
  <c r="R72" i="15"/>
  <c r="I120" i="15"/>
  <c r="R120" i="15" s="1"/>
  <c r="V54" i="10"/>
  <c r="AT66" i="2"/>
  <c r="AT74" i="2"/>
  <c r="S86" i="16"/>
  <c r="J105" i="15"/>
  <c r="S105" i="15" s="1"/>
  <c r="S57" i="15"/>
  <c r="AW72" i="2"/>
  <c r="T51" i="16"/>
  <c r="T51" i="10"/>
  <c r="AR63" i="2"/>
  <c r="H44" i="8"/>
  <c r="Q44" i="8" s="1"/>
  <c r="T44" i="8" s="1"/>
  <c r="H44" i="15"/>
  <c r="Q44" i="15" s="1"/>
  <c r="BC56" i="2"/>
  <c r="G44" i="14"/>
  <c r="O44" i="14" s="1"/>
  <c r="G44" i="6"/>
  <c r="O44" i="6" s="1"/>
  <c r="R44" i="6" s="1"/>
  <c r="AW69" i="2"/>
  <c r="H106" i="15"/>
  <c r="Q106" i="15" s="1"/>
  <c r="Q58" i="15"/>
  <c r="AT76" i="2"/>
  <c r="AW62" i="2"/>
  <c r="J69" i="15"/>
  <c r="J69" i="8"/>
  <c r="S69" i="8" s="1"/>
  <c r="AZ81" i="2"/>
  <c r="AW63" i="2"/>
  <c r="R54" i="15"/>
  <c r="I102" i="15"/>
  <c r="R102" i="15" s="1"/>
  <c r="T71" i="16"/>
  <c r="T71" i="10"/>
  <c r="AR83" i="2"/>
  <c r="AW66" i="2"/>
  <c r="I80" i="15"/>
  <c r="R80" i="15" s="1"/>
  <c r="I80" i="8"/>
  <c r="R80" i="8" s="1"/>
  <c r="AQ92" i="2"/>
  <c r="J65" i="8"/>
  <c r="S65" i="8" s="1"/>
  <c r="J65" i="15"/>
  <c r="AZ77" i="2"/>
  <c r="U67" i="10"/>
  <c r="AS79" i="2"/>
  <c r="AS83" i="2"/>
  <c r="U50" i="16"/>
  <c r="AS62" i="2"/>
  <c r="T39" i="8"/>
  <c r="U60" i="16"/>
  <c r="U60" i="10"/>
  <c r="AS72" i="2"/>
  <c r="AU65" i="2"/>
  <c r="V53" i="10"/>
  <c r="AT65" i="2"/>
  <c r="T68" i="16"/>
  <c r="T68" i="10"/>
  <c r="AR80" i="2"/>
  <c r="S50" i="15"/>
  <c r="J98" i="15"/>
  <c r="S98" i="15" s="1"/>
  <c r="T77" i="16"/>
  <c r="T77" i="10"/>
  <c r="AR89" i="2"/>
  <c r="H57" i="15"/>
  <c r="G57" i="14"/>
  <c r="G57" i="6"/>
  <c r="O57" i="6" s="1"/>
  <c r="R57" i="6" s="1"/>
  <c r="H57" i="8"/>
  <c r="Q57" i="8" s="1"/>
  <c r="BC69" i="2"/>
  <c r="R49" i="6"/>
  <c r="T54" i="16"/>
  <c r="T54" i="10"/>
  <c r="AR66" i="2"/>
  <c r="J100" i="15"/>
  <c r="S100" i="15" s="1"/>
  <c r="S52" i="15"/>
  <c r="T58" i="16"/>
  <c r="T58" i="10"/>
  <c r="AR70" i="2"/>
  <c r="AU84" i="2"/>
  <c r="J107" i="15"/>
  <c r="S107" i="15" s="1"/>
  <c r="S59" i="15"/>
  <c r="S92" i="16"/>
  <c r="AT83" i="2"/>
  <c r="AU73" i="2"/>
  <c r="G70" i="14"/>
  <c r="H70" i="15"/>
  <c r="H70" i="8"/>
  <c r="Q70" i="8" s="1"/>
  <c r="G70" i="6"/>
  <c r="O70" i="6" s="1"/>
  <c r="R70" i="6" s="1"/>
  <c r="BC82" i="2"/>
  <c r="J61" i="8"/>
  <c r="S61" i="8" s="1"/>
  <c r="J61" i="15"/>
  <c r="AZ73" i="2"/>
  <c r="T61" i="16"/>
  <c r="T61" i="10"/>
  <c r="AR73" i="2"/>
  <c r="I61" i="15"/>
  <c r="I61" i="8"/>
  <c r="R61" i="8" s="1"/>
  <c r="AQ73" i="2"/>
  <c r="S90" i="10"/>
  <c r="G90" i="15"/>
  <c r="P90" i="15" s="1"/>
  <c r="F90" i="14"/>
  <c r="N90" i="14" s="1"/>
  <c r="F90" i="6"/>
  <c r="N90" i="6" s="1"/>
  <c r="G90" i="8"/>
  <c r="P90" i="8" s="1"/>
  <c r="S56" i="15"/>
  <c r="J104" i="15"/>
  <c r="S104" i="15" s="1"/>
  <c r="S96" i="10"/>
  <c r="F96" i="6"/>
  <c r="N96" i="6" s="1"/>
  <c r="G96" i="15"/>
  <c r="P96" i="15" s="1"/>
  <c r="G96" i="8"/>
  <c r="P96" i="8" s="1"/>
  <c r="F96" i="14"/>
  <c r="N96" i="14" s="1"/>
  <c r="G97" i="15"/>
  <c r="P97" i="15" s="1"/>
  <c r="F97" i="14"/>
  <c r="N97" i="14" s="1"/>
  <c r="S97" i="10"/>
  <c r="G97" i="8"/>
  <c r="P97" i="8" s="1"/>
  <c r="F97" i="6"/>
  <c r="N97" i="6" s="1"/>
  <c r="U53" i="10"/>
  <c r="AS65" i="2"/>
  <c r="AW68" i="2"/>
  <c r="AW79" i="2"/>
  <c r="J51" i="15"/>
  <c r="J51" i="8"/>
  <c r="S51" i="8" s="1"/>
  <c r="AZ63" i="2"/>
  <c r="G106" i="14"/>
  <c r="O106" i="14" s="1"/>
  <c r="O58" i="14"/>
  <c r="AT70" i="2"/>
  <c r="H61" i="15"/>
  <c r="H61" i="8"/>
  <c r="Q61" i="8" s="1"/>
  <c r="G61" i="6"/>
  <c r="O61" i="6" s="1"/>
  <c r="R61" i="6" s="1"/>
  <c r="G61" i="14"/>
  <c r="BC73" i="2"/>
  <c r="I116" i="15"/>
  <c r="R116" i="15" s="1"/>
  <c r="R68" i="15"/>
  <c r="J58" i="15"/>
  <c r="J58" i="8"/>
  <c r="S58" i="8" s="1"/>
  <c r="T58" i="8" s="1"/>
  <c r="AZ70" i="2"/>
  <c r="U56" i="10"/>
  <c r="AS68" i="2"/>
  <c r="J103" i="15"/>
  <c r="S103" i="15" s="1"/>
  <c r="S55" i="15"/>
  <c r="S95" i="16"/>
  <c r="AU71" i="2"/>
  <c r="G51" i="14"/>
  <c r="H51" i="15"/>
  <c r="G51" i="6"/>
  <c r="O51" i="6" s="1"/>
  <c r="R51" i="6" s="1"/>
  <c r="H51" i="8"/>
  <c r="Q51" i="8" s="1"/>
  <c r="BC63" i="2"/>
  <c r="T64" i="16"/>
  <c r="T64" i="10"/>
  <c r="AR76" i="2"/>
  <c r="H48" i="15"/>
  <c r="Q48" i="15" s="1"/>
  <c r="G48" i="14"/>
  <c r="O48" i="14" s="1"/>
  <c r="H48" i="8"/>
  <c r="Q48" i="8" s="1"/>
  <c r="T48" i="8" s="1"/>
  <c r="BC60" i="2"/>
  <c r="G48" i="6"/>
  <c r="O48" i="6" s="1"/>
  <c r="U52" i="16"/>
  <c r="U52" i="10"/>
  <c r="AS64" i="2"/>
  <c r="AU92" i="2"/>
  <c r="AT79" i="2"/>
  <c r="AT80" i="2"/>
  <c r="T62" i="16"/>
  <c r="T62" i="10"/>
  <c r="AR74" i="2"/>
  <c r="J60" i="15"/>
  <c r="J60" i="8"/>
  <c r="S60" i="8" s="1"/>
  <c r="AZ72" i="2"/>
  <c r="J62" i="15"/>
  <c r="J62" i="8"/>
  <c r="S62" i="8" s="1"/>
  <c r="AZ74" i="2"/>
  <c r="R48" i="6"/>
  <c r="T45" i="8"/>
  <c r="AU74" i="2"/>
  <c r="I76" i="15"/>
  <c r="R76" i="15" s="1"/>
  <c r="I76" i="8"/>
  <c r="R76" i="8" s="1"/>
  <c r="AQ88" i="2"/>
  <c r="J64" i="15"/>
  <c r="J64" i="8"/>
  <c r="S64" i="8" s="1"/>
  <c r="AZ76" i="2"/>
  <c r="I55" i="15"/>
  <c r="I55" i="8"/>
  <c r="R55" i="8" s="1"/>
  <c r="AQ67" i="2"/>
  <c r="I98" i="15"/>
  <c r="R98" i="15" s="1"/>
  <c r="R50" i="15"/>
  <c r="G40" i="14"/>
  <c r="O40" i="14" s="1"/>
  <c r="H40" i="15"/>
  <c r="Q40" i="15" s="1"/>
  <c r="H40" i="8"/>
  <c r="Q40" i="8" s="1"/>
  <c r="T40" i="8" s="1"/>
  <c r="G40" i="6"/>
  <c r="O40" i="6" s="1"/>
  <c r="R40" i="6" s="1"/>
  <c r="BC52" i="2"/>
  <c r="AT84" i="2"/>
  <c r="AU67" i="2"/>
  <c r="F94" i="14"/>
  <c r="N94" i="14" s="1"/>
  <c r="G94" i="15"/>
  <c r="P94" i="15" s="1"/>
  <c r="S94" i="10"/>
  <c r="F94" i="6"/>
  <c r="N94" i="6" s="1"/>
  <c r="G94" i="8"/>
  <c r="P94" i="8" s="1"/>
  <c r="AU66" i="2"/>
  <c r="E66" i="2"/>
  <c r="F66" i="2" s="1"/>
  <c r="C66" i="14" s="1"/>
  <c r="E64" i="2"/>
  <c r="F64" i="2" s="1"/>
  <c r="C64" i="14" s="1"/>
  <c r="E67" i="2"/>
  <c r="F67" i="2" s="1"/>
  <c r="C67" i="6" s="1"/>
  <c r="R11" i="14"/>
  <c r="E65" i="2"/>
  <c r="F65" i="2" s="1"/>
  <c r="C65" i="14" s="1"/>
  <c r="E68" i="2"/>
  <c r="F68" i="2" s="1"/>
  <c r="C68" i="14" s="1"/>
  <c r="R10" i="14"/>
  <c r="C12" i="21"/>
  <c r="E12" i="21" s="1"/>
  <c r="N6" i="15"/>
  <c r="T6" i="15" s="1"/>
  <c r="P101" i="14"/>
  <c r="H102" i="14"/>
  <c r="E13" i="2"/>
  <c r="F13" i="2" s="1"/>
  <c r="E8" i="2"/>
  <c r="F8" i="2" s="1"/>
  <c r="E4" i="2"/>
  <c r="F4" i="2" s="1"/>
  <c r="E12" i="2"/>
  <c r="F12" i="2" s="1"/>
  <c r="E7" i="2"/>
  <c r="F7" i="2" s="1"/>
  <c r="E3" i="2"/>
  <c r="F3" i="2" s="1"/>
  <c r="E10" i="2"/>
  <c r="F10" i="2" s="1"/>
  <c r="E9" i="2"/>
  <c r="F9" i="2" s="1"/>
  <c r="E2" i="2"/>
  <c r="E5" i="2"/>
  <c r="F5" i="2" s="1"/>
  <c r="E11" i="2"/>
  <c r="F11" i="2" s="1"/>
  <c r="E6" i="2"/>
  <c r="F6" i="2" s="1"/>
  <c r="H43" i="24"/>
  <c r="K13" i="18"/>
  <c r="D107" i="16"/>
  <c r="P107" i="16" s="1"/>
  <c r="D103" i="16"/>
  <c r="P103" i="16" s="1"/>
  <c r="D108" i="16"/>
  <c r="P108" i="16" s="1"/>
  <c r="D104" i="16"/>
  <c r="P104" i="16" s="1"/>
  <c r="D106" i="16"/>
  <c r="P106" i="16" s="1"/>
  <c r="D102" i="16"/>
  <c r="P102" i="16" s="1"/>
  <c r="D99" i="16"/>
  <c r="P99" i="16" s="1"/>
  <c r="D109" i="16"/>
  <c r="P109" i="16" s="1"/>
  <c r="D101" i="16"/>
  <c r="P101" i="16" s="1"/>
  <c r="D105" i="16"/>
  <c r="P105" i="16" s="1"/>
  <c r="D98" i="16"/>
  <c r="P98" i="16" s="1"/>
  <c r="D100" i="16"/>
  <c r="P100" i="16" s="1"/>
  <c r="C15" i="14"/>
  <c r="C15" i="6"/>
  <c r="S15" i="6" s="1"/>
  <c r="C19" i="14"/>
  <c r="C19" i="6"/>
  <c r="S19" i="6" s="1"/>
  <c r="C23" i="14"/>
  <c r="C23" i="6"/>
  <c r="S23" i="6" s="1"/>
  <c r="E11" i="21"/>
  <c r="D11" i="21"/>
  <c r="D14" i="24" s="1"/>
  <c r="C13" i="21"/>
  <c r="E95" i="2"/>
  <c r="F95" i="2" s="1"/>
  <c r="E91" i="2"/>
  <c r="F91" i="2" s="1"/>
  <c r="E87" i="2"/>
  <c r="F87" i="2" s="1"/>
  <c r="E96" i="2"/>
  <c r="F96" i="2" s="1"/>
  <c r="E92" i="2"/>
  <c r="F92" i="2" s="1"/>
  <c r="E88" i="2"/>
  <c r="F88" i="2" s="1"/>
  <c r="E97" i="2"/>
  <c r="F97" i="2" s="1"/>
  <c r="E93" i="2"/>
  <c r="F93" i="2" s="1"/>
  <c r="E89" i="2"/>
  <c r="F89" i="2" s="1"/>
  <c r="E90" i="2"/>
  <c r="F90" i="2" s="1"/>
  <c r="E94" i="2"/>
  <c r="F94" i="2" s="1"/>
  <c r="E86" i="2"/>
  <c r="E48" i="2"/>
  <c r="F48" i="2" s="1"/>
  <c r="E38" i="2"/>
  <c r="E49" i="2"/>
  <c r="F49" i="2" s="1"/>
  <c r="E44" i="2"/>
  <c r="F44" i="2" s="1"/>
  <c r="E42" i="2"/>
  <c r="F42" i="2" s="1"/>
  <c r="E40" i="2"/>
  <c r="F40" i="2" s="1"/>
  <c r="E46" i="2"/>
  <c r="F46" i="2" s="1"/>
  <c r="E41" i="2"/>
  <c r="F41" i="2" s="1"/>
  <c r="E43" i="2"/>
  <c r="F43" i="2" s="1"/>
  <c r="E39" i="2"/>
  <c r="F39" i="2" s="1"/>
  <c r="E47" i="2"/>
  <c r="F47" i="2" s="1"/>
  <c r="E45" i="2"/>
  <c r="F45" i="2" s="1"/>
  <c r="C16" i="6"/>
  <c r="S16" i="6" s="1"/>
  <c r="C16" i="14"/>
  <c r="C20" i="14"/>
  <c r="C20" i="6"/>
  <c r="S20" i="6" s="1"/>
  <c r="C24" i="14"/>
  <c r="C24" i="6"/>
  <c r="S24" i="6" s="1"/>
  <c r="E59" i="2"/>
  <c r="F59" i="2" s="1"/>
  <c r="E55" i="2"/>
  <c r="F55" i="2" s="1"/>
  <c r="E60" i="2"/>
  <c r="F60" i="2" s="1"/>
  <c r="E56" i="2"/>
  <c r="F56" i="2" s="1"/>
  <c r="E52" i="2"/>
  <c r="F52" i="2" s="1"/>
  <c r="E61" i="2"/>
  <c r="F61" i="2" s="1"/>
  <c r="E57" i="2"/>
  <c r="F57" i="2" s="1"/>
  <c r="E53" i="2"/>
  <c r="F53" i="2" s="1"/>
  <c r="E54" i="2"/>
  <c r="F54" i="2" s="1"/>
  <c r="E51" i="2"/>
  <c r="F51" i="2" s="1"/>
  <c r="E58" i="2"/>
  <c r="F58" i="2" s="1"/>
  <c r="E50" i="2"/>
  <c r="C71" i="14"/>
  <c r="C71" i="6"/>
  <c r="E83" i="2"/>
  <c r="F83" i="2" s="1"/>
  <c r="E79" i="2"/>
  <c r="F79" i="2" s="1"/>
  <c r="E75" i="2"/>
  <c r="F75" i="2" s="1"/>
  <c r="E84" i="2"/>
  <c r="F84" i="2" s="1"/>
  <c r="E80" i="2"/>
  <c r="F80" i="2" s="1"/>
  <c r="E76" i="2"/>
  <c r="F76" i="2" s="1"/>
  <c r="E85" i="2"/>
  <c r="F85" i="2" s="1"/>
  <c r="E81" i="2"/>
  <c r="F81" i="2" s="1"/>
  <c r="E77" i="2"/>
  <c r="F77" i="2" s="1"/>
  <c r="E82" i="2"/>
  <c r="F82" i="2" s="1"/>
  <c r="E74" i="2"/>
  <c r="E78" i="2"/>
  <c r="F78" i="2" s="1"/>
  <c r="E35" i="2"/>
  <c r="F35" i="2" s="1"/>
  <c r="E31" i="2"/>
  <c r="F31" i="2" s="1"/>
  <c r="E28" i="2"/>
  <c r="F28" i="2" s="1"/>
  <c r="E27" i="2"/>
  <c r="F27" i="2" s="1"/>
  <c r="E26" i="2"/>
  <c r="E36" i="2"/>
  <c r="F36" i="2" s="1"/>
  <c r="E32" i="2"/>
  <c r="F32" i="2" s="1"/>
  <c r="E33" i="2"/>
  <c r="F33" i="2" s="1"/>
  <c r="E30" i="2"/>
  <c r="F30" i="2" s="1"/>
  <c r="E37" i="2"/>
  <c r="F37" i="2" s="1"/>
  <c r="E29" i="2"/>
  <c r="F29" i="2" s="1"/>
  <c r="E34" i="2"/>
  <c r="F34" i="2" s="1"/>
  <c r="C17" i="14"/>
  <c r="C17" i="6"/>
  <c r="S17" i="6" s="1"/>
  <c r="C21" i="6"/>
  <c r="S21" i="6" s="1"/>
  <c r="C21" i="14"/>
  <c r="C25" i="14"/>
  <c r="C25" i="6"/>
  <c r="S25" i="6" s="1"/>
  <c r="D6" i="19"/>
  <c r="G6" i="19" s="1"/>
  <c r="F14" i="2"/>
  <c r="C18" i="14"/>
  <c r="C18" i="6"/>
  <c r="S18" i="6" s="1"/>
  <c r="C22" i="14"/>
  <c r="C22" i="6"/>
  <c r="S22" i="6" s="1"/>
  <c r="E36" i="14"/>
  <c r="M36" i="14" s="1"/>
  <c r="E28" i="14"/>
  <c r="L25" i="14"/>
  <c r="R25" i="14" s="1"/>
  <c r="R21" i="14"/>
  <c r="D33" i="14"/>
  <c r="L33" i="14" s="1"/>
  <c r="R17" i="14"/>
  <c r="R18" i="14"/>
  <c r="R14" i="14"/>
  <c r="L37" i="14"/>
  <c r="D49" i="14"/>
  <c r="M24" i="15"/>
  <c r="D36" i="15"/>
  <c r="E37" i="15"/>
  <c r="N25" i="15"/>
  <c r="T25" i="15" s="1"/>
  <c r="D42" i="14"/>
  <c r="L30" i="14"/>
  <c r="D46" i="15"/>
  <c r="M34" i="15"/>
  <c r="Q17" i="16"/>
  <c r="E46" i="14"/>
  <c r="M34" i="14"/>
  <c r="D28" i="14"/>
  <c r="L16" i="14"/>
  <c r="R16" i="14" s="1"/>
  <c r="D38" i="14"/>
  <c r="L26" i="14"/>
  <c r="E29" i="15"/>
  <c r="N17" i="15"/>
  <c r="T17" i="15" s="1"/>
  <c r="M19" i="15"/>
  <c r="D31" i="15"/>
  <c r="Q15" i="16"/>
  <c r="E38" i="14"/>
  <c r="M26" i="14"/>
  <c r="D35" i="15"/>
  <c r="M23" i="15"/>
  <c r="Q14" i="16"/>
  <c r="D32" i="15"/>
  <c r="M20" i="15"/>
  <c r="T20" i="15" s="1"/>
  <c r="Q28" i="16"/>
  <c r="E40" i="15"/>
  <c r="N28" i="15"/>
  <c r="D31" i="14"/>
  <c r="L19" i="14"/>
  <c r="R19" i="14" s="1"/>
  <c r="E42" i="14"/>
  <c r="M30" i="14"/>
  <c r="Q24" i="16"/>
  <c r="Q18" i="16"/>
  <c r="Q22" i="16"/>
  <c r="E35" i="15"/>
  <c r="N23" i="15"/>
  <c r="D28" i="15"/>
  <c r="M16" i="15"/>
  <c r="T16" i="15" s="1"/>
  <c r="E47" i="14"/>
  <c r="M35" i="14"/>
  <c r="E41" i="14"/>
  <c r="M29" i="14"/>
  <c r="N22" i="15"/>
  <c r="T22" i="15" s="1"/>
  <c r="E34" i="15"/>
  <c r="Q19" i="16"/>
  <c r="Q25" i="16"/>
  <c r="M44" i="14"/>
  <c r="E56" i="14"/>
  <c r="N15" i="15"/>
  <c r="E39" i="14"/>
  <c r="M27" i="14"/>
  <c r="N32" i="15"/>
  <c r="E44" i="15"/>
  <c r="Q21" i="16"/>
  <c r="Q23" i="16"/>
  <c r="D27" i="14"/>
  <c r="L15" i="14"/>
  <c r="R15" i="14" s="1"/>
  <c r="L29" i="14"/>
  <c r="D41" i="14"/>
  <c r="N21" i="15"/>
  <c r="T21" i="15" s="1"/>
  <c r="E33" i="15"/>
  <c r="D27" i="15"/>
  <c r="M15" i="15"/>
  <c r="D36" i="14"/>
  <c r="L24" i="14"/>
  <c r="R24" i="14" s="1"/>
  <c r="N18" i="15"/>
  <c r="E30" i="15"/>
  <c r="E49" i="14"/>
  <c r="M37" i="14"/>
  <c r="R22" i="14"/>
  <c r="E31" i="15"/>
  <c r="N19" i="15"/>
  <c r="D38" i="15"/>
  <c r="M26" i="15"/>
  <c r="E43" i="14"/>
  <c r="M31" i="14"/>
  <c r="D45" i="15"/>
  <c r="M33" i="15"/>
  <c r="N24" i="15"/>
  <c r="E36" i="15"/>
  <c r="D35" i="14"/>
  <c r="L23" i="14"/>
  <c r="R23" i="14" s="1"/>
  <c r="E45" i="14"/>
  <c r="M33" i="14"/>
  <c r="D32" i="14"/>
  <c r="L20" i="14"/>
  <c r="R20" i="14" s="1"/>
  <c r="D46" i="14"/>
  <c r="L34" i="14"/>
  <c r="Z52" i="10" l="1"/>
  <c r="Z59" i="10"/>
  <c r="I83" i="10"/>
  <c r="K83" i="16"/>
  <c r="W83" i="16" s="1"/>
  <c r="K83" i="10"/>
  <c r="W83" i="10" s="1"/>
  <c r="AY84" i="2"/>
  <c r="L72" i="16"/>
  <c r="X72" i="16" s="1"/>
  <c r="X72" i="10"/>
  <c r="AP85" i="2"/>
  <c r="I73" i="16"/>
  <c r="U73" i="16" s="1"/>
  <c r="AV81" i="2"/>
  <c r="J69" i="16"/>
  <c r="J69" i="10"/>
  <c r="AY83" i="2"/>
  <c r="L71" i="16"/>
  <c r="X71" i="16" s="1"/>
  <c r="X71" i="10"/>
  <c r="I63" i="10"/>
  <c r="K63" i="16"/>
  <c r="W63" i="16" s="1"/>
  <c r="K63" i="10"/>
  <c r="W63" i="10" s="1"/>
  <c r="I62" i="10"/>
  <c r="K62" i="16"/>
  <c r="W62" i="16" s="1"/>
  <c r="K62" i="10"/>
  <c r="W62" i="10" s="1"/>
  <c r="I69" i="10"/>
  <c r="K69" i="16"/>
  <c r="W69" i="16" s="1"/>
  <c r="K69" i="10"/>
  <c r="W69" i="10" s="1"/>
  <c r="K76" i="25"/>
  <c r="G76" i="25"/>
  <c r="M63" i="16"/>
  <c r="Y63" i="16" s="1"/>
  <c r="Y63" i="10"/>
  <c r="M67" i="16"/>
  <c r="Y67" i="16" s="1"/>
  <c r="Y67" i="10"/>
  <c r="Z50" i="10"/>
  <c r="AP77" i="2"/>
  <c r="I65" i="16"/>
  <c r="U65" i="16" s="1"/>
  <c r="AP83" i="2"/>
  <c r="I71" i="16"/>
  <c r="AY76" i="2"/>
  <c r="L64" i="16"/>
  <c r="X64" i="16" s="1"/>
  <c r="X64" i="10"/>
  <c r="AV77" i="2"/>
  <c r="J65" i="16"/>
  <c r="J65" i="10"/>
  <c r="V65" i="10" s="1"/>
  <c r="AY85" i="2"/>
  <c r="L73" i="16"/>
  <c r="X73" i="16" s="1"/>
  <c r="X73" i="10"/>
  <c r="AY80" i="2"/>
  <c r="L68" i="16"/>
  <c r="X68" i="16" s="1"/>
  <c r="X68" i="10"/>
  <c r="AV82" i="2"/>
  <c r="J70" i="16"/>
  <c r="V70" i="16" s="1"/>
  <c r="J70" i="10"/>
  <c r="AV75" i="2"/>
  <c r="J63" i="16"/>
  <c r="J63" i="10"/>
  <c r="V63" i="10" s="1"/>
  <c r="AV78" i="2"/>
  <c r="J66" i="16"/>
  <c r="J66" i="10"/>
  <c r="M66" i="16"/>
  <c r="Y66" i="16" s="1"/>
  <c r="Y66" i="10"/>
  <c r="M68" i="16"/>
  <c r="Y68" i="16" s="1"/>
  <c r="Y68" i="10"/>
  <c r="M65" i="16"/>
  <c r="Y65" i="16" s="1"/>
  <c r="Y65" i="10"/>
  <c r="AY79" i="2"/>
  <c r="L67" i="16"/>
  <c r="X67" i="16" s="1"/>
  <c r="X67" i="10"/>
  <c r="AV79" i="2"/>
  <c r="J67" i="16"/>
  <c r="J67" i="10"/>
  <c r="AV80" i="2"/>
  <c r="J68" i="16"/>
  <c r="J68" i="10"/>
  <c r="I72" i="10"/>
  <c r="K72" i="16"/>
  <c r="W72" i="16" s="1"/>
  <c r="K72" i="10"/>
  <c r="W72" i="10" s="1"/>
  <c r="I73" i="10"/>
  <c r="K73" i="16"/>
  <c r="W73" i="16" s="1"/>
  <c r="K73" i="10"/>
  <c r="W73" i="10" s="1"/>
  <c r="M70" i="16"/>
  <c r="Y70" i="16" s="1"/>
  <c r="Y70" i="10"/>
  <c r="M72" i="16"/>
  <c r="Y72" i="16" s="1"/>
  <c r="Y72" i="10"/>
  <c r="M69" i="16"/>
  <c r="Y69" i="16" s="1"/>
  <c r="Y69" i="10"/>
  <c r="M71" i="16"/>
  <c r="Y71" i="16" s="1"/>
  <c r="Y71" i="10"/>
  <c r="AP80" i="2"/>
  <c r="I68" i="16"/>
  <c r="AV85" i="2"/>
  <c r="J73" i="16"/>
  <c r="V73" i="16" s="1"/>
  <c r="J73" i="10"/>
  <c r="AP82" i="2"/>
  <c r="I70" i="16"/>
  <c r="AP84" i="2"/>
  <c r="I72" i="16"/>
  <c r="AV76" i="2"/>
  <c r="J64" i="16"/>
  <c r="J64" i="10"/>
  <c r="AY77" i="2"/>
  <c r="L65" i="16"/>
  <c r="X65" i="16" s="1"/>
  <c r="X65" i="10"/>
  <c r="AP79" i="2"/>
  <c r="I67" i="16"/>
  <c r="AP76" i="2"/>
  <c r="I64" i="16"/>
  <c r="AV83" i="2"/>
  <c r="J71" i="16"/>
  <c r="J71" i="10"/>
  <c r="AY82" i="2"/>
  <c r="L70" i="16"/>
  <c r="X70" i="16" s="1"/>
  <c r="X70" i="10"/>
  <c r="I68" i="10"/>
  <c r="K68" i="16"/>
  <c r="W68" i="16" s="1"/>
  <c r="K68" i="10"/>
  <c r="W68" i="10" s="1"/>
  <c r="I70" i="10"/>
  <c r="K70" i="16"/>
  <c r="W70" i="16" s="1"/>
  <c r="K70" i="10"/>
  <c r="W70" i="10" s="1"/>
  <c r="AY78" i="2"/>
  <c r="L66" i="16"/>
  <c r="X66" i="16" s="1"/>
  <c r="X66" i="10"/>
  <c r="AP74" i="2"/>
  <c r="I62" i="16"/>
  <c r="I79" i="10"/>
  <c r="K79" i="16"/>
  <c r="W79" i="16" s="1"/>
  <c r="K79" i="10"/>
  <c r="W79" i="10" s="1"/>
  <c r="I66" i="10"/>
  <c r="U66" i="10" s="1"/>
  <c r="K66" i="16"/>
  <c r="W66" i="16" s="1"/>
  <c r="K66" i="10"/>
  <c r="W66" i="10" s="1"/>
  <c r="I64" i="10"/>
  <c r="K64" i="16"/>
  <c r="W64" i="16" s="1"/>
  <c r="K64" i="10"/>
  <c r="W64" i="10" s="1"/>
  <c r="I65" i="10"/>
  <c r="K65" i="16"/>
  <c r="W65" i="16" s="1"/>
  <c r="K65" i="10"/>
  <c r="W65" i="10" s="1"/>
  <c r="M64" i="16"/>
  <c r="Y64" i="16" s="1"/>
  <c r="Y64" i="10"/>
  <c r="M73" i="16"/>
  <c r="Y73" i="16" s="1"/>
  <c r="Y73" i="10"/>
  <c r="M62" i="16"/>
  <c r="Y62" i="16" s="1"/>
  <c r="Y62" i="10"/>
  <c r="AY75" i="2"/>
  <c r="L63" i="16"/>
  <c r="X63" i="16" s="1"/>
  <c r="X63" i="10"/>
  <c r="AP75" i="2"/>
  <c r="I63" i="16"/>
  <c r="AY81" i="2"/>
  <c r="L69" i="16"/>
  <c r="X69" i="16" s="1"/>
  <c r="X69" i="10"/>
  <c r="AP81" i="2"/>
  <c r="I69" i="16"/>
  <c r="U69" i="16" s="1"/>
  <c r="AV84" i="2"/>
  <c r="J72" i="16"/>
  <c r="J72" i="10"/>
  <c r="AY74" i="2"/>
  <c r="L62" i="16"/>
  <c r="X62" i="16" s="1"/>
  <c r="X62" i="10"/>
  <c r="AP78" i="2"/>
  <c r="I66" i="16"/>
  <c r="AV74" i="2"/>
  <c r="J62" i="16"/>
  <c r="J62" i="10"/>
  <c r="C73" i="6"/>
  <c r="N14" i="15"/>
  <c r="T14" i="15" s="1"/>
  <c r="Z58" i="10"/>
  <c r="H41" i="24"/>
  <c r="H48" i="24" s="1"/>
  <c r="Z56" i="10"/>
  <c r="Z53" i="10"/>
  <c r="Z51" i="10"/>
  <c r="M37" i="15"/>
  <c r="Z54" i="10"/>
  <c r="Z61" i="10"/>
  <c r="W14" i="19"/>
  <c r="Z60" i="10"/>
  <c r="Z57" i="10"/>
  <c r="BA85" i="2"/>
  <c r="BB76" i="2"/>
  <c r="V64" i="16"/>
  <c r="V64" i="10"/>
  <c r="BA80" i="2"/>
  <c r="BA75" i="2"/>
  <c r="BB74" i="2"/>
  <c r="V62" i="16"/>
  <c r="V62" i="10"/>
  <c r="O13" i="19"/>
  <c r="L76" i="25"/>
  <c r="BB79" i="2"/>
  <c r="V67" i="16"/>
  <c r="V67" i="10"/>
  <c r="BA83" i="2"/>
  <c r="U71" i="16"/>
  <c r="BB77" i="2"/>
  <c r="BA79" i="2"/>
  <c r="U67" i="16"/>
  <c r="BA76" i="2"/>
  <c r="BA74" i="2"/>
  <c r="BB75" i="2"/>
  <c r="BA82" i="2"/>
  <c r="BB82" i="2"/>
  <c r="V70" i="10"/>
  <c r="BA81" i="2"/>
  <c r="BB84" i="2"/>
  <c r="V72" i="16"/>
  <c r="V72" i="10"/>
  <c r="BA84" i="2"/>
  <c r="BB81" i="2"/>
  <c r="V69" i="16"/>
  <c r="V69" i="10"/>
  <c r="BB78" i="2"/>
  <c r="BB80" i="2"/>
  <c r="V68" i="16"/>
  <c r="V68" i="10"/>
  <c r="BA78" i="2"/>
  <c r="BB85" i="2"/>
  <c r="BB83" i="2"/>
  <c r="V71" i="16"/>
  <c r="V71" i="10"/>
  <c r="BA77" i="2"/>
  <c r="Z25" i="16"/>
  <c r="Z28" i="16"/>
  <c r="Z23" i="16"/>
  <c r="Z24" i="16"/>
  <c r="D41" i="15"/>
  <c r="D53" i="15" s="1"/>
  <c r="Z21" i="16"/>
  <c r="Z6" i="16"/>
  <c r="Z7" i="16"/>
  <c r="F31" i="16"/>
  <c r="R19" i="16"/>
  <c r="Z19" i="16" s="1"/>
  <c r="Z22" i="16"/>
  <c r="Z14" i="16"/>
  <c r="Z17" i="16"/>
  <c r="F56" i="16"/>
  <c r="R44" i="16"/>
  <c r="F41" i="16"/>
  <c r="R29" i="16"/>
  <c r="F38" i="16"/>
  <c r="R26" i="16"/>
  <c r="F46" i="16"/>
  <c r="R34" i="16"/>
  <c r="F39" i="16"/>
  <c r="R27" i="16"/>
  <c r="Z15" i="16"/>
  <c r="F30" i="16"/>
  <c r="R18" i="16"/>
  <c r="Z18" i="16" s="1"/>
  <c r="F52" i="16"/>
  <c r="R40" i="16"/>
  <c r="F45" i="16"/>
  <c r="R33" i="16"/>
  <c r="F49" i="16"/>
  <c r="R37" i="16"/>
  <c r="F48" i="16"/>
  <c r="R36" i="16"/>
  <c r="F47" i="16"/>
  <c r="R35" i="16"/>
  <c r="C63" i="14"/>
  <c r="T7" i="15"/>
  <c r="N5" i="19" s="1"/>
  <c r="T18" i="15"/>
  <c r="D30" i="15"/>
  <c r="D42" i="15" s="1"/>
  <c r="D54" i="15" s="1"/>
  <c r="C70" i="6"/>
  <c r="S70" i="6" s="1"/>
  <c r="C72" i="14"/>
  <c r="C69" i="6"/>
  <c r="C88" i="25"/>
  <c r="M13" i="2" s="1"/>
  <c r="N13" i="2" s="1"/>
  <c r="F88" i="25"/>
  <c r="W13" i="19"/>
  <c r="L88" i="25"/>
  <c r="J88" i="25"/>
  <c r="M96" i="2" s="1"/>
  <c r="N96" i="2" s="1"/>
  <c r="H88" i="25"/>
  <c r="E88" i="25"/>
  <c r="M27" i="2" s="1"/>
  <c r="N27" i="2" s="1"/>
  <c r="I76" i="25"/>
  <c r="I82" i="2" s="1"/>
  <c r="J82" i="2" s="1"/>
  <c r="F76" i="25"/>
  <c r="I38" i="2" s="1"/>
  <c r="J38" i="2" s="1"/>
  <c r="H76" i="25"/>
  <c r="C76" i="25"/>
  <c r="I11" i="2" s="1"/>
  <c r="J11" i="2" s="1"/>
  <c r="J76" i="25"/>
  <c r="I90" i="2" s="1"/>
  <c r="J90" i="2" s="1"/>
  <c r="C90" i="15" s="1"/>
  <c r="D76" i="25"/>
  <c r="I21" i="2" s="1"/>
  <c r="J21" i="2" s="1"/>
  <c r="E76" i="25"/>
  <c r="D88" i="25"/>
  <c r="M24" i="2" s="1"/>
  <c r="N24" i="2" s="1"/>
  <c r="F5" i="19"/>
  <c r="I45" i="2"/>
  <c r="J45" i="2" s="1"/>
  <c r="C45" i="15" s="1"/>
  <c r="C65" i="6"/>
  <c r="K88" i="25"/>
  <c r="O14" i="19"/>
  <c r="I88" i="25"/>
  <c r="M83" i="2" s="1"/>
  <c r="N83" i="2" s="1"/>
  <c r="T57" i="8"/>
  <c r="C66" i="6"/>
  <c r="M68" i="2"/>
  <c r="N68" i="2" s="1"/>
  <c r="M65" i="2"/>
  <c r="N65" i="2" s="1"/>
  <c r="M67" i="2"/>
  <c r="N67" i="2" s="1"/>
  <c r="M64" i="2"/>
  <c r="N64" i="2" s="1"/>
  <c r="M70" i="2"/>
  <c r="N70" i="2" s="1"/>
  <c r="M71" i="2"/>
  <c r="N71" i="2" s="1"/>
  <c r="M73" i="2"/>
  <c r="N73" i="2" s="1"/>
  <c r="M66" i="2"/>
  <c r="N66" i="2" s="1"/>
  <c r="M63" i="2"/>
  <c r="N63" i="2" s="1"/>
  <c r="M72" i="2"/>
  <c r="N72" i="2" s="1"/>
  <c r="M69" i="2"/>
  <c r="N69" i="2" s="1"/>
  <c r="M62" i="2"/>
  <c r="N62" i="2" s="1"/>
  <c r="M79" i="2"/>
  <c r="N79" i="2" s="1"/>
  <c r="M84" i="2"/>
  <c r="N84" i="2" s="1"/>
  <c r="C67" i="14"/>
  <c r="C14" i="21"/>
  <c r="C64" i="6"/>
  <c r="S94" i="16"/>
  <c r="H52" i="15"/>
  <c r="G52" i="14"/>
  <c r="H52" i="8"/>
  <c r="Q52" i="8" s="1"/>
  <c r="T52" i="8" s="1"/>
  <c r="BC64" i="2"/>
  <c r="G52" i="6"/>
  <c r="O52" i="6" s="1"/>
  <c r="R52" i="6" s="1"/>
  <c r="AU86" i="2"/>
  <c r="T89" i="10"/>
  <c r="V65" i="16"/>
  <c r="AT77" i="2"/>
  <c r="J77" i="15"/>
  <c r="S77" i="15" s="1"/>
  <c r="J77" i="8"/>
  <c r="S77" i="8" s="1"/>
  <c r="AZ89" i="2"/>
  <c r="T83" i="16"/>
  <c r="T83" i="10"/>
  <c r="AR95" i="2"/>
  <c r="S88" i="16"/>
  <c r="V73" i="10"/>
  <c r="AT85" i="2"/>
  <c r="J79" i="15"/>
  <c r="S79" i="15" s="1"/>
  <c r="J79" i="8"/>
  <c r="S79" i="8" s="1"/>
  <c r="AZ91" i="2"/>
  <c r="AU94" i="2"/>
  <c r="S113" i="16"/>
  <c r="S101" i="16"/>
  <c r="AW85" i="2"/>
  <c r="I96" i="15"/>
  <c r="R96" i="15" s="1"/>
  <c r="I96" i="8"/>
  <c r="R96" i="8" s="1"/>
  <c r="AU81" i="2"/>
  <c r="D7" i="13"/>
  <c r="U66" i="16"/>
  <c r="AS78" i="2"/>
  <c r="U70" i="16"/>
  <c r="U70" i="10"/>
  <c r="AS82" i="2"/>
  <c r="U73" i="10"/>
  <c r="AS85" i="2"/>
  <c r="AU79" i="2"/>
  <c r="AT96" i="2"/>
  <c r="I103" i="15"/>
  <c r="R103" i="15" s="1"/>
  <c r="R55" i="15"/>
  <c r="S64" i="15"/>
  <c r="J112" i="15"/>
  <c r="S112" i="15" s="1"/>
  <c r="J74" i="15"/>
  <c r="S74" i="15" s="1"/>
  <c r="J74" i="8"/>
  <c r="S74" i="8" s="1"/>
  <c r="AZ86" i="2"/>
  <c r="J108" i="15"/>
  <c r="S108" i="15" s="1"/>
  <c r="S60" i="15"/>
  <c r="G63" i="14"/>
  <c r="H63" i="15"/>
  <c r="G63" i="6"/>
  <c r="O63" i="6" s="1"/>
  <c r="R63" i="6" s="1"/>
  <c r="S63" i="6" s="1"/>
  <c r="H63" i="8"/>
  <c r="Q63" i="8" s="1"/>
  <c r="BC75" i="2"/>
  <c r="O51" i="14"/>
  <c r="G99" i="14"/>
  <c r="O99" i="14" s="1"/>
  <c r="O61" i="14"/>
  <c r="G109" i="14"/>
  <c r="O109" i="14" s="1"/>
  <c r="AW91" i="2"/>
  <c r="AU85" i="2"/>
  <c r="AT95" i="2"/>
  <c r="S104" i="16"/>
  <c r="S116" i="16"/>
  <c r="G105" i="14"/>
  <c r="O105" i="14" s="1"/>
  <c r="O57" i="14"/>
  <c r="T80" i="16"/>
  <c r="AR92" i="2"/>
  <c r="T80" i="10"/>
  <c r="U79" i="10"/>
  <c r="AS91" i="2"/>
  <c r="S65" i="15"/>
  <c r="J113" i="15"/>
  <c r="S113" i="15" s="1"/>
  <c r="AW78" i="2"/>
  <c r="AW75" i="2"/>
  <c r="J81" i="15"/>
  <c r="S81" i="15" s="1"/>
  <c r="J81" i="8"/>
  <c r="S81" i="8" s="1"/>
  <c r="AZ93" i="2"/>
  <c r="AT88" i="2"/>
  <c r="AW84" i="2"/>
  <c r="S110" i="16"/>
  <c r="S98" i="16"/>
  <c r="T79" i="16"/>
  <c r="T79" i="10"/>
  <c r="AR91" i="2"/>
  <c r="I74" i="15"/>
  <c r="R74" i="15" s="1"/>
  <c r="AQ86" i="2"/>
  <c r="I74" i="8"/>
  <c r="R74" i="8" s="1"/>
  <c r="H55" i="15"/>
  <c r="G55" i="14"/>
  <c r="G55" i="6"/>
  <c r="O55" i="6" s="1"/>
  <c r="R55" i="6" s="1"/>
  <c r="H55" i="8"/>
  <c r="Q55" i="8" s="1"/>
  <c r="T55" i="8" s="1"/>
  <c r="BC67" i="2"/>
  <c r="AW76" i="2"/>
  <c r="I69" i="8"/>
  <c r="R69" i="8" s="1"/>
  <c r="I69" i="15"/>
  <c r="AQ81" i="2"/>
  <c r="U69" i="10"/>
  <c r="AS81" i="2"/>
  <c r="R51" i="15"/>
  <c r="I99" i="15"/>
  <c r="R99" i="15" s="1"/>
  <c r="S117" i="16"/>
  <c r="S105" i="16"/>
  <c r="AT93" i="2"/>
  <c r="V63" i="16"/>
  <c r="AT75" i="2"/>
  <c r="G107" i="14"/>
  <c r="O107" i="14" s="1"/>
  <c r="O59" i="14"/>
  <c r="AW77" i="2"/>
  <c r="AW95" i="2"/>
  <c r="I78" i="8"/>
  <c r="R78" i="8" s="1"/>
  <c r="I78" i="15"/>
  <c r="R78" i="15" s="1"/>
  <c r="AQ90" i="2"/>
  <c r="R59" i="15"/>
  <c r="I107" i="15"/>
  <c r="R107" i="15" s="1"/>
  <c r="S54" i="15"/>
  <c r="J102" i="15"/>
  <c r="S102" i="15" s="1"/>
  <c r="AT92" i="2"/>
  <c r="Q51" i="15"/>
  <c r="H99" i="15"/>
  <c r="Q99" i="15" s="1"/>
  <c r="U68" i="16"/>
  <c r="U68" i="10"/>
  <c r="AS80" i="2"/>
  <c r="H73" i="15"/>
  <c r="G73" i="14"/>
  <c r="G73" i="6"/>
  <c r="O73" i="6" s="1"/>
  <c r="R73" i="6" s="1"/>
  <c r="S73" i="6" s="1"/>
  <c r="H73" i="8"/>
  <c r="Q73" i="8" s="1"/>
  <c r="BC85" i="2"/>
  <c r="S96" i="16"/>
  <c r="J76" i="15"/>
  <c r="S76" i="15" s="1"/>
  <c r="J76" i="8"/>
  <c r="S76" i="8" s="1"/>
  <c r="AZ88" i="2"/>
  <c r="J72" i="15"/>
  <c r="J72" i="8"/>
  <c r="S72" i="8" s="1"/>
  <c r="AZ84" i="2"/>
  <c r="U64" i="16"/>
  <c r="U64" i="10"/>
  <c r="AS76" i="2"/>
  <c r="G60" i="14"/>
  <c r="H60" i="8"/>
  <c r="Q60" i="8" s="1"/>
  <c r="T60" i="8" s="1"/>
  <c r="G60" i="6"/>
  <c r="O60" i="6" s="1"/>
  <c r="R60" i="6" s="1"/>
  <c r="BC72" i="2"/>
  <c r="H60" i="15"/>
  <c r="T76" i="16"/>
  <c r="T76" i="10"/>
  <c r="AR88" i="2"/>
  <c r="T51" i="8"/>
  <c r="N7" i="13"/>
  <c r="AT82" i="2"/>
  <c r="J99" i="15"/>
  <c r="S99" i="15" s="1"/>
  <c r="S51" i="15"/>
  <c r="U65" i="10"/>
  <c r="AS77" i="2"/>
  <c r="S97" i="16"/>
  <c r="I109" i="15"/>
  <c r="R109" i="15" s="1"/>
  <c r="R61" i="15"/>
  <c r="J73" i="15"/>
  <c r="J73" i="8"/>
  <c r="S73" i="8" s="1"/>
  <c r="AZ85" i="2"/>
  <c r="Q70" i="15"/>
  <c r="H118" i="15"/>
  <c r="Q118" i="15" s="1"/>
  <c r="AU96" i="2"/>
  <c r="T66" i="16"/>
  <c r="T66" i="10"/>
  <c r="AR78" i="2"/>
  <c r="H69" i="15"/>
  <c r="G69" i="14"/>
  <c r="G69" i="6"/>
  <c r="O69" i="6" s="1"/>
  <c r="R69" i="6" s="1"/>
  <c r="H69" i="8"/>
  <c r="Q69" i="8" s="1"/>
  <c r="BC81" i="2"/>
  <c r="H105" i="15"/>
  <c r="Q105" i="15" s="1"/>
  <c r="Q57" i="15"/>
  <c r="U72" i="16"/>
  <c r="U72" i="10"/>
  <c r="AS84" i="2"/>
  <c r="U62" i="16"/>
  <c r="U62" i="10"/>
  <c r="AS74" i="2"/>
  <c r="I92" i="15"/>
  <c r="R92" i="15" s="1"/>
  <c r="I92" i="8"/>
  <c r="R92" i="8" s="1"/>
  <c r="AW74" i="2"/>
  <c r="AW81" i="2"/>
  <c r="T63" i="16"/>
  <c r="T63" i="10"/>
  <c r="AR75" i="2"/>
  <c r="T72" i="16"/>
  <c r="T72" i="10"/>
  <c r="AR84" i="2"/>
  <c r="R62" i="15"/>
  <c r="I110" i="15"/>
  <c r="R110" i="15" s="1"/>
  <c r="I70" i="15"/>
  <c r="AQ82" i="2"/>
  <c r="I70" i="8"/>
  <c r="R70" i="8" s="1"/>
  <c r="J116" i="15"/>
  <c r="S116" i="15" s="1"/>
  <c r="S68" i="15"/>
  <c r="I65" i="15"/>
  <c r="I65" i="8"/>
  <c r="R65" i="8" s="1"/>
  <c r="AQ77" i="2"/>
  <c r="S67" i="15"/>
  <c r="J115" i="15"/>
  <c r="S115" i="15" s="1"/>
  <c r="U63" i="16"/>
  <c r="U63" i="10"/>
  <c r="AS75" i="2"/>
  <c r="H54" i="15"/>
  <c r="G54" i="14"/>
  <c r="G54" i="6"/>
  <c r="O54" i="6" s="1"/>
  <c r="R54" i="6" s="1"/>
  <c r="H54" i="8"/>
  <c r="Q54" i="8" s="1"/>
  <c r="T54" i="8" s="1"/>
  <c r="BC66" i="2"/>
  <c r="H71" i="15"/>
  <c r="G71" i="14"/>
  <c r="H71" i="8"/>
  <c r="Q71" i="8" s="1"/>
  <c r="G71" i="6"/>
  <c r="O71" i="6" s="1"/>
  <c r="R71" i="6" s="1"/>
  <c r="S71" i="6" s="1"/>
  <c r="BC83" i="2"/>
  <c r="H107" i="15"/>
  <c r="Q107" i="15" s="1"/>
  <c r="Q59" i="15"/>
  <c r="S71" i="15"/>
  <c r="J119" i="15"/>
  <c r="S119" i="15" s="1"/>
  <c r="I7" i="13"/>
  <c r="I114" i="15"/>
  <c r="R114" i="15" s="1"/>
  <c r="R66" i="15"/>
  <c r="J66" i="15"/>
  <c r="J66" i="8"/>
  <c r="S66" i="8" s="1"/>
  <c r="AZ78" i="2"/>
  <c r="J70" i="15"/>
  <c r="J70" i="8"/>
  <c r="S70" i="8" s="1"/>
  <c r="AZ82" i="2"/>
  <c r="H109" i="15"/>
  <c r="Q109" i="15" s="1"/>
  <c r="Q61" i="15"/>
  <c r="I73" i="8"/>
  <c r="R73" i="8" s="1"/>
  <c r="AQ85" i="2"/>
  <c r="I73" i="15"/>
  <c r="AU78" i="2"/>
  <c r="I67" i="15"/>
  <c r="I67" i="8"/>
  <c r="R67" i="8" s="1"/>
  <c r="AQ79" i="2"/>
  <c r="I88" i="15"/>
  <c r="R88" i="15" s="1"/>
  <c r="I88" i="8"/>
  <c r="R88" i="8" s="1"/>
  <c r="J110" i="15"/>
  <c r="S110" i="15" s="1"/>
  <c r="S62" i="15"/>
  <c r="T74" i="16"/>
  <c r="T74" i="10"/>
  <c r="AR86" i="2"/>
  <c r="AT91" i="2"/>
  <c r="AU83" i="2"/>
  <c r="S119" i="16"/>
  <c r="S107" i="16"/>
  <c r="J106" i="15"/>
  <c r="S106" i="15" s="1"/>
  <c r="S58" i="15"/>
  <c r="T61" i="8"/>
  <c r="J63" i="15"/>
  <c r="J63" i="8"/>
  <c r="S63" i="8" s="1"/>
  <c r="AZ75" i="2"/>
  <c r="AW80" i="2"/>
  <c r="S90" i="16"/>
  <c r="T73" i="16"/>
  <c r="T73" i="10"/>
  <c r="AR85" i="2"/>
  <c r="J109" i="15"/>
  <c r="S109" i="15" s="1"/>
  <c r="S61" i="15"/>
  <c r="H82" i="15"/>
  <c r="Q82" i="15" s="1"/>
  <c r="G82" i="14"/>
  <c r="O82" i="14" s="1"/>
  <c r="G82" i="6"/>
  <c r="O82" i="6" s="1"/>
  <c r="R82" i="6" s="1"/>
  <c r="H82" i="8"/>
  <c r="Q82" i="8" s="1"/>
  <c r="BC94" i="2"/>
  <c r="G118" i="14"/>
  <c r="O118" i="14" s="1"/>
  <c r="O70" i="14"/>
  <c r="T70" i="16"/>
  <c r="T70" i="10"/>
  <c r="AR82" i="2"/>
  <c r="AU77" i="2"/>
  <c r="U83" i="10"/>
  <c r="AS95" i="2"/>
  <c r="J117" i="15"/>
  <c r="S117" i="15" s="1"/>
  <c r="S69" i="15"/>
  <c r="G56" i="14"/>
  <c r="H56" i="8"/>
  <c r="Q56" i="8" s="1"/>
  <c r="T56" i="8" s="1"/>
  <c r="H56" i="15"/>
  <c r="BC68" i="2"/>
  <c r="G56" i="6"/>
  <c r="O56" i="6" s="1"/>
  <c r="R56" i="6" s="1"/>
  <c r="AT86" i="2"/>
  <c r="V66" i="16"/>
  <c r="V66" i="10"/>
  <c r="AT78" i="2"/>
  <c r="I106" i="15"/>
  <c r="R106" i="15" s="1"/>
  <c r="R58" i="15"/>
  <c r="I105" i="15"/>
  <c r="R105" i="15" s="1"/>
  <c r="R57" i="15"/>
  <c r="I63" i="15"/>
  <c r="I63" i="8"/>
  <c r="R63" i="8" s="1"/>
  <c r="AQ75" i="2"/>
  <c r="G53" i="14"/>
  <c r="H53" i="15"/>
  <c r="G53" i="6"/>
  <c r="O53" i="6" s="1"/>
  <c r="R53" i="6" s="1"/>
  <c r="H53" i="8"/>
  <c r="Q53" i="8" s="1"/>
  <c r="T53" i="8" s="1"/>
  <c r="BC65" i="2"/>
  <c r="J80" i="15"/>
  <c r="S80" i="15" s="1"/>
  <c r="J80" i="8"/>
  <c r="S80" i="8" s="1"/>
  <c r="AZ92" i="2"/>
  <c r="I101" i="15"/>
  <c r="R101" i="15" s="1"/>
  <c r="R53" i="15"/>
  <c r="T81" i="16"/>
  <c r="T81" i="10"/>
  <c r="AR93" i="2"/>
  <c r="S103" i="16"/>
  <c r="S115" i="16"/>
  <c r="T59" i="8"/>
  <c r="J83" i="15"/>
  <c r="S83" i="15" s="1"/>
  <c r="J83" i="8"/>
  <c r="S83" i="8" s="1"/>
  <c r="AZ95" i="2"/>
  <c r="H50" i="15"/>
  <c r="G50" i="14"/>
  <c r="G50" i="6"/>
  <c r="O50" i="6" s="1"/>
  <c r="R50" i="6" s="1"/>
  <c r="H50" i="8"/>
  <c r="Q50" i="8" s="1"/>
  <c r="T50" i="8" s="1"/>
  <c r="BC62" i="2"/>
  <c r="AU75" i="2"/>
  <c r="AW82" i="2"/>
  <c r="I71" i="15"/>
  <c r="I71" i="8"/>
  <c r="R71" i="8" s="1"/>
  <c r="AQ83" i="2"/>
  <c r="I96" i="2"/>
  <c r="J96" i="2" s="1"/>
  <c r="C96" i="15" s="1"/>
  <c r="M12" i="2"/>
  <c r="N12" i="2" s="1"/>
  <c r="D10" i="19"/>
  <c r="G10" i="19" s="1"/>
  <c r="C68" i="6"/>
  <c r="I86" i="2"/>
  <c r="J86" i="2" s="1"/>
  <c r="M14" i="2"/>
  <c r="N14" i="2" s="1"/>
  <c r="D12" i="21"/>
  <c r="D15" i="24" s="1"/>
  <c r="I97" i="2"/>
  <c r="J97" i="2" s="1"/>
  <c r="C97" i="8" s="1"/>
  <c r="M2" i="2"/>
  <c r="N2" i="2" s="1"/>
  <c r="E48" i="14"/>
  <c r="E60" i="14" s="1"/>
  <c r="I88" i="2"/>
  <c r="J88" i="2" s="1"/>
  <c r="C88" i="8" s="1"/>
  <c r="M8" i="2"/>
  <c r="N8" i="2" s="1"/>
  <c r="M29" i="2"/>
  <c r="N29" i="2" s="1"/>
  <c r="M11" i="2"/>
  <c r="N11" i="2" s="1"/>
  <c r="C14" i="14"/>
  <c r="E6" i="19" s="1"/>
  <c r="C14" i="6"/>
  <c r="C62" i="14"/>
  <c r="C62" i="6"/>
  <c r="C34" i="6"/>
  <c r="S34" i="6" s="1"/>
  <c r="C34" i="14"/>
  <c r="C33" i="14"/>
  <c r="C33" i="6"/>
  <c r="S33" i="6" s="1"/>
  <c r="C27" i="6"/>
  <c r="S27" i="6" s="1"/>
  <c r="C27" i="14"/>
  <c r="I37" i="2"/>
  <c r="J37" i="2" s="1"/>
  <c r="I34" i="2"/>
  <c r="J34" i="2" s="1"/>
  <c r="I30" i="2"/>
  <c r="J30" i="2" s="1"/>
  <c r="I29" i="2"/>
  <c r="J29" i="2" s="1"/>
  <c r="I35" i="2"/>
  <c r="J35" i="2" s="1"/>
  <c r="I31" i="2"/>
  <c r="J31" i="2" s="1"/>
  <c r="I32" i="2"/>
  <c r="J32" i="2" s="1"/>
  <c r="I27" i="2"/>
  <c r="J27" i="2" s="1"/>
  <c r="I26" i="2"/>
  <c r="I33" i="2"/>
  <c r="J33" i="2" s="1"/>
  <c r="I28" i="2"/>
  <c r="J28" i="2" s="1"/>
  <c r="I36" i="2"/>
  <c r="J36" i="2" s="1"/>
  <c r="C77" i="14"/>
  <c r="C77" i="6"/>
  <c r="C80" i="14"/>
  <c r="C80" i="6"/>
  <c r="C83" i="14"/>
  <c r="C83" i="6"/>
  <c r="C58" i="6"/>
  <c r="S58" i="6" s="1"/>
  <c r="C58" i="14"/>
  <c r="C57" i="14"/>
  <c r="C57" i="6"/>
  <c r="S57" i="6" s="1"/>
  <c r="C60" i="14"/>
  <c r="C60" i="6"/>
  <c r="C47" i="14"/>
  <c r="C47" i="6"/>
  <c r="S47" i="6" s="1"/>
  <c r="C46" i="14"/>
  <c r="C46" i="6"/>
  <c r="S46" i="6" s="1"/>
  <c r="C49" i="6"/>
  <c r="S49" i="6" s="1"/>
  <c r="C49" i="14"/>
  <c r="I61" i="2"/>
  <c r="J61" i="2" s="1"/>
  <c r="I57" i="2"/>
  <c r="J57" i="2" s="1"/>
  <c r="I53" i="2"/>
  <c r="J53" i="2" s="1"/>
  <c r="I58" i="2"/>
  <c r="J58" i="2" s="1"/>
  <c r="I54" i="2"/>
  <c r="J54" i="2" s="1"/>
  <c r="I50" i="2"/>
  <c r="I59" i="2"/>
  <c r="J59" i="2" s="1"/>
  <c r="I55" i="2"/>
  <c r="J55" i="2" s="1"/>
  <c r="I51" i="2"/>
  <c r="J51" i="2" s="1"/>
  <c r="I60" i="2"/>
  <c r="J60" i="2" s="1"/>
  <c r="I56" i="2"/>
  <c r="J56" i="2" s="1"/>
  <c r="I52" i="2"/>
  <c r="J52" i="2" s="1"/>
  <c r="C89" i="14"/>
  <c r="C89" i="6"/>
  <c r="C92" i="14"/>
  <c r="C92" i="6"/>
  <c r="C95" i="14"/>
  <c r="C95" i="6"/>
  <c r="C11" i="14"/>
  <c r="C11" i="6"/>
  <c r="S11" i="6" s="1"/>
  <c r="C10" i="6"/>
  <c r="S10" i="6" s="1"/>
  <c r="C10" i="14"/>
  <c r="C4" i="6"/>
  <c r="S4" i="6" s="1"/>
  <c r="C4" i="14"/>
  <c r="C29" i="14"/>
  <c r="C29" i="6"/>
  <c r="S29" i="6" s="1"/>
  <c r="C32" i="14"/>
  <c r="C32" i="6"/>
  <c r="S32" i="6" s="1"/>
  <c r="C28" i="6"/>
  <c r="S28" i="6" s="1"/>
  <c r="C28" i="14"/>
  <c r="C78" i="14"/>
  <c r="C78" i="6"/>
  <c r="C81" i="14"/>
  <c r="C81" i="6"/>
  <c r="C84" i="14"/>
  <c r="C84" i="6"/>
  <c r="C51" i="14"/>
  <c r="C51" i="6"/>
  <c r="S51" i="6" s="1"/>
  <c r="C61" i="14"/>
  <c r="C61" i="6"/>
  <c r="S61" i="6" s="1"/>
  <c r="C55" i="14"/>
  <c r="C55" i="6"/>
  <c r="C39" i="6"/>
  <c r="S39" i="6" s="1"/>
  <c r="C39" i="14"/>
  <c r="C40" i="14"/>
  <c r="C40" i="6"/>
  <c r="S40" i="6" s="1"/>
  <c r="F38" i="2"/>
  <c r="D8" i="19"/>
  <c r="G8" i="19" s="1"/>
  <c r="F86" i="2"/>
  <c r="D12" i="19"/>
  <c r="G12" i="19" s="1"/>
  <c r="C93" i="14"/>
  <c r="C93" i="6"/>
  <c r="C96" i="14"/>
  <c r="C96" i="6"/>
  <c r="E13" i="21"/>
  <c r="J16" i="21" s="1"/>
  <c r="J17" i="21" s="1"/>
  <c r="D13" i="21"/>
  <c r="I73" i="2"/>
  <c r="J73" i="2" s="1"/>
  <c r="I69" i="2"/>
  <c r="J69" i="2" s="1"/>
  <c r="I65" i="2"/>
  <c r="J65" i="2" s="1"/>
  <c r="I70" i="2"/>
  <c r="J70" i="2" s="1"/>
  <c r="I66" i="2"/>
  <c r="J66" i="2" s="1"/>
  <c r="I62" i="2"/>
  <c r="I71" i="2"/>
  <c r="J71" i="2" s="1"/>
  <c r="I67" i="2"/>
  <c r="J67" i="2" s="1"/>
  <c r="I63" i="2"/>
  <c r="J63" i="2" s="1"/>
  <c r="I64" i="2"/>
  <c r="J64" i="2" s="1"/>
  <c r="I72" i="2"/>
  <c r="J72" i="2" s="1"/>
  <c r="I68" i="2"/>
  <c r="J68" i="2" s="1"/>
  <c r="C5" i="6"/>
  <c r="S5" i="6" s="1"/>
  <c r="C5" i="14"/>
  <c r="C3" i="6"/>
  <c r="S3" i="6" s="1"/>
  <c r="C3" i="14"/>
  <c r="C8" i="6"/>
  <c r="S8" i="6" s="1"/>
  <c r="C8" i="14"/>
  <c r="M60" i="2"/>
  <c r="N60" i="2" s="1"/>
  <c r="M56" i="2"/>
  <c r="N56" i="2" s="1"/>
  <c r="M61" i="2"/>
  <c r="N61" i="2" s="1"/>
  <c r="M57" i="2"/>
  <c r="N57" i="2" s="1"/>
  <c r="M53" i="2"/>
  <c r="N53" i="2" s="1"/>
  <c r="M58" i="2"/>
  <c r="N58" i="2" s="1"/>
  <c r="M54" i="2"/>
  <c r="N54" i="2" s="1"/>
  <c r="M50" i="2"/>
  <c r="N50" i="2" s="1"/>
  <c r="M59" i="2"/>
  <c r="N59" i="2" s="1"/>
  <c r="M55" i="2"/>
  <c r="N55" i="2" s="1"/>
  <c r="M51" i="2"/>
  <c r="N51" i="2" s="1"/>
  <c r="M52" i="2"/>
  <c r="N52" i="2" s="1"/>
  <c r="I77" i="2"/>
  <c r="J77" i="2" s="1"/>
  <c r="I83" i="2"/>
  <c r="J83" i="2" s="1"/>
  <c r="I84" i="2"/>
  <c r="J84" i="2" s="1"/>
  <c r="C37" i="14"/>
  <c r="C37" i="6"/>
  <c r="S37" i="6" s="1"/>
  <c r="C36" i="14"/>
  <c r="C36" i="6"/>
  <c r="S36" i="6" s="1"/>
  <c r="C31" i="6"/>
  <c r="S31" i="6" s="1"/>
  <c r="C31" i="14"/>
  <c r="F74" i="2"/>
  <c r="D11" i="19"/>
  <c r="G11" i="19" s="1"/>
  <c r="C85" i="14"/>
  <c r="C85" i="6"/>
  <c r="C75" i="14"/>
  <c r="C75" i="6"/>
  <c r="C54" i="6"/>
  <c r="C54" i="14"/>
  <c r="C52" i="14"/>
  <c r="C52" i="6"/>
  <c r="C59" i="14"/>
  <c r="C59" i="6"/>
  <c r="S59" i="6" s="1"/>
  <c r="C43" i="14"/>
  <c r="C43" i="6"/>
  <c r="S43" i="6" s="1"/>
  <c r="C42" i="14"/>
  <c r="C42" i="6"/>
  <c r="S42" i="6" s="1"/>
  <c r="C48" i="14"/>
  <c r="C48" i="6"/>
  <c r="S48" i="6" s="1"/>
  <c r="C94" i="14"/>
  <c r="C94" i="6"/>
  <c r="C97" i="14"/>
  <c r="C97" i="6"/>
  <c r="C87" i="14"/>
  <c r="C87" i="6"/>
  <c r="I3" i="2"/>
  <c r="J3" i="2" s="1"/>
  <c r="I2" i="2"/>
  <c r="I8" i="2"/>
  <c r="J8" i="2" s="1"/>
  <c r="D5" i="19"/>
  <c r="G5" i="19" s="1"/>
  <c r="F2" i="2"/>
  <c r="C7" i="14"/>
  <c r="C7" i="6"/>
  <c r="S7" i="6" s="1"/>
  <c r="C13" i="6"/>
  <c r="S13" i="6" s="1"/>
  <c r="C13" i="14"/>
  <c r="M49" i="2"/>
  <c r="N49" i="2" s="1"/>
  <c r="M45" i="2"/>
  <c r="N45" i="2" s="1"/>
  <c r="M44" i="2"/>
  <c r="N44" i="2" s="1"/>
  <c r="M42" i="2"/>
  <c r="N42" i="2" s="1"/>
  <c r="M40" i="2"/>
  <c r="N40" i="2" s="1"/>
  <c r="M46" i="2"/>
  <c r="N46" i="2" s="1"/>
  <c r="M39" i="2"/>
  <c r="N39" i="2" s="1"/>
  <c r="M47" i="2"/>
  <c r="N47" i="2" s="1"/>
  <c r="M48" i="2"/>
  <c r="N48" i="2" s="1"/>
  <c r="M43" i="2"/>
  <c r="N43" i="2" s="1"/>
  <c r="M41" i="2"/>
  <c r="N41" i="2" s="1"/>
  <c r="M38" i="2"/>
  <c r="N38" i="2" s="1"/>
  <c r="I23" i="2"/>
  <c r="J23" i="2" s="1"/>
  <c r="I20" i="2"/>
  <c r="J20" i="2" s="1"/>
  <c r="I22" i="2"/>
  <c r="J22" i="2" s="1"/>
  <c r="C30" i="6"/>
  <c r="S30" i="6" s="1"/>
  <c r="C30" i="14"/>
  <c r="F26" i="2"/>
  <c r="D7" i="19"/>
  <c r="G7" i="19" s="1"/>
  <c r="C35" i="6"/>
  <c r="S35" i="6" s="1"/>
  <c r="C35" i="14"/>
  <c r="C82" i="14"/>
  <c r="C82" i="6"/>
  <c r="C76" i="14"/>
  <c r="C76" i="6"/>
  <c r="C79" i="14"/>
  <c r="C79" i="6"/>
  <c r="D9" i="19"/>
  <c r="G9" i="19" s="1"/>
  <c r="F50" i="2"/>
  <c r="C53" i="14"/>
  <c r="C53" i="6"/>
  <c r="C56" i="14"/>
  <c r="C56" i="6"/>
  <c r="S56" i="6" s="1"/>
  <c r="C45" i="14"/>
  <c r="C45" i="6"/>
  <c r="S45" i="6" s="1"/>
  <c r="C41" i="14"/>
  <c r="C41" i="6"/>
  <c r="S41" i="6" s="1"/>
  <c r="C44" i="14"/>
  <c r="C44" i="6"/>
  <c r="S44" i="6" s="1"/>
  <c r="C90" i="14"/>
  <c r="C90" i="6"/>
  <c r="C88" i="14"/>
  <c r="C88" i="6"/>
  <c r="C91" i="14"/>
  <c r="C91" i="6"/>
  <c r="M97" i="2"/>
  <c r="N97" i="2" s="1"/>
  <c r="M90" i="2"/>
  <c r="N90" i="2" s="1"/>
  <c r="M95" i="2"/>
  <c r="N95" i="2" s="1"/>
  <c r="I43" i="24"/>
  <c r="I48" i="24" s="1"/>
  <c r="D120" i="16"/>
  <c r="P120" i="16" s="1"/>
  <c r="D118" i="16"/>
  <c r="P118" i="16" s="1"/>
  <c r="D116" i="16"/>
  <c r="P116" i="16" s="1"/>
  <c r="D114" i="16"/>
  <c r="P114" i="16" s="1"/>
  <c r="D112" i="16"/>
  <c r="P112" i="16" s="1"/>
  <c r="D111" i="16"/>
  <c r="P111" i="16" s="1"/>
  <c r="D110" i="16"/>
  <c r="P110" i="16" s="1"/>
  <c r="D121" i="16"/>
  <c r="P121" i="16" s="1"/>
  <c r="D115" i="16"/>
  <c r="P115" i="16" s="1"/>
  <c r="D117" i="16"/>
  <c r="P117" i="16" s="1"/>
  <c r="D113" i="16"/>
  <c r="P113" i="16" s="1"/>
  <c r="D119" i="16"/>
  <c r="P119" i="16" s="1"/>
  <c r="C6" i="6"/>
  <c r="S6" i="6" s="1"/>
  <c r="C6" i="14"/>
  <c r="C9" i="14"/>
  <c r="C9" i="6"/>
  <c r="S9" i="6" s="1"/>
  <c r="C12" i="14"/>
  <c r="C12" i="6"/>
  <c r="S12" i="6" s="1"/>
  <c r="H103" i="14"/>
  <c r="P102" i="14"/>
  <c r="Q32" i="16"/>
  <c r="Z32" i="16" s="1"/>
  <c r="E40" i="14"/>
  <c r="M28" i="14"/>
  <c r="D45" i="14"/>
  <c r="D57" i="14" s="1"/>
  <c r="R29" i="14"/>
  <c r="F6" i="19"/>
  <c r="H6" i="19" s="1"/>
  <c r="T19" i="15"/>
  <c r="T23" i="15"/>
  <c r="R34" i="14"/>
  <c r="T15" i="15"/>
  <c r="D58" i="14"/>
  <c r="L46" i="14"/>
  <c r="E48" i="15"/>
  <c r="N36" i="15"/>
  <c r="D50" i="15"/>
  <c r="M38" i="15"/>
  <c r="M56" i="14"/>
  <c r="E68" i="14"/>
  <c r="D50" i="14"/>
  <c r="L38" i="14"/>
  <c r="E58" i="14"/>
  <c r="M46" i="14"/>
  <c r="L41" i="14"/>
  <c r="D53" i="14"/>
  <c r="Q30" i="16"/>
  <c r="E50" i="14"/>
  <c r="M38" i="14"/>
  <c r="E57" i="14"/>
  <c r="M45" i="14"/>
  <c r="M45" i="15"/>
  <c r="D57" i="15"/>
  <c r="E38" i="15"/>
  <c r="N26" i="15"/>
  <c r="T26" i="15" s="1"/>
  <c r="M27" i="15"/>
  <c r="D39" i="15"/>
  <c r="Q35" i="16"/>
  <c r="Q31" i="16"/>
  <c r="E59" i="14"/>
  <c r="M47" i="14"/>
  <c r="E54" i="14"/>
  <c r="M42" i="14"/>
  <c r="N40" i="15"/>
  <c r="E52" i="15"/>
  <c r="M32" i="15"/>
  <c r="T32" i="15" s="1"/>
  <c r="D44" i="15"/>
  <c r="M35" i="15"/>
  <c r="D47" i="15"/>
  <c r="D58" i="15"/>
  <c r="M46" i="15"/>
  <c r="N37" i="15"/>
  <c r="T37" i="15" s="1"/>
  <c r="E49" i="15"/>
  <c r="L49" i="14"/>
  <c r="D61" i="14"/>
  <c r="N30" i="15"/>
  <c r="E42" i="15"/>
  <c r="E56" i="15"/>
  <c r="N44" i="15"/>
  <c r="D44" i="14"/>
  <c r="L32" i="14"/>
  <c r="R32" i="14" s="1"/>
  <c r="E55" i="14"/>
  <c r="M43" i="14"/>
  <c r="E43" i="15"/>
  <c r="N31" i="15"/>
  <c r="E45" i="15"/>
  <c r="N33" i="15"/>
  <c r="T33" i="15" s="1"/>
  <c r="Q44" i="16"/>
  <c r="N34" i="15"/>
  <c r="T34" i="15" s="1"/>
  <c r="E46" i="15"/>
  <c r="D40" i="15"/>
  <c r="M28" i="15"/>
  <c r="T28" i="15" s="1"/>
  <c r="Q34" i="16"/>
  <c r="Q36" i="16"/>
  <c r="Q40" i="16"/>
  <c r="Q27" i="16"/>
  <c r="N29" i="15"/>
  <c r="T29" i="15" s="1"/>
  <c r="E41" i="15"/>
  <c r="D40" i="14"/>
  <c r="L28" i="14"/>
  <c r="R30" i="14"/>
  <c r="D48" i="15"/>
  <c r="M36" i="15"/>
  <c r="R37" i="14"/>
  <c r="E47" i="15"/>
  <c r="N35" i="15"/>
  <c r="D47" i="14"/>
  <c r="L35" i="14"/>
  <c r="R35" i="14" s="1"/>
  <c r="D61" i="15"/>
  <c r="M49" i="15"/>
  <c r="E61" i="14"/>
  <c r="M49" i="14"/>
  <c r="D48" i="14"/>
  <c r="L36" i="14"/>
  <c r="R36" i="14" s="1"/>
  <c r="D39" i="14"/>
  <c r="L27" i="14"/>
  <c r="R27" i="14" s="1"/>
  <c r="Q33" i="16"/>
  <c r="E51" i="14"/>
  <c r="M39" i="14"/>
  <c r="E39" i="15"/>
  <c r="N27" i="15"/>
  <c r="Q37" i="16"/>
  <c r="E53" i="14"/>
  <c r="M41" i="14"/>
  <c r="R33" i="14"/>
  <c r="D43" i="14"/>
  <c r="L31" i="14"/>
  <c r="R31" i="14" s="1"/>
  <c r="Q26" i="16"/>
  <c r="D43" i="15"/>
  <c r="M31" i="15"/>
  <c r="R26" i="14"/>
  <c r="Q29" i="16"/>
  <c r="D54" i="14"/>
  <c r="L42" i="14"/>
  <c r="T24" i="15"/>
  <c r="Z63" i="10" l="1"/>
  <c r="Z65" i="10"/>
  <c r="I82" i="10"/>
  <c r="K82" i="16"/>
  <c r="W82" i="16" s="1"/>
  <c r="K82" i="10"/>
  <c r="W82" i="10" s="1"/>
  <c r="I95" i="10"/>
  <c r="U95" i="10" s="1"/>
  <c r="K95" i="16"/>
  <c r="K95" i="10"/>
  <c r="W95" i="10" s="1"/>
  <c r="I75" i="10"/>
  <c r="K75" i="16"/>
  <c r="W75" i="16" s="1"/>
  <c r="K75" i="10"/>
  <c r="W75" i="10" s="1"/>
  <c r="M80" i="16"/>
  <c r="Y80" i="16" s="1"/>
  <c r="Y80" i="10"/>
  <c r="AY93" i="2"/>
  <c r="L81" i="16"/>
  <c r="X81" i="16" s="1"/>
  <c r="X81" i="10"/>
  <c r="I80" i="2"/>
  <c r="J80" i="2" s="1"/>
  <c r="I74" i="2"/>
  <c r="I81" i="2"/>
  <c r="J81" i="2" s="1"/>
  <c r="I87" i="2"/>
  <c r="J87" i="2" s="1"/>
  <c r="C87" i="8" s="1"/>
  <c r="I77" i="10"/>
  <c r="K77" i="16"/>
  <c r="W77" i="16" s="1"/>
  <c r="K77" i="10"/>
  <c r="W77" i="10" s="1"/>
  <c r="I76" i="10"/>
  <c r="K76" i="16"/>
  <c r="W76" i="16" s="1"/>
  <c r="K76" i="10"/>
  <c r="W76" i="10" s="1"/>
  <c r="I78" i="10"/>
  <c r="K78" i="16"/>
  <c r="W78" i="16" s="1"/>
  <c r="K78" i="10"/>
  <c r="W78" i="10" s="1"/>
  <c r="I85" i="10"/>
  <c r="K85" i="16"/>
  <c r="W85" i="16" s="1"/>
  <c r="K85" i="10"/>
  <c r="W85" i="10" s="1"/>
  <c r="I93" i="2"/>
  <c r="J93" i="2" s="1"/>
  <c r="C93" i="15" s="1"/>
  <c r="Z71" i="10"/>
  <c r="M78" i="16"/>
  <c r="Y78" i="16" s="1"/>
  <c r="Y78" i="10"/>
  <c r="M74" i="16"/>
  <c r="Y74" i="16" s="1"/>
  <c r="Y74" i="10"/>
  <c r="AP90" i="2"/>
  <c r="I90" i="16" s="1"/>
  <c r="I78" i="16"/>
  <c r="AP93" i="2"/>
  <c r="I93" i="16" s="1"/>
  <c r="I81" i="16"/>
  <c r="U81" i="16" s="1"/>
  <c r="AY87" i="2"/>
  <c r="L75" i="16"/>
  <c r="X75" i="16" s="1"/>
  <c r="X75" i="10"/>
  <c r="AP86" i="2"/>
  <c r="I86" i="16" s="1"/>
  <c r="I74" i="16"/>
  <c r="AY94" i="2"/>
  <c r="L82" i="16"/>
  <c r="X82" i="16" s="1"/>
  <c r="X82" i="10"/>
  <c r="AV97" i="2"/>
  <c r="J85" i="16"/>
  <c r="J85" i="10"/>
  <c r="AV94" i="2"/>
  <c r="J82" i="16"/>
  <c r="J82" i="10"/>
  <c r="AY88" i="2"/>
  <c r="L76" i="16"/>
  <c r="X76" i="16" s="1"/>
  <c r="X76" i="10"/>
  <c r="AP89" i="2"/>
  <c r="I89" i="16" s="1"/>
  <c r="I77" i="16"/>
  <c r="AP97" i="2"/>
  <c r="I97" i="16" s="1"/>
  <c r="I85" i="16"/>
  <c r="M85" i="16"/>
  <c r="Y85" i="16" s="1"/>
  <c r="Y85" i="10"/>
  <c r="M81" i="16"/>
  <c r="Y81" i="16" s="1"/>
  <c r="Y81" i="10"/>
  <c r="M82" i="16"/>
  <c r="Y82" i="16" s="1"/>
  <c r="Y82" i="10"/>
  <c r="M79" i="16"/>
  <c r="Y79" i="16" s="1"/>
  <c r="Y79" i="10"/>
  <c r="AY90" i="2"/>
  <c r="L78" i="16"/>
  <c r="X78" i="16" s="1"/>
  <c r="X78" i="10"/>
  <c r="AV95" i="2"/>
  <c r="J83" i="16"/>
  <c r="J83" i="10"/>
  <c r="AP96" i="2"/>
  <c r="I96" i="16" s="1"/>
  <c r="I84" i="16"/>
  <c r="AV92" i="2"/>
  <c r="J80" i="16"/>
  <c r="J80" i="10"/>
  <c r="V80" i="10" s="1"/>
  <c r="AY92" i="2"/>
  <c r="L80" i="16"/>
  <c r="X80" i="16" s="1"/>
  <c r="X80" i="10"/>
  <c r="AY96" i="2"/>
  <c r="L84" i="16"/>
  <c r="X84" i="16" s="1"/>
  <c r="X84" i="10"/>
  <c r="I75" i="2"/>
  <c r="J75" i="2" s="1"/>
  <c r="I78" i="2"/>
  <c r="J78" i="2" s="1"/>
  <c r="C78" i="15" s="1"/>
  <c r="I85" i="2"/>
  <c r="J85" i="2" s="1"/>
  <c r="I95" i="2"/>
  <c r="J95" i="2" s="1"/>
  <c r="C95" i="8" s="1"/>
  <c r="I94" i="2"/>
  <c r="J94" i="2" s="1"/>
  <c r="C94" i="8" s="1"/>
  <c r="I81" i="10"/>
  <c r="K81" i="16"/>
  <c r="W81" i="16" s="1"/>
  <c r="K81" i="10"/>
  <c r="W81" i="10" s="1"/>
  <c r="M80" i="2"/>
  <c r="N80" i="2" s="1"/>
  <c r="I89" i="2"/>
  <c r="J89" i="2" s="1"/>
  <c r="C89" i="8" s="1"/>
  <c r="M75" i="16"/>
  <c r="Y75" i="16" s="1"/>
  <c r="Y75" i="10"/>
  <c r="Z67" i="10"/>
  <c r="M76" i="16"/>
  <c r="Y76" i="16" s="1"/>
  <c r="Y76" i="10"/>
  <c r="AP87" i="2"/>
  <c r="I87" i="16" s="1"/>
  <c r="I75" i="16"/>
  <c r="AP88" i="2"/>
  <c r="I88" i="16" s="1"/>
  <c r="I76" i="16"/>
  <c r="AV88" i="2"/>
  <c r="J76" i="16"/>
  <c r="J76" i="10"/>
  <c r="V76" i="10" s="1"/>
  <c r="AP94" i="2"/>
  <c r="I94" i="16" s="1"/>
  <c r="I82" i="16"/>
  <c r="AY91" i="2"/>
  <c r="L79" i="16"/>
  <c r="X79" i="16" s="1"/>
  <c r="X79" i="10"/>
  <c r="AV87" i="2"/>
  <c r="J75" i="16"/>
  <c r="J75" i="10"/>
  <c r="V75" i="10" s="1"/>
  <c r="AV89" i="2"/>
  <c r="J77" i="16"/>
  <c r="J77" i="10"/>
  <c r="M84" i="16"/>
  <c r="Y84" i="16" s="1"/>
  <c r="Y84" i="10"/>
  <c r="AY86" i="2"/>
  <c r="L74" i="16"/>
  <c r="X74" i="16" s="1"/>
  <c r="X74" i="10"/>
  <c r="AP91" i="2"/>
  <c r="I91" i="16" s="1"/>
  <c r="I79" i="16"/>
  <c r="AY95" i="2"/>
  <c r="L83" i="16"/>
  <c r="X83" i="16" s="1"/>
  <c r="X83" i="10"/>
  <c r="I76" i="2"/>
  <c r="J76" i="2" s="1"/>
  <c r="C76" i="15" s="1"/>
  <c r="I79" i="2"/>
  <c r="J79" i="2" s="1"/>
  <c r="I92" i="2"/>
  <c r="J92" i="2" s="1"/>
  <c r="C92" i="8" s="1"/>
  <c r="I91" i="2"/>
  <c r="J91" i="2" s="1"/>
  <c r="C91" i="15" s="1"/>
  <c r="I80" i="10"/>
  <c r="K80" i="16"/>
  <c r="W80" i="16" s="1"/>
  <c r="K80" i="10"/>
  <c r="W80" i="10" s="1"/>
  <c r="I74" i="10"/>
  <c r="K74" i="16"/>
  <c r="W74" i="16" s="1"/>
  <c r="K74" i="10"/>
  <c r="W74" i="10" s="1"/>
  <c r="I84" i="10"/>
  <c r="U84" i="10" s="1"/>
  <c r="K84" i="16"/>
  <c r="W84" i="16" s="1"/>
  <c r="K84" i="10"/>
  <c r="W84" i="10" s="1"/>
  <c r="I91" i="10"/>
  <c r="K91" i="16"/>
  <c r="K91" i="10"/>
  <c r="W91" i="10" s="1"/>
  <c r="M83" i="16"/>
  <c r="Y83" i="16" s="1"/>
  <c r="Y83" i="10"/>
  <c r="Z70" i="10"/>
  <c r="M77" i="16"/>
  <c r="Y77" i="16" s="1"/>
  <c r="Y77" i="10"/>
  <c r="AV86" i="2"/>
  <c r="J74" i="16"/>
  <c r="V74" i="16" s="1"/>
  <c r="J74" i="10"/>
  <c r="AV96" i="2"/>
  <c r="J84" i="16"/>
  <c r="J84" i="10"/>
  <c r="AY89" i="2"/>
  <c r="L77" i="16"/>
  <c r="X77" i="16" s="1"/>
  <c r="X77" i="10"/>
  <c r="AP92" i="2"/>
  <c r="I92" i="16" s="1"/>
  <c r="I80" i="16"/>
  <c r="AV91" i="2"/>
  <c r="J79" i="16"/>
  <c r="J79" i="10"/>
  <c r="V79" i="10" s="1"/>
  <c r="Z79" i="10" s="1"/>
  <c r="AV90" i="2"/>
  <c r="J78" i="16"/>
  <c r="J78" i="10"/>
  <c r="AY97" i="2"/>
  <c r="L85" i="16"/>
  <c r="X85" i="16" s="1"/>
  <c r="X85" i="10"/>
  <c r="AP95" i="2"/>
  <c r="I95" i="16" s="1"/>
  <c r="I83" i="16"/>
  <c r="AV93" i="2"/>
  <c r="J81" i="16"/>
  <c r="J81" i="10"/>
  <c r="Z62" i="10"/>
  <c r="M91" i="2"/>
  <c r="N91" i="2" s="1"/>
  <c r="C91" i="16" s="1"/>
  <c r="M94" i="2"/>
  <c r="N94" i="2" s="1"/>
  <c r="C94" i="10" s="1"/>
  <c r="M88" i="2"/>
  <c r="N88" i="2" s="1"/>
  <c r="C88" i="16" s="1"/>
  <c r="I24" i="2"/>
  <c r="J24" i="2" s="1"/>
  <c r="C24" i="15" s="1"/>
  <c r="I17" i="2"/>
  <c r="J17" i="2" s="1"/>
  <c r="C17" i="8" s="1"/>
  <c r="U17" i="8" s="1"/>
  <c r="I25" i="2"/>
  <c r="J25" i="2" s="1"/>
  <c r="C25" i="15" s="1"/>
  <c r="M10" i="2"/>
  <c r="N10" i="2" s="1"/>
  <c r="C10" i="16" s="1"/>
  <c r="M7" i="2"/>
  <c r="N7" i="2" s="1"/>
  <c r="C7" i="10" s="1"/>
  <c r="AA7" i="10" s="1"/>
  <c r="I44" i="2"/>
  <c r="J44" i="2" s="1"/>
  <c r="C44" i="15" s="1"/>
  <c r="Z64" i="10"/>
  <c r="M87" i="2"/>
  <c r="N87" i="2" s="1"/>
  <c r="C87" i="16" s="1"/>
  <c r="M92" i="2"/>
  <c r="N92" i="2" s="1"/>
  <c r="C92" i="10" s="1"/>
  <c r="S53" i="6"/>
  <c r="I15" i="2"/>
  <c r="J15" i="2" s="1"/>
  <c r="C15" i="15" s="1"/>
  <c r="I14" i="2"/>
  <c r="I19" i="2"/>
  <c r="J19" i="2" s="1"/>
  <c r="C19" i="8" s="1"/>
  <c r="U19" i="8" s="1"/>
  <c r="M3" i="2"/>
  <c r="N3" i="2" s="1"/>
  <c r="C3" i="16" s="1"/>
  <c r="M4" i="2"/>
  <c r="N4" i="2" s="1"/>
  <c r="C4" i="10" s="1"/>
  <c r="AA4" i="10" s="1"/>
  <c r="Z73" i="10"/>
  <c r="I43" i="2"/>
  <c r="J43" i="2" s="1"/>
  <c r="C43" i="15" s="1"/>
  <c r="M89" i="2"/>
  <c r="N89" i="2" s="1"/>
  <c r="M86" i="2"/>
  <c r="N86" i="2" s="1"/>
  <c r="M93" i="2"/>
  <c r="N93" i="2" s="1"/>
  <c r="C93" i="16" s="1"/>
  <c r="I18" i="2"/>
  <c r="J18" i="2" s="1"/>
  <c r="C18" i="15" s="1"/>
  <c r="I16" i="2"/>
  <c r="J16" i="2" s="1"/>
  <c r="C16" i="15" s="1"/>
  <c r="M6" i="2"/>
  <c r="N6" i="2" s="1"/>
  <c r="C6" i="16" s="1"/>
  <c r="M9" i="2"/>
  <c r="N9" i="2" s="1"/>
  <c r="C9" i="10" s="1"/>
  <c r="AA9" i="10" s="1"/>
  <c r="M5" i="2"/>
  <c r="N5" i="2" s="1"/>
  <c r="Z66" i="10"/>
  <c r="I39" i="2"/>
  <c r="J39" i="2" s="1"/>
  <c r="C39" i="8" s="1"/>
  <c r="U39" i="8" s="1"/>
  <c r="Z68" i="10"/>
  <c r="Z69" i="10"/>
  <c r="Z72" i="10"/>
  <c r="C12" i="16"/>
  <c r="C66" i="16"/>
  <c r="C64" i="16"/>
  <c r="C13" i="10"/>
  <c r="AA13" i="10" s="1"/>
  <c r="C84" i="10"/>
  <c r="C69" i="10"/>
  <c r="C73" i="10"/>
  <c r="C67" i="10"/>
  <c r="AA67" i="10" s="1"/>
  <c r="C72" i="16"/>
  <c r="C71" i="10"/>
  <c r="C65" i="10"/>
  <c r="Z29" i="16"/>
  <c r="M41" i="15"/>
  <c r="Z34" i="16"/>
  <c r="P5" i="18"/>
  <c r="P10" i="18"/>
  <c r="M82" i="2"/>
  <c r="N82" i="2" s="1"/>
  <c r="I48" i="2"/>
  <c r="J48" i="2" s="1"/>
  <c r="C48" i="15" s="1"/>
  <c r="I46" i="2"/>
  <c r="J46" i="2" s="1"/>
  <c r="C46" i="15" s="1"/>
  <c r="BB93" i="2"/>
  <c r="V81" i="16"/>
  <c r="V81" i="10"/>
  <c r="BA94" i="2"/>
  <c r="I106" i="16" s="1"/>
  <c r="I118" i="16" s="1"/>
  <c r="U82" i="16"/>
  <c r="BB89" i="2"/>
  <c r="V77" i="10"/>
  <c r="BA87" i="2"/>
  <c r="I99" i="16" s="1"/>
  <c r="I111" i="16" s="1"/>
  <c r="M22" i="2"/>
  <c r="N22" i="2" s="1"/>
  <c r="BB97" i="2"/>
  <c r="BB90" i="2"/>
  <c r="V78" i="10"/>
  <c r="V78" i="16"/>
  <c r="BB96" i="2"/>
  <c r="V84" i="16"/>
  <c r="V84" i="10"/>
  <c r="BA86" i="2"/>
  <c r="BA91" i="2"/>
  <c r="I103" i="16" s="1"/>
  <c r="I115" i="16" s="1"/>
  <c r="U79" i="16"/>
  <c r="BB91" i="2"/>
  <c r="V79" i="16"/>
  <c r="BB88" i="2"/>
  <c r="V76" i="16"/>
  <c r="BB95" i="2"/>
  <c r="V83" i="16"/>
  <c r="V83" i="10"/>
  <c r="Z83" i="10" s="1"/>
  <c r="BB92" i="2"/>
  <c r="V80" i="16"/>
  <c r="BA96" i="2"/>
  <c r="I108" i="16" s="1"/>
  <c r="I120" i="16" s="1"/>
  <c r="BB94" i="2"/>
  <c r="V82" i="10"/>
  <c r="BA95" i="2"/>
  <c r="I107" i="16" s="1"/>
  <c r="I119" i="16" s="1"/>
  <c r="U83" i="16"/>
  <c r="BB86" i="2"/>
  <c r="V74" i="10"/>
  <c r="BA92" i="2"/>
  <c r="I104" i="16" s="1"/>
  <c r="I116" i="16" s="1"/>
  <c r="BA89" i="2"/>
  <c r="I101" i="16" s="1"/>
  <c r="I113" i="16" s="1"/>
  <c r="BA90" i="2"/>
  <c r="I102" i="16" s="1"/>
  <c r="I114" i="16" s="1"/>
  <c r="BA93" i="2"/>
  <c r="I105" i="16" s="1"/>
  <c r="I117" i="16" s="1"/>
  <c r="BB87" i="2"/>
  <c r="BA88" i="2"/>
  <c r="BA97" i="2"/>
  <c r="U85" i="16"/>
  <c r="V5" i="19"/>
  <c r="Z40" i="16"/>
  <c r="Z37" i="16"/>
  <c r="Z35" i="16"/>
  <c r="Z26" i="16"/>
  <c r="Z27" i="16"/>
  <c r="Z44" i="16"/>
  <c r="V6" i="19"/>
  <c r="F58" i="16"/>
  <c r="R46" i="16"/>
  <c r="F53" i="16"/>
  <c r="R41" i="16"/>
  <c r="Z33" i="16"/>
  <c r="Z36" i="16"/>
  <c r="F60" i="16"/>
  <c r="R48" i="16"/>
  <c r="F57" i="16"/>
  <c r="R45" i="16"/>
  <c r="F42" i="16"/>
  <c r="R30" i="16"/>
  <c r="Z30" i="16" s="1"/>
  <c r="F51" i="16"/>
  <c r="R39" i="16"/>
  <c r="F50" i="16"/>
  <c r="R38" i="16"/>
  <c r="F68" i="16"/>
  <c r="R56" i="16"/>
  <c r="F59" i="16"/>
  <c r="R47" i="16"/>
  <c r="F61" i="16"/>
  <c r="R49" i="16"/>
  <c r="F64" i="16"/>
  <c r="R52" i="16"/>
  <c r="F43" i="16"/>
  <c r="R31" i="16"/>
  <c r="Z31" i="16" s="1"/>
  <c r="M30" i="15"/>
  <c r="T30" i="15" s="1"/>
  <c r="C93" i="8"/>
  <c r="M42" i="15"/>
  <c r="C84" i="16"/>
  <c r="C64" i="10"/>
  <c r="S69" i="6"/>
  <c r="H5" i="19"/>
  <c r="C66" i="10"/>
  <c r="C13" i="16"/>
  <c r="C88" i="15"/>
  <c r="C12" i="10"/>
  <c r="AA12" i="10" s="1"/>
  <c r="C73" i="16"/>
  <c r="C69" i="16"/>
  <c r="C91" i="8"/>
  <c r="C67" i="16"/>
  <c r="M36" i="2"/>
  <c r="N36" i="2" s="1"/>
  <c r="M31" i="2"/>
  <c r="N31" i="2" s="1"/>
  <c r="M21" i="2"/>
  <c r="N21" i="2" s="1"/>
  <c r="M25" i="2"/>
  <c r="N25" i="2" s="1"/>
  <c r="M23" i="2"/>
  <c r="N23" i="2" s="1"/>
  <c r="M26" i="2"/>
  <c r="N26" i="2" s="1"/>
  <c r="I6" i="2"/>
  <c r="J6" i="2" s="1"/>
  <c r="C6" i="15" s="1"/>
  <c r="I4" i="2"/>
  <c r="J4" i="2" s="1"/>
  <c r="C4" i="15" s="1"/>
  <c r="I10" i="2"/>
  <c r="J10" i="2" s="1"/>
  <c r="C10" i="8" s="1"/>
  <c r="U10" i="8" s="1"/>
  <c r="I12" i="2"/>
  <c r="J12" i="2" s="1"/>
  <c r="C12" i="15" s="1"/>
  <c r="S52" i="6"/>
  <c r="C65" i="16"/>
  <c r="M28" i="2"/>
  <c r="N28" i="2" s="1"/>
  <c r="M20" i="2"/>
  <c r="N20" i="2" s="1"/>
  <c r="M37" i="2"/>
  <c r="N37" i="2" s="1"/>
  <c r="M34" i="2"/>
  <c r="N34" i="2" s="1"/>
  <c r="M19" i="2"/>
  <c r="N19" i="2" s="1"/>
  <c r="M18" i="2"/>
  <c r="N18" i="2" s="1"/>
  <c r="M30" i="2"/>
  <c r="N30" i="2" s="1"/>
  <c r="I13" i="2"/>
  <c r="J13" i="2" s="1"/>
  <c r="C13" i="15" s="1"/>
  <c r="I7" i="2"/>
  <c r="J7" i="2" s="1"/>
  <c r="C7" i="8" s="1"/>
  <c r="U7" i="8" s="1"/>
  <c r="I9" i="2"/>
  <c r="J9" i="2" s="1"/>
  <c r="C9" i="8" s="1"/>
  <c r="U9" i="8" s="1"/>
  <c r="I5" i="2"/>
  <c r="J5" i="2" s="1"/>
  <c r="C5" i="15" s="1"/>
  <c r="M33" i="2"/>
  <c r="N33" i="2" s="1"/>
  <c r="M16" i="2"/>
  <c r="N16" i="2" s="1"/>
  <c r="M35" i="2"/>
  <c r="N35" i="2" s="1"/>
  <c r="M32" i="2"/>
  <c r="N32" i="2" s="1"/>
  <c r="M15" i="2"/>
  <c r="N15" i="2" s="1"/>
  <c r="C44" i="8"/>
  <c r="U44" i="8" s="1"/>
  <c r="C72" i="10"/>
  <c r="C45" i="8"/>
  <c r="U45" i="8" s="1"/>
  <c r="C71" i="16"/>
  <c r="C24" i="16"/>
  <c r="C24" i="10"/>
  <c r="AA24" i="10" s="1"/>
  <c r="C27" i="10"/>
  <c r="AA27" i="10" s="1"/>
  <c r="C27" i="16"/>
  <c r="M77" i="2"/>
  <c r="N77" i="2" s="1"/>
  <c r="I42" i="2"/>
  <c r="J42" i="2" s="1"/>
  <c r="C42" i="8" s="1"/>
  <c r="U42" i="8" s="1"/>
  <c r="I49" i="2"/>
  <c r="J49" i="2" s="1"/>
  <c r="C49" i="15" s="1"/>
  <c r="I47" i="2"/>
  <c r="J47" i="2" s="1"/>
  <c r="C47" i="8" s="1"/>
  <c r="U47" i="8" s="1"/>
  <c r="C29" i="10"/>
  <c r="AA29" i="10" s="1"/>
  <c r="M75" i="2"/>
  <c r="N75" i="2" s="1"/>
  <c r="M17" i="2"/>
  <c r="N17" i="2" s="1"/>
  <c r="I41" i="2"/>
  <c r="J41" i="2" s="1"/>
  <c r="I40" i="2"/>
  <c r="J40" i="2" s="1"/>
  <c r="C68" i="10"/>
  <c r="C43" i="8"/>
  <c r="U43" i="8" s="1"/>
  <c r="C63" i="16"/>
  <c r="C68" i="16"/>
  <c r="C70" i="10"/>
  <c r="C79" i="10"/>
  <c r="C80" i="10"/>
  <c r="C83" i="10"/>
  <c r="C70" i="16"/>
  <c r="C79" i="16"/>
  <c r="C80" i="16"/>
  <c r="C83" i="16"/>
  <c r="C7" i="16"/>
  <c r="C63" i="10"/>
  <c r="C8" i="10"/>
  <c r="AA8" i="10" s="1"/>
  <c r="C11" i="10"/>
  <c r="AA11" i="10" s="1"/>
  <c r="C11" i="16"/>
  <c r="C29" i="16"/>
  <c r="C8" i="16"/>
  <c r="C94" i="15"/>
  <c r="T10" i="19"/>
  <c r="W10" i="19" s="1"/>
  <c r="C97" i="15"/>
  <c r="C96" i="8"/>
  <c r="S60" i="6"/>
  <c r="S55" i="6"/>
  <c r="E10" i="19"/>
  <c r="M74" i="2"/>
  <c r="N74" i="2" s="1"/>
  <c r="M78" i="2"/>
  <c r="N78" i="2" s="1"/>
  <c r="M76" i="2"/>
  <c r="N76" i="2" s="1"/>
  <c r="M48" i="14"/>
  <c r="S82" i="6"/>
  <c r="S54" i="6"/>
  <c r="M81" i="2"/>
  <c r="N81" i="2" s="1"/>
  <c r="M85" i="2"/>
  <c r="N85" i="2" s="1"/>
  <c r="R28" i="14"/>
  <c r="F7" i="19" s="1"/>
  <c r="H7" i="19" s="1"/>
  <c r="T63" i="8"/>
  <c r="D8" i="13"/>
  <c r="T71" i="8"/>
  <c r="T70" i="8"/>
  <c r="G98" i="14"/>
  <c r="O98" i="14" s="1"/>
  <c r="O50" i="14"/>
  <c r="H65" i="15"/>
  <c r="G65" i="14"/>
  <c r="H65" i="8"/>
  <c r="Q65" i="8" s="1"/>
  <c r="T65" i="8" s="1"/>
  <c r="G65" i="6"/>
  <c r="O65" i="6" s="1"/>
  <c r="R65" i="6" s="1"/>
  <c r="S65" i="6" s="1"/>
  <c r="BC77" i="2"/>
  <c r="S72" i="15"/>
  <c r="J120" i="15"/>
  <c r="S120" i="15" s="1"/>
  <c r="S120" i="16"/>
  <c r="S108" i="16"/>
  <c r="O73" i="14"/>
  <c r="G121" i="14"/>
  <c r="O121" i="14" s="1"/>
  <c r="AW89" i="2"/>
  <c r="H67" i="15"/>
  <c r="G67" i="14"/>
  <c r="H67" i="8"/>
  <c r="Q67" i="8" s="1"/>
  <c r="T67" i="8" s="1"/>
  <c r="BC79" i="2"/>
  <c r="G67" i="6"/>
  <c r="O67" i="6" s="1"/>
  <c r="R67" i="6" s="1"/>
  <c r="S67" i="6" s="1"/>
  <c r="Q55" i="15"/>
  <c r="H103" i="15"/>
  <c r="Q103" i="15" s="1"/>
  <c r="T91" i="10"/>
  <c r="AW87" i="2"/>
  <c r="AW90" i="2"/>
  <c r="V85" i="16"/>
  <c r="AT97" i="2"/>
  <c r="V85" i="10"/>
  <c r="S112" i="16"/>
  <c r="S100" i="16"/>
  <c r="H62" i="15"/>
  <c r="G62" i="14"/>
  <c r="H62" i="8"/>
  <c r="Q62" i="8" s="1"/>
  <c r="T62" i="8" s="1"/>
  <c r="BC74" i="2"/>
  <c r="G62" i="6"/>
  <c r="O62" i="6" s="1"/>
  <c r="R62" i="6" s="1"/>
  <c r="H98" i="15"/>
  <c r="Q98" i="15" s="1"/>
  <c r="Q50" i="15"/>
  <c r="I75" i="15"/>
  <c r="R75" i="15" s="1"/>
  <c r="I75" i="8"/>
  <c r="R75" i="8" s="1"/>
  <c r="AQ87" i="2"/>
  <c r="N8" i="13"/>
  <c r="O56" i="14"/>
  <c r="G104" i="14"/>
  <c r="O104" i="14" s="1"/>
  <c r="AU95" i="2"/>
  <c r="I79" i="15"/>
  <c r="R79" i="15" s="1"/>
  <c r="AQ91" i="2"/>
  <c r="I79" i="8"/>
  <c r="R79" i="8" s="1"/>
  <c r="R73" i="15"/>
  <c r="I121" i="15"/>
  <c r="R121" i="15" s="1"/>
  <c r="J114" i="15"/>
  <c r="S114" i="15" s="1"/>
  <c r="S66" i="15"/>
  <c r="G119" i="14"/>
  <c r="O119" i="14" s="1"/>
  <c r="O71" i="14"/>
  <c r="R65" i="15"/>
  <c r="I113" i="15"/>
  <c r="R113" i="15" s="1"/>
  <c r="I82" i="15"/>
  <c r="R82" i="15" s="1"/>
  <c r="I82" i="8"/>
  <c r="R82" i="8" s="1"/>
  <c r="AQ94" i="2"/>
  <c r="AW93" i="2"/>
  <c r="U74" i="16"/>
  <c r="U74" i="10"/>
  <c r="AS86" i="2"/>
  <c r="O69" i="14"/>
  <c r="G117" i="14"/>
  <c r="O117" i="14" s="1"/>
  <c r="V82" i="16"/>
  <c r="AT94" i="2"/>
  <c r="Q60" i="15"/>
  <c r="H108" i="15"/>
  <c r="Q108" i="15" s="1"/>
  <c r="O60" i="14"/>
  <c r="G108" i="14"/>
  <c r="O108" i="14" s="1"/>
  <c r="J84" i="15"/>
  <c r="S84" i="15" s="1"/>
  <c r="J84" i="8"/>
  <c r="S84" i="8" s="1"/>
  <c r="AZ96" i="2"/>
  <c r="H85" i="15"/>
  <c r="Q85" i="15" s="1"/>
  <c r="G85" i="14"/>
  <c r="O85" i="14" s="1"/>
  <c r="H85" i="8"/>
  <c r="Q85" i="8" s="1"/>
  <c r="G85" i="6"/>
  <c r="O85" i="6" s="1"/>
  <c r="R85" i="6" s="1"/>
  <c r="S85" i="6" s="1"/>
  <c r="BC97" i="2"/>
  <c r="H121" i="15"/>
  <c r="Q121" i="15" s="1"/>
  <c r="Q73" i="15"/>
  <c r="V75" i="16"/>
  <c r="AT87" i="2"/>
  <c r="AW88" i="2"/>
  <c r="AW96" i="2"/>
  <c r="U91" i="10"/>
  <c r="T92" i="10"/>
  <c r="U78" i="16"/>
  <c r="U78" i="10"/>
  <c r="AS90" i="2"/>
  <c r="AU93" i="2"/>
  <c r="J89" i="15"/>
  <c r="S89" i="15" s="1"/>
  <c r="J89" i="8"/>
  <c r="S89" i="8" s="1"/>
  <c r="S106" i="16"/>
  <c r="S118" i="16"/>
  <c r="H94" i="15"/>
  <c r="Q94" i="15" s="1"/>
  <c r="H94" i="8"/>
  <c r="Q94" i="8" s="1"/>
  <c r="G94" i="6"/>
  <c r="O94" i="6" s="1"/>
  <c r="R94" i="6" s="1"/>
  <c r="S94" i="6" s="1"/>
  <c r="G94" i="14"/>
  <c r="O94" i="14" s="1"/>
  <c r="R71" i="15"/>
  <c r="I119" i="15"/>
  <c r="R119" i="15" s="1"/>
  <c r="AU87" i="2"/>
  <c r="I8" i="13"/>
  <c r="J95" i="15"/>
  <c r="S95" i="15" s="1"/>
  <c r="J95" i="8"/>
  <c r="S95" i="8" s="1"/>
  <c r="T93" i="10"/>
  <c r="AT90" i="2"/>
  <c r="G68" i="14"/>
  <c r="H68" i="8"/>
  <c r="Q68" i="8" s="1"/>
  <c r="T68" i="8" s="1"/>
  <c r="H68" i="15"/>
  <c r="BC80" i="2"/>
  <c r="G68" i="6"/>
  <c r="O68" i="6" s="1"/>
  <c r="R68" i="6" s="1"/>
  <c r="S63" i="15"/>
  <c r="J111" i="15"/>
  <c r="S111" i="15" s="1"/>
  <c r="T86" i="10"/>
  <c r="AU90" i="2"/>
  <c r="AQ97" i="2"/>
  <c r="I85" i="15"/>
  <c r="R85" i="15" s="1"/>
  <c r="I85" i="8"/>
  <c r="R85" i="8" s="1"/>
  <c r="S70" i="15"/>
  <c r="J118" i="15"/>
  <c r="S118" i="15" s="1"/>
  <c r="J78" i="15"/>
  <c r="S78" i="15" s="1"/>
  <c r="J78" i="8"/>
  <c r="S78" i="8" s="1"/>
  <c r="AZ90" i="2"/>
  <c r="H83" i="15"/>
  <c r="Q83" i="15" s="1"/>
  <c r="G83" i="14"/>
  <c r="O83" i="14" s="1"/>
  <c r="H83" i="8"/>
  <c r="Q83" i="8" s="1"/>
  <c r="BC95" i="2"/>
  <c r="G83" i="6"/>
  <c r="O83" i="6" s="1"/>
  <c r="R83" i="6" s="1"/>
  <c r="H119" i="15"/>
  <c r="Q119" i="15" s="1"/>
  <c r="Q71" i="15"/>
  <c r="G102" i="14"/>
  <c r="O102" i="14" s="1"/>
  <c r="O54" i="14"/>
  <c r="U75" i="16"/>
  <c r="U75" i="10"/>
  <c r="AS87" i="2"/>
  <c r="I118" i="15"/>
  <c r="R118" i="15" s="1"/>
  <c r="R70" i="15"/>
  <c r="T75" i="16"/>
  <c r="T75" i="10"/>
  <c r="AR87" i="2"/>
  <c r="H81" i="15"/>
  <c r="Q81" i="15" s="1"/>
  <c r="H81" i="8"/>
  <c r="Q81" i="8" s="1"/>
  <c r="BC93" i="2"/>
  <c r="G81" i="6"/>
  <c r="O81" i="6" s="1"/>
  <c r="R81" i="6" s="1"/>
  <c r="S81" i="6" s="1"/>
  <c r="G81" i="14"/>
  <c r="O81" i="14" s="1"/>
  <c r="H117" i="15"/>
  <c r="Q117" i="15" s="1"/>
  <c r="Q69" i="15"/>
  <c r="S73" i="15"/>
  <c r="J121" i="15"/>
  <c r="S121" i="15" s="1"/>
  <c r="S121" i="16"/>
  <c r="S109" i="16"/>
  <c r="T88" i="10"/>
  <c r="H72" i="15"/>
  <c r="G72" i="14"/>
  <c r="H72" i="8"/>
  <c r="Q72" i="8" s="1"/>
  <c r="T72" i="8" s="1"/>
  <c r="BC84" i="2"/>
  <c r="G72" i="6"/>
  <c r="O72" i="6" s="1"/>
  <c r="R72" i="6" s="1"/>
  <c r="S72" i="6" s="1"/>
  <c r="U76" i="16"/>
  <c r="AS88" i="2"/>
  <c r="U76" i="10"/>
  <c r="J88" i="15"/>
  <c r="S88" i="15" s="1"/>
  <c r="J88" i="8"/>
  <c r="S88" i="8" s="1"/>
  <c r="T73" i="8"/>
  <c r="U80" i="16"/>
  <c r="U80" i="10"/>
  <c r="AS92" i="2"/>
  <c r="I90" i="15"/>
  <c r="R90" i="15" s="1"/>
  <c r="I90" i="8"/>
  <c r="R90" i="8" s="1"/>
  <c r="I81" i="15"/>
  <c r="R81" i="15" s="1"/>
  <c r="AQ93" i="2"/>
  <c r="I81" i="8"/>
  <c r="R81" i="8" s="1"/>
  <c r="I86" i="15"/>
  <c r="R86" i="15" s="1"/>
  <c r="I86" i="8"/>
  <c r="R86" i="8" s="1"/>
  <c r="H111" i="15"/>
  <c r="Q111" i="15" s="1"/>
  <c r="Q63" i="15"/>
  <c r="J86" i="15"/>
  <c r="S86" i="15" s="1"/>
  <c r="J86" i="8"/>
  <c r="S86" i="8" s="1"/>
  <c r="AU91" i="2"/>
  <c r="U82" i="10"/>
  <c r="AS94" i="2"/>
  <c r="J91" i="15"/>
  <c r="S91" i="15" s="1"/>
  <c r="J91" i="8"/>
  <c r="S91" i="8" s="1"/>
  <c r="T95" i="10"/>
  <c r="V77" i="16"/>
  <c r="AT89" i="2"/>
  <c r="T89" i="16"/>
  <c r="G100" i="14"/>
  <c r="O100" i="14" s="1"/>
  <c r="O52" i="14"/>
  <c r="S68" i="6"/>
  <c r="I83" i="15"/>
  <c r="R83" i="15" s="1"/>
  <c r="AQ95" i="2"/>
  <c r="I83" i="8"/>
  <c r="R83" i="8" s="1"/>
  <c r="G101" i="14"/>
  <c r="O101" i="14" s="1"/>
  <c r="O53" i="14"/>
  <c r="AW92" i="2"/>
  <c r="AW86" i="2"/>
  <c r="U84" i="16"/>
  <c r="AS96" i="2"/>
  <c r="U77" i="16"/>
  <c r="U77" i="10"/>
  <c r="AS89" i="2"/>
  <c r="G64" i="14"/>
  <c r="H64" i="8"/>
  <c r="Q64" i="8" s="1"/>
  <c r="T64" i="8" s="1"/>
  <c r="G64" i="6"/>
  <c r="O64" i="6" s="1"/>
  <c r="R64" i="6" s="1"/>
  <c r="S64" i="6" s="1"/>
  <c r="H64" i="15"/>
  <c r="BC76" i="2"/>
  <c r="AW94" i="2"/>
  <c r="J92" i="15"/>
  <c r="S92" i="15" s="1"/>
  <c r="J92" i="8"/>
  <c r="S92" i="8" s="1"/>
  <c r="H101" i="15"/>
  <c r="Q101" i="15" s="1"/>
  <c r="Q53" i="15"/>
  <c r="I111" i="15"/>
  <c r="R111" i="15" s="1"/>
  <c r="R63" i="15"/>
  <c r="Q56" i="15"/>
  <c r="H104" i="15"/>
  <c r="Q104" i="15" s="1"/>
  <c r="AU89" i="2"/>
  <c r="T82" i="16"/>
  <c r="T82" i="10"/>
  <c r="AR94" i="2"/>
  <c r="T85" i="16"/>
  <c r="T85" i="10"/>
  <c r="AR97" i="2"/>
  <c r="S114" i="16"/>
  <c r="S102" i="16"/>
  <c r="J75" i="15"/>
  <c r="S75" i="15" s="1"/>
  <c r="J75" i="8"/>
  <c r="S75" i="8" s="1"/>
  <c r="AZ87" i="2"/>
  <c r="I115" i="15"/>
  <c r="R115" i="15" s="1"/>
  <c r="R67" i="15"/>
  <c r="J82" i="15"/>
  <c r="S82" i="15" s="1"/>
  <c r="J82" i="8"/>
  <c r="S82" i="8" s="1"/>
  <c r="AZ94" i="2"/>
  <c r="G66" i="14"/>
  <c r="H66" i="8"/>
  <c r="Q66" i="8" s="1"/>
  <c r="T66" i="8" s="1"/>
  <c r="G66" i="6"/>
  <c r="O66" i="6" s="1"/>
  <c r="R66" i="6" s="1"/>
  <c r="S66" i="6" s="1"/>
  <c r="BC78" i="2"/>
  <c r="H66" i="15"/>
  <c r="Q54" i="15"/>
  <c r="H102" i="15"/>
  <c r="Q102" i="15" s="1"/>
  <c r="I77" i="15"/>
  <c r="R77" i="15" s="1"/>
  <c r="AQ89" i="2"/>
  <c r="I77" i="8"/>
  <c r="R77" i="8" s="1"/>
  <c r="T84" i="16"/>
  <c r="T84" i="10"/>
  <c r="AR96" i="2"/>
  <c r="T69" i="8"/>
  <c r="T78" i="16"/>
  <c r="T78" i="10"/>
  <c r="AR90" i="2"/>
  <c r="J85" i="15"/>
  <c r="S85" i="15" s="1"/>
  <c r="J85" i="8"/>
  <c r="S85" i="8" s="1"/>
  <c r="AZ97" i="2"/>
  <c r="U81" i="10"/>
  <c r="AS93" i="2"/>
  <c r="R69" i="15"/>
  <c r="I117" i="15"/>
  <c r="R117" i="15" s="1"/>
  <c r="G103" i="14"/>
  <c r="O103" i="14" s="1"/>
  <c r="O55" i="14"/>
  <c r="J93" i="15"/>
  <c r="S93" i="15" s="1"/>
  <c r="J93" i="8"/>
  <c r="S93" i="8" s="1"/>
  <c r="AU97" i="2"/>
  <c r="G75" i="14"/>
  <c r="O75" i="14" s="1"/>
  <c r="H75" i="15"/>
  <c r="Q75" i="15" s="1"/>
  <c r="BC87" i="2"/>
  <c r="H75" i="8"/>
  <c r="Q75" i="8" s="1"/>
  <c r="G75" i="6"/>
  <c r="O75" i="6" s="1"/>
  <c r="R75" i="6" s="1"/>
  <c r="S75" i="6" s="1"/>
  <c r="G111" i="14"/>
  <c r="O111" i="14" s="1"/>
  <c r="O63" i="14"/>
  <c r="U85" i="10"/>
  <c r="AS97" i="2"/>
  <c r="AW97" i="2"/>
  <c r="Q52" i="15"/>
  <c r="H100" i="15"/>
  <c r="Q100" i="15" s="1"/>
  <c r="L45" i="14"/>
  <c r="R45" i="14" s="1"/>
  <c r="C90" i="8"/>
  <c r="C89" i="10"/>
  <c r="C89" i="16"/>
  <c r="C92" i="16"/>
  <c r="C22" i="15"/>
  <c r="C22" i="8"/>
  <c r="U22" i="8" s="1"/>
  <c r="C20" i="15"/>
  <c r="C20" i="8"/>
  <c r="U20" i="8" s="1"/>
  <c r="C23" i="8"/>
  <c r="U23" i="8" s="1"/>
  <c r="C23" i="15"/>
  <c r="C41" i="10"/>
  <c r="AA41" i="10" s="1"/>
  <c r="C41" i="16"/>
  <c r="C39" i="10"/>
  <c r="AA39" i="10" s="1"/>
  <c r="C39" i="16"/>
  <c r="C44" i="10"/>
  <c r="AA44" i="10" s="1"/>
  <c r="C44" i="16"/>
  <c r="C74" i="14"/>
  <c r="E11" i="19" s="1"/>
  <c r="C74" i="6"/>
  <c r="C84" i="15"/>
  <c r="C84" i="8"/>
  <c r="C83" i="8"/>
  <c r="C83" i="15"/>
  <c r="C77" i="8"/>
  <c r="C77" i="15"/>
  <c r="C52" i="16"/>
  <c r="C52" i="10"/>
  <c r="AA52" i="10" s="1"/>
  <c r="T9" i="19"/>
  <c r="W9" i="19" s="1"/>
  <c r="C57" i="16"/>
  <c r="C57" i="10"/>
  <c r="AA57" i="10" s="1"/>
  <c r="C64" i="8"/>
  <c r="C64" i="15"/>
  <c r="J62" i="2"/>
  <c r="L10" i="19"/>
  <c r="O10" i="19" s="1"/>
  <c r="C69" i="15"/>
  <c r="C69" i="8"/>
  <c r="C52" i="8"/>
  <c r="U52" i="8" s="1"/>
  <c r="C52" i="15"/>
  <c r="C55" i="15"/>
  <c r="C55" i="8"/>
  <c r="U55" i="8" s="1"/>
  <c r="C58" i="15"/>
  <c r="C58" i="8"/>
  <c r="U58" i="8" s="1"/>
  <c r="C28" i="15"/>
  <c r="C28" i="8"/>
  <c r="U28" i="8" s="1"/>
  <c r="C32" i="8"/>
  <c r="U32" i="8" s="1"/>
  <c r="C32" i="15"/>
  <c r="C30" i="15"/>
  <c r="C30" i="8"/>
  <c r="U30" i="8" s="1"/>
  <c r="C96" i="16"/>
  <c r="C96" i="10"/>
  <c r="C26" i="14"/>
  <c r="E7" i="19" s="1"/>
  <c r="C26" i="6"/>
  <c r="C43" i="10"/>
  <c r="AA43" i="10" s="1"/>
  <c r="C43" i="16"/>
  <c r="C46" i="10"/>
  <c r="AA46" i="10" s="1"/>
  <c r="C46" i="16"/>
  <c r="C45" i="10"/>
  <c r="AA45" i="10" s="1"/>
  <c r="C45" i="16"/>
  <c r="C11" i="15"/>
  <c r="C11" i="8"/>
  <c r="U11" i="8" s="1"/>
  <c r="C80" i="15"/>
  <c r="C80" i="8"/>
  <c r="C81" i="8"/>
  <c r="C81" i="15"/>
  <c r="C51" i="16"/>
  <c r="C51" i="10"/>
  <c r="AA51" i="10" s="1"/>
  <c r="C54" i="16"/>
  <c r="C54" i="10"/>
  <c r="AA54" i="10" s="1"/>
  <c r="C61" i="16"/>
  <c r="C61" i="10"/>
  <c r="AA61" i="10" s="1"/>
  <c r="C63" i="8"/>
  <c r="C63" i="15"/>
  <c r="C66" i="8"/>
  <c r="C66" i="15"/>
  <c r="C73" i="8"/>
  <c r="C73" i="15"/>
  <c r="C86" i="14"/>
  <c r="E12" i="19" s="1"/>
  <c r="C86" i="6"/>
  <c r="C56" i="8"/>
  <c r="U56" i="8" s="1"/>
  <c r="C56" i="15"/>
  <c r="C59" i="8"/>
  <c r="U59" i="8" s="1"/>
  <c r="C59" i="15"/>
  <c r="C53" i="15"/>
  <c r="C53" i="8"/>
  <c r="U53" i="8" s="1"/>
  <c r="C33" i="8"/>
  <c r="U33" i="8" s="1"/>
  <c r="C33" i="15"/>
  <c r="C31" i="15"/>
  <c r="C31" i="8"/>
  <c r="U31" i="8" s="1"/>
  <c r="C34" i="15"/>
  <c r="C34" i="8"/>
  <c r="U34" i="8" s="1"/>
  <c r="S62" i="6"/>
  <c r="C9" i="13"/>
  <c r="S14" i="6"/>
  <c r="C5" i="13"/>
  <c r="E5" i="13" s="1"/>
  <c r="H104" i="14"/>
  <c r="P103" i="14"/>
  <c r="C95" i="16"/>
  <c r="C95" i="10"/>
  <c r="C90" i="10"/>
  <c r="C90" i="16"/>
  <c r="C97" i="10"/>
  <c r="C97" i="16"/>
  <c r="C50" i="14"/>
  <c r="E9" i="19" s="1"/>
  <c r="C50" i="6"/>
  <c r="C19" i="15"/>
  <c r="C48" i="16"/>
  <c r="C48" i="10"/>
  <c r="AA48" i="10" s="1"/>
  <c r="C40" i="16"/>
  <c r="C40" i="10"/>
  <c r="AA40" i="10" s="1"/>
  <c r="C49" i="16"/>
  <c r="C49" i="10"/>
  <c r="AA49" i="10" s="1"/>
  <c r="C8" i="15"/>
  <c r="C8" i="8"/>
  <c r="U8" i="8" s="1"/>
  <c r="J2" i="2"/>
  <c r="C3" i="15"/>
  <c r="C3" i="8"/>
  <c r="U3" i="8" s="1"/>
  <c r="C38" i="8"/>
  <c r="C38" i="15"/>
  <c r="C14" i="10"/>
  <c r="C14" i="16"/>
  <c r="C75" i="8"/>
  <c r="C75" i="15"/>
  <c r="C85" i="8"/>
  <c r="C85" i="15"/>
  <c r="C55" i="16"/>
  <c r="C55" i="10"/>
  <c r="AA55" i="10" s="1"/>
  <c r="C58" i="16"/>
  <c r="C58" i="10"/>
  <c r="AA58" i="10" s="1"/>
  <c r="C56" i="16"/>
  <c r="C56" i="10"/>
  <c r="AA56" i="10" s="1"/>
  <c r="C68" i="8"/>
  <c r="U68" i="8" s="1"/>
  <c r="C68" i="15"/>
  <c r="C67" i="15"/>
  <c r="C67" i="8"/>
  <c r="C70" i="8"/>
  <c r="C70" i="15"/>
  <c r="D16" i="24"/>
  <c r="J11" i="21"/>
  <c r="C60" i="8"/>
  <c r="U60" i="8" s="1"/>
  <c r="C60" i="15"/>
  <c r="J50" i="2"/>
  <c r="L9" i="19"/>
  <c r="O9" i="19" s="1"/>
  <c r="C57" i="15"/>
  <c r="C57" i="8"/>
  <c r="U57" i="8" s="1"/>
  <c r="L7" i="19"/>
  <c r="O7" i="19" s="1"/>
  <c r="J26" i="2"/>
  <c r="C35" i="15"/>
  <c r="C35" i="8"/>
  <c r="U35" i="8" s="1"/>
  <c r="C37" i="8"/>
  <c r="U37" i="8" s="1"/>
  <c r="C37" i="15"/>
  <c r="C91" i="10"/>
  <c r="C62" i="10"/>
  <c r="C62" i="16"/>
  <c r="C18" i="8"/>
  <c r="U18" i="8" s="1"/>
  <c r="C16" i="8"/>
  <c r="U16" i="8" s="1"/>
  <c r="C21" i="15"/>
  <c r="C21" i="8"/>
  <c r="U21" i="8" s="1"/>
  <c r="T8" i="19"/>
  <c r="W8" i="19" s="1"/>
  <c r="C47" i="16"/>
  <c r="C47" i="10"/>
  <c r="AA47" i="10" s="1"/>
  <c r="C42" i="16"/>
  <c r="C42" i="10"/>
  <c r="AA42" i="10" s="1"/>
  <c r="C2" i="6"/>
  <c r="C2" i="14"/>
  <c r="E5" i="19" s="1"/>
  <c r="C86" i="15"/>
  <c r="C86" i="8"/>
  <c r="C79" i="8"/>
  <c r="C79" i="15"/>
  <c r="C82" i="15"/>
  <c r="C82" i="8"/>
  <c r="C59" i="16"/>
  <c r="C59" i="10"/>
  <c r="AA59" i="10" s="1"/>
  <c r="C53" i="16"/>
  <c r="C53" i="10"/>
  <c r="AA53" i="10" s="1"/>
  <c r="C60" i="16"/>
  <c r="C60" i="10"/>
  <c r="AA60" i="10" s="1"/>
  <c r="C72" i="8"/>
  <c r="U72" i="8" s="1"/>
  <c r="C72" i="15"/>
  <c r="C71" i="15"/>
  <c r="C71" i="8"/>
  <c r="U71" i="8" s="1"/>
  <c r="C65" i="15"/>
  <c r="C65" i="8"/>
  <c r="C38" i="14"/>
  <c r="E8" i="19" s="1"/>
  <c r="C38" i="6"/>
  <c r="C51" i="15"/>
  <c r="C51" i="8"/>
  <c r="U51" i="8" s="1"/>
  <c r="C54" i="15"/>
  <c r="C54" i="8"/>
  <c r="U54" i="8" s="1"/>
  <c r="C61" i="15"/>
  <c r="C61" i="8"/>
  <c r="U61" i="8" s="1"/>
  <c r="C36" i="15"/>
  <c r="C36" i="8"/>
  <c r="U36" i="8" s="1"/>
  <c r="C27" i="15"/>
  <c r="C27" i="8"/>
  <c r="U27" i="8" s="1"/>
  <c r="C29" i="15"/>
  <c r="C29" i="8"/>
  <c r="U29" i="8" s="1"/>
  <c r="M40" i="14"/>
  <c r="E52" i="14"/>
  <c r="T36" i="15"/>
  <c r="T31" i="15"/>
  <c r="N6" i="19"/>
  <c r="R42" i="14"/>
  <c r="R38" i="14"/>
  <c r="M40" i="15"/>
  <c r="T40" i="15" s="1"/>
  <c r="D52" i="15"/>
  <c r="N45" i="15"/>
  <c r="T45" i="15" s="1"/>
  <c r="E57" i="15"/>
  <c r="E67" i="14"/>
  <c r="M55" i="14"/>
  <c r="E68" i="15"/>
  <c r="N56" i="15"/>
  <c r="R49" i="14"/>
  <c r="M58" i="15"/>
  <c r="D70" i="15"/>
  <c r="E66" i="14"/>
  <c r="M54" i="14"/>
  <c r="M54" i="15"/>
  <c r="D66" i="15"/>
  <c r="Q47" i="16"/>
  <c r="D62" i="14"/>
  <c r="L50" i="14"/>
  <c r="D65" i="15"/>
  <c r="M53" i="15"/>
  <c r="N48" i="15"/>
  <c r="E60" i="15"/>
  <c r="Q38" i="16"/>
  <c r="D73" i="15"/>
  <c r="M61" i="15"/>
  <c r="E59" i="15"/>
  <c r="N47" i="15"/>
  <c r="M48" i="15"/>
  <c r="D60" i="15"/>
  <c r="E53" i="15"/>
  <c r="N41" i="15"/>
  <c r="D66" i="14"/>
  <c r="L54" i="14"/>
  <c r="E65" i="14"/>
  <c r="M53" i="14"/>
  <c r="E51" i="15"/>
  <c r="N39" i="15"/>
  <c r="Q45" i="16"/>
  <c r="D60" i="14"/>
  <c r="L48" i="14"/>
  <c r="Q52" i="16"/>
  <c r="L57" i="14"/>
  <c r="D69" i="14"/>
  <c r="Q56" i="16"/>
  <c r="E54" i="15"/>
  <c r="N42" i="15"/>
  <c r="E61" i="15"/>
  <c r="N49" i="15"/>
  <c r="T49" i="15" s="1"/>
  <c r="D59" i="15"/>
  <c r="M47" i="15"/>
  <c r="E64" i="15"/>
  <c r="N52" i="15"/>
  <c r="D51" i="15"/>
  <c r="M39" i="15"/>
  <c r="N38" i="15"/>
  <c r="T38" i="15" s="1"/>
  <c r="E50" i="15"/>
  <c r="E69" i="14"/>
  <c r="M57" i="14"/>
  <c r="Q42" i="16"/>
  <c r="L53" i="14"/>
  <c r="D65" i="14"/>
  <c r="M68" i="14"/>
  <c r="E80" i="14"/>
  <c r="R46" i="14"/>
  <c r="Q41" i="16"/>
  <c r="M43" i="15"/>
  <c r="D55" i="15"/>
  <c r="D55" i="14"/>
  <c r="L43" i="14"/>
  <c r="R43" i="14" s="1"/>
  <c r="D59" i="14"/>
  <c r="L47" i="14"/>
  <c r="R47" i="14" s="1"/>
  <c r="Q46" i="16"/>
  <c r="E55" i="15"/>
  <c r="N43" i="15"/>
  <c r="D56" i="14"/>
  <c r="L44" i="14"/>
  <c r="R44" i="14" s="1"/>
  <c r="T35" i="15"/>
  <c r="E71" i="14"/>
  <c r="M59" i="14"/>
  <c r="Q43" i="16"/>
  <c r="T27" i="15"/>
  <c r="D69" i="15"/>
  <c r="M57" i="15"/>
  <c r="R41" i="14"/>
  <c r="E70" i="14"/>
  <c r="M58" i="14"/>
  <c r="M50" i="15"/>
  <c r="D62" i="15"/>
  <c r="D70" i="14"/>
  <c r="L58" i="14"/>
  <c r="Q49" i="16"/>
  <c r="E63" i="14"/>
  <c r="M51" i="14"/>
  <c r="D51" i="14"/>
  <c r="L39" i="14"/>
  <c r="R39" i="14" s="1"/>
  <c r="E73" i="14"/>
  <c r="M61" i="14"/>
  <c r="D52" i="14"/>
  <c r="L40" i="14"/>
  <c r="Q39" i="16"/>
  <c r="Q48" i="16"/>
  <c r="N46" i="15"/>
  <c r="T46" i="15" s="1"/>
  <c r="E58" i="15"/>
  <c r="L61" i="14"/>
  <c r="D73" i="14"/>
  <c r="D56" i="15"/>
  <c r="M44" i="15"/>
  <c r="T44" i="15" s="1"/>
  <c r="E62" i="14"/>
  <c r="M50" i="14"/>
  <c r="M60" i="14"/>
  <c r="E72" i="14"/>
  <c r="C76" i="8" l="1"/>
  <c r="C15" i="8"/>
  <c r="U15" i="8" s="1"/>
  <c r="C95" i="15"/>
  <c r="C25" i="8"/>
  <c r="U25" i="8" s="1"/>
  <c r="C4" i="16"/>
  <c r="C87" i="15"/>
  <c r="L11" i="19"/>
  <c r="O11" i="19" s="1"/>
  <c r="I92" i="10"/>
  <c r="K92" i="16"/>
  <c r="K92" i="10"/>
  <c r="W92" i="10" s="1"/>
  <c r="M87" i="16"/>
  <c r="Y87" i="10"/>
  <c r="L97" i="16"/>
  <c r="X97" i="10"/>
  <c r="J94" i="16"/>
  <c r="J94" i="10"/>
  <c r="L93" i="16"/>
  <c r="X93" i="10"/>
  <c r="C78" i="8"/>
  <c r="J74" i="2"/>
  <c r="C74" i="8" s="1"/>
  <c r="I88" i="10"/>
  <c r="K88" i="16"/>
  <c r="K88" i="10"/>
  <c r="W88" i="10" s="1"/>
  <c r="I93" i="10"/>
  <c r="K93" i="16"/>
  <c r="K93" i="10"/>
  <c r="W93" i="10" s="1"/>
  <c r="I89" i="10"/>
  <c r="K89" i="16"/>
  <c r="K89" i="10"/>
  <c r="W89" i="10" s="1"/>
  <c r="C89" i="15"/>
  <c r="I109" i="16"/>
  <c r="I121" i="16" s="1"/>
  <c r="M88" i="16"/>
  <c r="Y88" i="10"/>
  <c r="M90" i="16"/>
  <c r="Y90" i="10"/>
  <c r="AA71" i="10"/>
  <c r="J86" i="16"/>
  <c r="J86" i="10"/>
  <c r="L95" i="16"/>
  <c r="X95" i="10"/>
  <c r="L91" i="16"/>
  <c r="X91" i="10"/>
  <c r="L88" i="16"/>
  <c r="X88" i="10"/>
  <c r="L96" i="16"/>
  <c r="X96" i="10"/>
  <c r="U66" i="8"/>
  <c r="C24" i="8"/>
  <c r="U24" i="8" s="1"/>
  <c r="I97" i="10"/>
  <c r="K97" i="16"/>
  <c r="K97" i="10"/>
  <c r="W97" i="10" s="1"/>
  <c r="C92" i="15"/>
  <c r="I100" i="16"/>
  <c r="I112" i="16" s="1"/>
  <c r="Z82" i="10"/>
  <c r="M95" i="16"/>
  <c r="Y95" i="10"/>
  <c r="M96" i="16"/>
  <c r="Y96" i="10"/>
  <c r="M97" i="16"/>
  <c r="Y97" i="10"/>
  <c r="M89" i="16"/>
  <c r="Y89" i="10"/>
  <c r="J91" i="16"/>
  <c r="J91" i="10"/>
  <c r="J96" i="16"/>
  <c r="J96" i="10"/>
  <c r="L86" i="16"/>
  <c r="X86" i="10"/>
  <c r="J87" i="16"/>
  <c r="J87" i="10"/>
  <c r="J88" i="16"/>
  <c r="V88" i="16" s="1"/>
  <c r="J88" i="10"/>
  <c r="J92" i="16"/>
  <c r="J92" i="10"/>
  <c r="L90" i="16"/>
  <c r="X90" i="10"/>
  <c r="L94" i="16"/>
  <c r="X94" i="10"/>
  <c r="I96" i="10"/>
  <c r="U96" i="10" s="1"/>
  <c r="K96" i="16"/>
  <c r="K96" i="10"/>
  <c r="W96" i="10" s="1"/>
  <c r="I87" i="10"/>
  <c r="K87" i="16"/>
  <c r="K87" i="10"/>
  <c r="W87" i="10" s="1"/>
  <c r="M91" i="16"/>
  <c r="Y91" i="10"/>
  <c r="K103" i="16"/>
  <c r="W91" i="16"/>
  <c r="L12" i="19"/>
  <c r="O12" i="19" s="1"/>
  <c r="I94" i="10"/>
  <c r="K94" i="16"/>
  <c r="K94" i="10"/>
  <c r="W94" i="10" s="1"/>
  <c r="I86" i="10"/>
  <c r="K86" i="16"/>
  <c r="K86" i="10"/>
  <c r="W86" i="10" s="1"/>
  <c r="I90" i="10"/>
  <c r="K90" i="16"/>
  <c r="K90" i="10"/>
  <c r="W90" i="10" s="1"/>
  <c r="M86" i="16"/>
  <c r="Y86" i="10"/>
  <c r="M94" i="16"/>
  <c r="Y94" i="10"/>
  <c r="M92" i="16"/>
  <c r="Y92" i="10"/>
  <c r="I98" i="16"/>
  <c r="I110" i="16" s="1"/>
  <c r="M93" i="16"/>
  <c r="Y93" i="10"/>
  <c r="J93" i="16"/>
  <c r="J93" i="10"/>
  <c r="J90" i="16"/>
  <c r="J90" i="10"/>
  <c r="V90" i="10" s="1"/>
  <c r="L89" i="16"/>
  <c r="X89" i="10"/>
  <c r="J89" i="16"/>
  <c r="J89" i="10"/>
  <c r="V89" i="10" s="1"/>
  <c r="L92" i="16"/>
  <c r="X92" i="10"/>
  <c r="J95" i="16"/>
  <c r="J95" i="10"/>
  <c r="V95" i="10" s="1"/>
  <c r="Z95" i="10" s="1"/>
  <c r="AA95" i="10" s="1"/>
  <c r="J97" i="16"/>
  <c r="J97" i="10"/>
  <c r="L87" i="16"/>
  <c r="X87" i="10"/>
  <c r="K107" i="16"/>
  <c r="W95" i="16"/>
  <c r="C94" i="16"/>
  <c r="C93" i="10"/>
  <c r="C17" i="15"/>
  <c r="C39" i="15"/>
  <c r="C6" i="10"/>
  <c r="AA6" i="10" s="1"/>
  <c r="L6" i="19"/>
  <c r="O6" i="19" s="1"/>
  <c r="P6" i="19" s="1"/>
  <c r="J14" i="2"/>
  <c r="C14" i="8" s="1"/>
  <c r="C88" i="10"/>
  <c r="T12" i="19"/>
  <c r="W12" i="19" s="1"/>
  <c r="C87" i="10"/>
  <c r="T5" i="19"/>
  <c r="W5" i="19" s="1"/>
  <c r="X5" i="19" s="1"/>
  <c r="I5" i="20" s="1"/>
  <c r="Z85" i="10"/>
  <c r="Z75" i="10"/>
  <c r="Z76" i="10"/>
  <c r="C9" i="16"/>
  <c r="C10" i="10"/>
  <c r="AA10" i="10" s="1"/>
  <c r="Z84" i="10"/>
  <c r="Z78" i="10"/>
  <c r="U64" i="8"/>
  <c r="Z74" i="10"/>
  <c r="Z80" i="10"/>
  <c r="Z77" i="10"/>
  <c r="Z81" i="10"/>
  <c r="AA69" i="10"/>
  <c r="C32" i="10"/>
  <c r="AA32" i="10" s="1"/>
  <c r="AA73" i="10"/>
  <c r="C35" i="16"/>
  <c r="C21" i="16"/>
  <c r="C22" i="16"/>
  <c r="C16" i="10"/>
  <c r="AA16" i="10" s="1"/>
  <c r="C20" i="16"/>
  <c r="C31" i="16"/>
  <c r="C82" i="10"/>
  <c r="AA65" i="10"/>
  <c r="C33" i="16"/>
  <c r="C28" i="16"/>
  <c r="C23" i="10"/>
  <c r="AA23" i="10" s="1"/>
  <c r="C36" i="16"/>
  <c r="C22" i="10"/>
  <c r="AA22" i="10" s="1"/>
  <c r="T41" i="15"/>
  <c r="C82" i="16"/>
  <c r="C48" i="8"/>
  <c r="U48" i="8" s="1"/>
  <c r="Z46" i="16"/>
  <c r="C46" i="8"/>
  <c r="U46" i="8" s="1"/>
  <c r="P8" i="18"/>
  <c r="P6" i="18"/>
  <c r="P11" i="18"/>
  <c r="P7" i="18"/>
  <c r="P9" i="18"/>
  <c r="V91" i="16"/>
  <c r="V91" i="10"/>
  <c r="Z91" i="10" s="1"/>
  <c r="AA91" i="10" s="1"/>
  <c r="AA64" i="10"/>
  <c r="V86" i="16"/>
  <c r="V86" i="10"/>
  <c r="V88" i="10"/>
  <c r="V97" i="10"/>
  <c r="V93" i="10"/>
  <c r="T82" i="8"/>
  <c r="U82" i="8" s="1"/>
  <c r="V94" i="10"/>
  <c r="V92" i="10"/>
  <c r="V96" i="10"/>
  <c r="Z45" i="16"/>
  <c r="Z47" i="16"/>
  <c r="C26" i="16"/>
  <c r="C2" i="16"/>
  <c r="Z38" i="16"/>
  <c r="Z48" i="16"/>
  <c r="Z41" i="16"/>
  <c r="Z52" i="16"/>
  <c r="V7" i="19"/>
  <c r="Z56" i="16"/>
  <c r="Z39" i="16"/>
  <c r="F54" i="16"/>
  <c r="R42" i="16"/>
  <c r="Z42" i="16" s="1"/>
  <c r="F55" i="16"/>
  <c r="R43" i="16"/>
  <c r="Z43" i="16" s="1"/>
  <c r="F73" i="16"/>
  <c r="R61" i="16"/>
  <c r="F80" i="16"/>
  <c r="R68" i="16"/>
  <c r="F63" i="16"/>
  <c r="R51" i="16"/>
  <c r="F72" i="16"/>
  <c r="R60" i="16"/>
  <c r="F69" i="16"/>
  <c r="R57" i="16"/>
  <c r="F70" i="16"/>
  <c r="R58" i="16"/>
  <c r="F65" i="16"/>
  <c r="R53" i="16"/>
  <c r="Z49" i="16"/>
  <c r="F76" i="16"/>
  <c r="R64" i="16"/>
  <c r="F71" i="16"/>
  <c r="R59" i="16"/>
  <c r="F62" i="16"/>
  <c r="R50" i="16"/>
  <c r="AA66" i="10"/>
  <c r="T42" i="15"/>
  <c r="AA79" i="10"/>
  <c r="T39" i="15"/>
  <c r="C7" i="15"/>
  <c r="C4" i="8"/>
  <c r="U4" i="8" s="1"/>
  <c r="C10" i="15"/>
  <c r="C36" i="10"/>
  <c r="AA36" i="10" s="1"/>
  <c r="C13" i="8"/>
  <c r="U13" i="8" s="1"/>
  <c r="AA68" i="10"/>
  <c r="C12" i="8"/>
  <c r="U12" i="8" s="1"/>
  <c r="C33" i="10"/>
  <c r="AA33" i="10" s="1"/>
  <c r="C9" i="15"/>
  <c r="C42" i="15"/>
  <c r="C6" i="8"/>
  <c r="U6" i="8" s="1"/>
  <c r="C20" i="10"/>
  <c r="AA20" i="10" s="1"/>
  <c r="C5" i="8"/>
  <c r="U5" i="8" s="1"/>
  <c r="C26" i="10"/>
  <c r="AA26" i="10" s="1"/>
  <c r="C47" i="15"/>
  <c r="C23" i="16"/>
  <c r="T7" i="19"/>
  <c r="W7" i="19" s="1"/>
  <c r="C16" i="16"/>
  <c r="C35" i="10"/>
  <c r="AA35" i="10" s="1"/>
  <c r="T6" i="19"/>
  <c r="W6" i="19" s="1"/>
  <c r="X6" i="19" s="1"/>
  <c r="I6" i="20" s="1"/>
  <c r="C30" i="10"/>
  <c r="AA30" i="10" s="1"/>
  <c r="C30" i="16"/>
  <c r="C18" i="10"/>
  <c r="AA18" i="10" s="1"/>
  <c r="C18" i="16"/>
  <c r="C2" i="10"/>
  <c r="AA2" i="10" s="1"/>
  <c r="U70" i="8"/>
  <c r="L5" i="19"/>
  <c r="O5" i="19" s="1"/>
  <c r="P5" i="19" s="1"/>
  <c r="C32" i="16"/>
  <c r="C15" i="10"/>
  <c r="AA15" i="10" s="1"/>
  <c r="C15" i="16"/>
  <c r="L8" i="19"/>
  <c r="O8" i="19" s="1"/>
  <c r="AA72" i="10"/>
  <c r="C49" i="8"/>
  <c r="U49" i="8" s="1"/>
  <c r="C40" i="15"/>
  <c r="C40" i="8"/>
  <c r="U40" i="8" s="1"/>
  <c r="C25" i="10"/>
  <c r="AA25" i="10" s="1"/>
  <c r="C41" i="15"/>
  <c r="C41" i="8"/>
  <c r="U41" i="8" s="1"/>
  <c r="C77" i="16"/>
  <c r="C77" i="10"/>
  <c r="C17" i="16"/>
  <c r="C17" i="10"/>
  <c r="AA17" i="10" s="1"/>
  <c r="C75" i="16"/>
  <c r="C75" i="10"/>
  <c r="U10" i="19"/>
  <c r="S10" i="19" s="1"/>
  <c r="C74" i="16"/>
  <c r="AA83" i="10"/>
  <c r="C5" i="10"/>
  <c r="AA5" i="10" s="1"/>
  <c r="AA70" i="10"/>
  <c r="C74" i="10"/>
  <c r="C85" i="16"/>
  <c r="C85" i="10"/>
  <c r="C34" i="16"/>
  <c r="C37" i="16"/>
  <c r="C21" i="10"/>
  <c r="AA21" i="10" s="1"/>
  <c r="C81" i="16"/>
  <c r="C81" i="10"/>
  <c r="C34" i="10"/>
  <c r="AA34" i="10" s="1"/>
  <c r="C37" i="10"/>
  <c r="AA37" i="10" s="1"/>
  <c r="C25" i="16"/>
  <c r="C76" i="10"/>
  <c r="C76" i="16"/>
  <c r="C19" i="16"/>
  <c r="C78" i="16"/>
  <c r="C78" i="10"/>
  <c r="C19" i="10"/>
  <c r="AA19" i="10" s="1"/>
  <c r="C5" i="16"/>
  <c r="R48" i="14"/>
  <c r="N9" i="13"/>
  <c r="U63" i="8"/>
  <c r="U69" i="8"/>
  <c r="T83" i="8"/>
  <c r="U83" i="8" s="1"/>
  <c r="T11" i="19"/>
  <c r="W11" i="19" s="1"/>
  <c r="M12" i="19"/>
  <c r="I9" i="13"/>
  <c r="AA80" i="10"/>
  <c r="G116" i="14"/>
  <c r="O116" i="14" s="1"/>
  <c r="O68" i="14"/>
  <c r="S83" i="6"/>
  <c r="V95" i="16"/>
  <c r="J107" i="16"/>
  <c r="J105" i="16"/>
  <c r="V93" i="16"/>
  <c r="U93" i="10"/>
  <c r="J104" i="16"/>
  <c r="V92" i="16"/>
  <c r="I89" i="15"/>
  <c r="R89" i="15" s="1"/>
  <c r="I89" i="8"/>
  <c r="R89" i="8" s="1"/>
  <c r="Q66" i="15"/>
  <c r="H114" i="15"/>
  <c r="Q114" i="15" s="1"/>
  <c r="T101" i="16"/>
  <c r="T113" i="16"/>
  <c r="Q72" i="15"/>
  <c r="H120" i="15"/>
  <c r="Q120" i="15" s="1"/>
  <c r="T87" i="10"/>
  <c r="T85" i="8"/>
  <c r="U85" i="8" s="1"/>
  <c r="I94" i="15"/>
  <c r="R94" i="15" s="1"/>
  <c r="I94" i="8"/>
  <c r="R94" i="8" s="1"/>
  <c r="U97" i="10"/>
  <c r="J108" i="16"/>
  <c r="V96" i="16"/>
  <c r="T75" i="8"/>
  <c r="U75" i="8" s="1"/>
  <c r="AA84" i="10"/>
  <c r="H78" i="15"/>
  <c r="Q78" i="15" s="1"/>
  <c r="G78" i="14"/>
  <c r="O78" i="14" s="1"/>
  <c r="H78" i="8"/>
  <c r="Q78" i="8" s="1"/>
  <c r="T78" i="8" s="1"/>
  <c r="BC90" i="2"/>
  <c r="G78" i="6"/>
  <c r="O78" i="6" s="1"/>
  <c r="R78" i="6" s="1"/>
  <c r="S78" i="6" s="1"/>
  <c r="T94" i="10"/>
  <c r="H76" i="15"/>
  <c r="Q76" i="15" s="1"/>
  <c r="G76" i="6"/>
  <c r="O76" i="6" s="1"/>
  <c r="R76" i="6" s="1"/>
  <c r="S76" i="6" s="1"/>
  <c r="H76" i="8"/>
  <c r="Q76" i="8" s="1"/>
  <c r="T76" i="8" s="1"/>
  <c r="U76" i="8" s="1"/>
  <c r="G76" i="14"/>
  <c r="O76" i="14" s="1"/>
  <c r="BC88" i="2"/>
  <c r="O64" i="14"/>
  <c r="G112" i="14"/>
  <c r="O112" i="14" s="1"/>
  <c r="T95" i="16"/>
  <c r="I93" i="15"/>
  <c r="R93" i="15" s="1"/>
  <c r="I93" i="8"/>
  <c r="R93" i="8" s="1"/>
  <c r="U92" i="10"/>
  <c r="G84" i="14"/>
  <c r="O84" i="14" s="1"/>
  <c r="H84" i="15"/>
  <c r="Q84" i="15" s="1"/>
  <c r="G84" i="6"/>
  <c r="O84" i="6" s="1"/>
  <c r="R84" i="6" s="1"/>
  <c r="S84" i="6" s="1"/>
  <c r="H84" i="8"/>
  <c r="Q84" i="8" s="1"/>
  <c r="T84" i="8" s="1"/>
  <c r="U84" i="8" s="1"/>
  <c r="BC96" i="2"/>
  <c r="G93" i="14"/>
  <c r="O93" i="14" s="1"/>
  <c r="H93" i="15"/>
  <c r="Q93" i="15" s="1"/>
  <c r="G93" i="6"/>
  <c r="O93" i="6" s="1"/>
  <c r="R93" i="6" s="1"/>
  <c r="S93" i="6" s="1"/>
  <c r="H93" i="8"/>
  <c r="Q93" i="8" s="1"/>
  <c r="U87" i="10"/>
  <c r="G95" i="6"/>
  <c r="O95" i="6" s="1"/>
  <c r="R95" i="6" s="1"/>
  <c r="S95" i="6" s="1"/>
  <c r="H95" i="15"/>
  <c r="Q95" i="15" s="1"/>
  <c r="H95" i="8"/>
  <c r="Q95" i="8" s="1"/>
  <c r="G95" i="14"/>
  <c r="O95" i="14" s="1"/>
  <c r="J90" i="15"/>
  <c r="S90" i="15" s="1"/>
  <c r="J90" i="8"/>
  <c r="S90" i="8" s="1"/>
  <c r="G80" i="14"/>
  <c r="O80" i="14" s="1"/>
  <c r="G80" i="6"/>
  <c r="O80" i="6" s="1"/>
  <c r="R80" i="6" s="1"/>
  <c r="S80" i="6" s="1"/>
  <c r="H80" i="15"/>
  <c r="Q80" i="15" s="1"/>
  <c r="H80" i="8"/>
  <c r="Q80" i="8" s="1"/>
  <c r="T80" i="8" s="1"/>
  <c r="U80" i="8" s="1"/>
  <c r="BC92" i="2"/>
  <c r="T93" i="16"/>
  <c r="AA63" i="10"/>
  <c r="U90" i="10"/>
  <c r="T92" i="16"/>
  <c r="I87" i="15"/>
  <c r="R87" i="15" s="1"/>
  <c r="I87" i="8"/>
  <c r="R87" i="8" s="1"/>
  <c r="G110" i="14"/>
  <c r="O110" i="14" s="1"/>
  <c r="O62" i="14"/>
  <c r="J100" i="16"/>
  <c r="G115" i="14"/>
  <c r="O115" i="14" s="1"/>
  <c r="O67" i="14"/>
  <c r="O65" i="14"/>
  <c r="G113" i="14"/>
  <c r="O113" i="14" s="1"/>
  <c r="T96" i="10"/>
  <c r="U67" i="8"/>
  <c r="G87" i="14"/>
  <c r="O87" i="14" s="1"/>
  <c r="H87" i="15"/>
  <c r="Q87" i="15" s="1"/>
  <c r="H87" i="8"/>
  <c r="Q87" i="8" s="1"/>
  <c r="G87" i="6"/>
  <c r="O87" i="6" s="1"/>
  <c r="R87" i="6" s="1"/>
  <c r="S87" i="6" s="1"/>
  <c r="J97" i="15"/>
  <c r="S97" i="15" s="1"/>
  <c r="J97" i="8"/>
  <c r="S97" i="8" s="1"/>
  <c r="J94" i="15"/>
  <c r="S94" i="15" s="1"/>
  <c r="J94" i="8"/>
  <c r="S94" i="8" s="1"/>
  <c r="T97" i="10"/>
  <c r="Q64" i="15"/>
  <c r="H112" i="15"/>
  <c r="Q112" i="15" s="1"/>
  <c r="U95" i="16"/>
  <c r="I95" i="15"/>
  <c r="R95" i="15" s="1"/>
  <c r="I95" i="8"/>
  <c r="R95" i="8" s="1"/>
  <c r="U94" i="10"/>
  <c r="U88" i="10"/>
  <c r="T88" i="16"/>
  <c r="T81" i="8"/>
  <c r="U81" i="8" s="1"/>
  <c r="I97" i="15"/>
  <c r="R97" i="15" s="1"/>
  <c r="I97" i="8"/>
  <c r="R97" i="8" s="1"/>
  <c r="H116" i="15"/>
  <c r="Q116" i="15" s="1"/>
  <c r="Q68" i="15"/>
  <c r="G97" i="14"/>
  <c r="O97" i="14" s="1"/>
  <c r="H97" i="15"/>
  <c r="Q97" i="15" s="1"/>
  <c r="G97" i="6"/>
  <c r="O97" i="6" s="1"/>
  <c r="R97" i="6" s="1"/>
  <c r="S97" i="6" s="1"/>
  <c r="H97" i="8"/>
  <c r="Q97" i="8" s="1"/>
  <c r="U86" i="10"/>
  <c r="I91" i="15"/>
  <c r="R91" i="15" s="1"/>
  <c r="I91" i="8"/>
  <c r="R91" i="8" s="1"/>
  <c r="D9" i="13"/>
  <c r="E9" i="13" s="1"/>
  <c r="Q62" i="15"/>
  <c r="H110" i="15"/>
  <c r="Q110" i="15" s="1"/>
  <c r="H115" i="15"/>
  <c r="Q115" i="15" s="1"/>
  <c r="Q67" i="15"/>
  <c r="G77" i="14"/>
  <c r="O77" i="14" s="1"/>
  <c r="H77" i="15"/>
  <c r="Q77" i="15" s="1"/>
  <c r="H77" i="8"/>
  <c r="Q77" i="8" s="1"/>
  <c r="T77" i="8" s="1"/>
  <c r="U77" i="8" s="1"/>
  <c r="BC89" i="2"/>
  <c r="G77" i="6"/>
  <c r="O77" i="6" s="1"/>
  <c r="R77" i="6" s="1"/>
  <c r="S77" i="6" s="1"/>
  <c r="H113" i="15"/>
  <c r="Q113" i="15" s="1"/>
  <c r="Q65" i="15"/>
  <c r="G114" i="14"/>
  <c r="O114" i="14" s="1"/>
  <c r="O66" i="14"/>
  <c r="U65" i="8"/>
  <c r="U73" i="8"/>
  <c r="T90" i="10"/>
  <c r="J87" i="15"/>
  <c r="S87" i="15" s="1"/>
  <c r="J87" i="8"/>
  <c r="S87" i="8" s="1"/>
  <c r="U89" i="10"/>
  <c r="G120" i="14"/>
  <c r="O120" i="14" s="1"/>
  <c r="O72" i="14"/>
  <c r="T86" i="16"/>
  <c r="U91" i="16"/>
  <c r="V87" i="10"/>
  <c r="J96" i="15"/>
  <c r="S96" i="15" s="1"/>
  <c r="J96" i="8"/>
  <c r="S96" i="8" s="1"/>
  <c r="G74" i="14"/>
  <c r="O74" i="14" s="1"/>
  <c r="H74" i="15"/>
  <c r="Q74" i="15" s="1"/>
  <c r="BC86" i="2"/>
  <c r="H74" i="8"/>
  <c r="Q74" i="8" s="1"/>
  <c r="T74" i="8" s="1"/>
  <c r="G74" i="6"/>
  <c r="O74" i="6" s="1"/>
  <c r="R74" i="6" s="1"/>
  <c r="S74" i="6" s="1"/>
  <c r="T91" i="16"/>
  <c r="H79" i="15"/>
  <c r="Q79" i="15" s="1"/>
  <c r="H79" i="8"/>
  <c r="Q79" i="8" s="1"/>
  <c r="T79" i="8" s="1"/>
  <c r="U79" i="8" s="1"/>
  <c r="BC91" i="2"/>
  <c r="G79" i="6"/>
  <c r="O79" i="6" s="1"/>
  <c r="R79" i="6" s="1"/>
  <c r="S79" i="6" s="1"/>
  <c r="G79" i="14"/>
  <c r="O79" i="14" s="1"/>
  <c r="C3" i="10"/>
  <c r="AA3" i="10" s="1"/>
  <c r="C28" i="10"/>
  <c r="AA28" i="10" s="1"/>
  <c r="C31" i="10"/>
  <c r="AA31" i="10" s="1"/>
  <c r="C4" i="13"/>
  <c r="E4" i="13" s="1"/>
  <c r="S2" i="6"/>
  <c r="U38" i="8"/>
  <c r="C2" i="8"/>
  <c r="C2" i="15"/>
  <c r="C86" i="10"/>
  <c r="C86" i="16"/>
  <c r="U12" i="19" s="1"/>
  <c r="C10" i="13"/>
  <c r="C26" i="8"/>
  <c r="C26" i="15"/>
  <c r="M7" i="19" s="1"/>
  <c r="J12" i="21"/>
  <c r="C14" i="15"/>
  <c r="M6" i="19" s="1"/>
  <c r="C11" i="13"/>
  <c r="C74" i="15"/>
  <c r="M11" i="19" s="1"/>
  <c r="S26" i="6"/>
  <c r="C6" i="13"/>
  <c r="E6" i="13" s="1"/>
  <c r="C62" i="15"/>
  <c r="M10" i="19" s="1"/>
  <c r="C62" i="8"/>
  <c r="C38" i="16"/>
  <c r="U8" i="19" s="1"/>
  <c r="S8" i="19" s="1"/>
  <c r="C38" i="10"/>
  <c r="AA62" i="10"/>
  <c r="M9" i="13"/>
  <c r="C50" i="15"/>
  <c r="M9" i="19" s="1"/>
  <c r="C50" i="8"/>
  <c r="D21" i="24"/>
  <c r="AA14" i="10"/>
  <c r="C8" i="13"/>
  <c r="E8" i="13" s="1"/>
  <c r="S50" i="6"/>
  <c r="S38" i="6"/>
  <c r="C7" i="13"/>
  <c r="E7" i="13" s="1"/>
  <c r="H11" i="13"/>
  <c r="H105" i="14"/>
  <c r="P104" i="14"/>
  <c r="C50" i="10"/>
  <c r="C50" i="16"/>
  <c r="U9" i="19" s="1"/>
  <c r="R58" i="14"/>
  <c r="R40" i="14"/>
  <c r="R54" i="14"/>
  <c r="M52" i="14"/>
  <c r="E64" i="14"/>
  <c r="N7" i="19"/>
  <c r="P7" i="19" s="1"/>
  <c r="R61" i="14"/>
  <c r="T47" i="15"/>
  <c r="R53" i="14"/>
  <c r="E74" i="14"/>
  <c r="M62" i="14"/>
  <c r="Q55" i="16"/>
  <c r="T43" i="15"/>
  <c r="E81" i="14"/>
  <c r="M69" i="14"/>
  <c r="D63" i="15"/>
  <c r="M51" i="15"/>
  <c r="M59" i="15"/>
  <c r="D71" i="15"/>
  <c r="E66" i="15"/>
  <c r="N54" i="15"/>
  <c r="T54" i="15" s="1"/>
  <c r="R57" i="14"/>
  <c r="D72" i="14"/>
  <c r="L60" i="14"/>
  <c r="R60" i="14" s="1"/>
  <c r="N51" i="15"/>
  <c r="E63" i="15"/>
  <c r="D78" i="14"/>
  <c r="L66" i="14"/>
  <c r="T48" i="15"/>
  <c r="D85" i="15"/>
  <c r="M73" i="15"/>
  <c r="Q50" i="16"/>
  <c r="D77" i="15"/>
  <c r="M65" i="15"/>
  <c r="Q59" i="16"/>
  <c r="E78" i="14"/>
  <c r="M66" i="14"/>
  <c r="E69" i="15"/>
  <c r="N57" i="15"/>
  <c r="T57" i="15" s="1"/>
  <c r="D74" i="15"/>
  <c r="M62" i="15"/>
  <c r="N55" i="15"/>
  <c r="E67" i="15"/>
  <c r="Q61" i="16"/>
  <c r="M72" i="14"/>
  <c r="E84" i="14"/>
  <c r="Q51" i="16"/>
  <c r="D81" i="15"/>
  <c r="M69" i="15"/>
  <c r="D68" i="14"/>
  <c r="L56" i="14"/>
  <c r="R56" i="14" s="1"/>
  <c r="Q58" i="16"/>
  <c r="E92" i="14"/>
  <c r="M80" i="14"/>
  <c r="E62" i="15"/>
  <c r="N50" i="15"/>
  <c r="T50" i="15" s="1"/>
  <c r="E72" i="15"/>
  <c r="N60" i="15"/>
  <c r="R50" i="14"/>
  <c r="D78" i="15"/>
  <c r="M66" i="15"/>
  <c r="M70" i="15"/>
  <c r="D82" i="15"/>
  <c r="E80" i="15"/>
  <c r="N68" i="15"/>
  <c r="D68" i="15"/>
  <c r="M56" i="15"/>
  <c r="T56" i="15" s="1"/>
  <c r="E70" i="15"/>
  <c r="N58" i="15"/>
  <c r="T58" i="15" s="1"/>
  <c r="D63" i="14"/>
  <c r="L51" i="14"/>
  <c r="R51" i="14" s="1"/>
  <c r="L73" i="14"/>
  <c r="D85" i="14"/>
  <c r="Q60" i="16"/>
  <c r="E85" i="14"/>
  <c r="M73" i="14"/>
  <c r="E75" i="14"/>
  <c r="M63" i="14"/>
  <c r="D82" i="14"/>
  <c r="L70" i="14"/>
  <c r="E82" i="14"/>
  <c r="M70" i="14"/>
  <c r="M71" i="14"/>
  <c r="E83" i="14"/>
  <c r="D67" i="14"/>
  <c r="L55" i="14"/>
  <c r="R55" i="14" s="1"/>
  <c r="Q53" i="16"/>
  <c r="Q54" i="16"/>
  <c r="E76" i="15"/>
  <c r="N64" i="15"/>
  <c r="E73" i="15"/>
  <c r="N61" i="15"/>
  <c r="T61" i="15" s="1"/>
  <c r="Q68" i="16"/>
  <c r="Q64" i="16"/>
  <c r="Q57" i="16"/>
  <c r="E77" i="14"/>
  <c r="M65" i="14"/>
  <c r="E65" i="15"/>
  <c r="N53" i="15"/>
  <c r="T53" i="15" s="1"/>
  <c r="N59" i="15"/>
  <c r="E71" i="15"/>
  <c r="D74" i="14"/>
  <c r="L62" i="14"/>
  <c r="D64" i="15"/>
  <c r="M52" i="15"/>
  <c r="T52" i="15" s="1"/>
  <c r="D64" i="14"/>
  <c r="L52" i="14"/>
  <c r="D71" i="14"/>
  <c r="L59" i="14"/>
  <c r="R59" i="14" s="1"/>
  <c r="D67" i="15"/>
  <c r="M55" i="15"/>
  <c r="L65" i="14"/>
  <c r="D77" i="14"/>
  <c r="L69" i="14"/>
  <c r="D81" i="14"/>
  <c r="D72" i="15"/>
  <c r="M60" i="15"/>
  <c r="E79" i="14"/>
  <c r="M67" i="14"/>
  <c r="Y92" i="16" l="1"/>
  <c r="M104" i="16"/>
  <c r="M98" i="16"/>
  <c r="Y86" i="16"/>
  <c r="K106" i="16"/>
  <c r="W94" i="16"/>
  <c r="K115" i="16"/>
  <c r="W115" i="16" s="1"/>
  <c r="W103" i="16"/>
  <c r="W87" i="16"/>
  <c r="K99" i="16"/>
  <c r="L102" i="16"/>
  <c r="X90" i="16"/>
  <c r="X86" i="16"/>
  <c r="L98" i="16"/>
  <c r="M109" i="16"/>
  <c r="Y97" i="16"/>
  <c r="M107" i="16"/>
  <c r="Y95" i="16"/>
  <c r="L100" i="16"/>
  <c r="X88" i="16"/>
  <c r="X95" i="16"/>
  <c r="L107" i="16"/>
  <c r="M99" i="16"/>
  <c r="Y87" i="16"/>
  <c r="U78" i="8"/>
  <c r="X87" i="16"/>
  <c r="L99" i="16"/>
  <c r="M105" i="16"/>
  <c r="Y93" i="16"/>
  <c r="K98" i="16"/>
  <c r="W86" i="16"/>
  <c r="K109" i="16"/>
  <c r="W97" i="16"/>
  <c r="M102" i="16"/>
  <c r="Y90" i="16"/>
  <c r="K100" i="16"/>
  <c r="W88" i="16"/>
  <c r="AA76" i="10"/>
  <c r="M106" i="16"/>
  <c r="Y94" i="16"/>
  <c r="W90" i="16"/>
  <c r="K102" i="16"/>
  <c r="M103" i="16"/>
  <c r="Y91" i="16"/>
  <c r="X94" i="16"/>
  <c r="L106" i="16"/>
  <c r="Y89" i="16"/>
  <c r="M101" i="16"/>
  <c r="Y96" i="16"/>
  <c r="M108" i="16"/>
  <c r="L108" i="16"/>
  <c r="X96" i="16"/>
  <c r="X91" i="16"/>
  <c r="L103" i="16"/>
  <c r="K105" i="16"/>
  <c r="W93" i="16"/>
  <c r="X93" i="16"/>
  <c r="L105" i="16"/>
  <c r="X97" i="16"/>
  <c r="L109" i="16"/>
  <c r="K104" i="16"/>
  <c r="W92" i="16"/>
  <c r="Z96" i="10"/>
  <c r="Z94" i="10"/>
  <c r="AA94" i="10" s="1"/>
  <c r="Z88" i="10"/>
  <c r="AA88" i="10" s="1"/>
  <c r="K119" i="16"/>
  <c r="W119" i="16" s="1"/>
  <c r="W107" i="16"/>
  <c r="L104" i="16"/>
  <c r="X92" i="16"/>
  <c r="L101" i="16"/>
  <c r="X89" i="16"/>
  <c r="K108" i="16"/>
  <c r="W96" i="16"/>
  <c r="Y88" i="16"/>
  <c r="M100" i="16"/>
  <c r="K101" i="16"/>
  <c r="W89" i="16"/>
  <c r="Z92" i="10"/>
  <c r="Z86" i="10"/>
  <c r="Z87" i="10"/>
  <c r="Z90" i="10"/>
  <c r="Z93" i="10"/>
  <c r="Z89" i="10"/>
  <c r="AA89" i="10" s="1"/>
  <c r="Z97" i="10"/>
  <c r="Z61" i="16"/>
  <c r="J103" i="16"/>
  <c r="S9" i="19"/>
  <c r="D5" i="24" s="1"/>
  <c r="D10" i="24" s="1"/>
  <c r="S12" i="19"/>
  <c r="C12" i="20" s="1"/>
  <c r="D12" i="20" s="1"/>
  <c r="AA82" i="10"/>
  <c r="P13" i="18"/>
  <c r="J98" i="16"/>
  <c r="V98" i="16" s="1"/>
  <c r="T94" i="8"/>
  <c r="U94" i="8" s="1"/>
  <c r="Z60" i="16"/>
  <c r="Z58" i="16"/>
  <c r="Z50" i="16"/>
  <c r="X7" i="19"/>
  <c r="I7" i="20" s="1"/>
  <c r="U5" i="19"/>
  <c r="Z57" i="16"/>
  <c r="Z53" i="16"/>
  <c r="Z51" i="16"/>
  <c r="Z59" i="16"/>
  <c r="E5" i="24"/>
  <c r="E10" i="24" s="1"/>
  <c r="C10" i="20"/>
  <c r="D10" i="20" s="1"/>
  <c r="C8" i="20"/>
  <c r="D8" i="20" s="1"/>
  <c r="C5" i="24"/>
  <c r="C10" i="24" s="1"/>
  <c r="Z64" i="16"/>
  <c r="V8" i="19"/>
  <c r="X8" i="19" s="1"/>
  <c r="I8" i="20" s="1"/>
  <c r="F92" i="16"/>
  <c r="R80" i="16"/>
  <c r="F67" i="16"/>
  <c r="R55" i="16"/>
  <c r="Z55" i="16" s="1"/>
  <c r="F83" i="16"/>
  <c r="R71" i="16"/>
  <c r="F82" i="16"/>
  <c r="R70" i="16"/>
  <c r="F84" i="16"/>
  <c r="R72" i="16"/>
  <c r="F74" i="16"/>
  <c r="R62" i="16"/>
  <c r="F88" i="16"/>
  <c r="R76" i="16"/>
  <c r="F77" i="16"/>
  <c r="R65" i="16"/>
  <c r="F81" i="16"/>
  <c r="R69" i="16"/>
  <c r="Z68" i="16"/>
  <c r="F75" i="16"/>
  <c r="R63" i="16"/>
  <c r="F85" i="16"/>
  <c r="R73" i="16"/>
  <c r="F66" i="16"/>
  <c r="R54" i="16"/>
  <c r="Z54" i="16" s="1"/>
  <c r="M5" i="19"/>
  <c r="O9" i="13"/>
  <c r="M8" i="19"/>
  <c r="AA85" i="10"/>
  <c r="F8" i="19"/>
  <c r="H8" i="19" s="1"/>
  <c r="U7" i="19"/>
  <c r="H7" i="13"/>
  <c r="J7" i="13" s="1"/>
  <c r="M5" i="13"/>
  <c r="O5" i="13" s="1"/>
  <c r="AA75" i="10"/>
  <c r="AA74" i="10"/>
  <c r="AA77" i="10"/>
  <c r="U11" i="19"/>
  <c r="T93" i="8"/>
  <c r="U93" i="8" s="1"/>
  <c r="AA81" i="10"/>
  <c r="AA78" i="10"/>
  <c r="U6" i="19"/>
  <c r="M10" i="13"/>
  <c r="D10" i="13"/>
  <c r="E10" i="13" s="1"/>
  <c r="AA93" i="10"/>
  <c r="M4" i="13"/>
  <c r="O4" i="13" s="1"/>
  <c r="AA92" i="10"/>
  <c r="I10" i="13"/>
  <c r="T97" i="8"/>
  <c r="U97" i="8" s="1"/>
  <c r="T103" i="16"/>
  <c r="T115" i="16"/>
  <c r="H86" i="15"/>
  <c r="Q86" i="15" s="1"/>
  <c r="G86" i="14"/>
  <c r="O86" i="14" s="1"/>
  <c r="H86" i="8"/>
  <c r="Q86" i="8" s="1"/>
  <c r="T86" i="8" s="1"/>
  <c r="U86" i="8" s="1"/>
  <c r="G86" i="6"/>
  <c r="O86" i="6" s="1"/>
  <c r="R86" i="6" s="1"/>
  <c r="J99" i="16"/>
  <c r="V87" i="16"/>
  <c r="U96" i="16"/>
  <c r="AA90" i="10"/>
  <c r="H89" i="15"/>
  <c r="Q89" i="15" s="1"/>
  <c r="G89" i="14"/>
  <c r="O89" i="14" s="1"/>
  <c r="H89" i="8"/>
  <c r="Q89" i="8" s="1"/>
  <c r="T89" i="8" s="1"/>
  <c r="U89" i="8" s="1"/>
  <c r="G89" i="6"/>
  <c r="O89" i="6" s="1"/>
  <c r="R89" i="6" s="1"/>
  <c r="S89" i="6" s="1"/>
  <c r="U107" i="16"/>
  <c r="U119" i="16"/>
  <c r="AA96" i="10"/>
  <c r="T116" i="16"/>
  <c r="T104" i="16"/>
  <c r="J102" i="16"/>
  <c r="V90" i="16"/>
  <c r="H96" i="15"/>
  <c r="Q96" i="15" s="1"/>
  <c r="G96" i="14"/>
  <c r="O96" i="14" s="1"/>
  <c r="H96" i="8"/>
  <c r="Q96" i="8" s="1"/>
  <c r="T96" i="8" s="1"/>
  <c r="U96" i="8" s="1"/>
  <c r="G96" i="6"/>
  <c r="O96" i="6" s="1"/>
  <c r="R96" i="6" s="1"/>
  <c r="S96" i="6" s="1"/>
  <c r="T107" i="16"/>
  <c r="T119" i="16"/>
  <c r="U97" i="16"/>
  <c r="G91" i="14"/>
  <c r="O91" i="14" s="1"/>
  <c r="H91" i="8"/>
  <c r="Q91" i="8" s="1"/>
  <c r="T91" i="8" s="1"/>
  <c r="G91" i="6"/>
  <c r="O91" i="6" s="1"/>
  <c r="R91" i="6" s="1"/>
  <c r="S91" i="6" s="1"/>
  <c r="H91" i="15"/>
  <c r="Q91" i="15" s="1"/>
  <c r="U103" i="16"/>
  <c r="U115" i="16"/>
  <c r="T90" i="16"/>
  <c r="U88" i="16"/>
  <c r="U94" i="16"/>
  <c r="AA97" i="10"/>
  <c r="T96" i="16"/>
  <c r="J112" i="16"/>
  <c r="V112" i="16" s="1"/>
  <c r="V100" i="16"/>
  <c r="J106" i="16"/>
  <c r="V94" i="16"/>
  <c r="T117" i="16"/>
  <c r="T105" i="16"/>
  <c r="H92" i="15"/>
  <c r="Q92" i="15" s="1"/>
  <c r="H92" i="8"/>
  <c r="Q92" i="8" s="1"/>
  <c r="T92" i="8" s="1"/>
  <c r="U92" i="8" s="1"/>
  <c r="G92" i="6"/>
  <c r="O92" i="6" s="1"/>
  <c r="R92" i="6" s="1"/>
  <c r="S92" i="6" s="1"/>
  <c r="G92" i="14"/>
  <c r="O92" i="14" s="1"/>
  <c r="T95" i="8"/>
  <c r="U95" i="8" s="1"/>
  <c r="U87" i="16"/>
  <c r="H90" i="15"/>
  <c r="Q90" i="15" s="1"/>
  <c r="G90" i="14"/>
  <c r="O90" i="14" s="1"/>
  <c r="G90" i="6"/>
  <c r="O90" i="6" s="1"/>
  <c r="R90" i="6" s="1"/>
  <c r="S90" i="6" s="1"/>
  <c r="H90" i="8"/>
  <c r="Q90" i="8" s="1"/>
  <c r="T90" i="8" s="1"/>
  <c r="U90" i="8" s="1"/>
  <c r="AA87" i="10"/>
  <c r="J116" i="16"/>
  <c r="V116" i="16" s="1"/>
  <c r="V104" i="16"/>
  <c r="J117" i="16"/>
  <c r="V117" i="16" s="1"/>
  <c r="V105" i="16"/>
  <c r="U89" i="16"/>
  <c r="U86" i="16"/>
  <c r="T97" i="16"/>
  <c r="T87" i="8"/>
  <c r="U87" i="8" s="1"/>
  <c r="U92" i="16"/>
  <c r="V89" i="16"/>
  <c r="J101" i="16"/>
  <c r="J120" i="16"/>
  <c r="V120" i="16" s="1"/>
  <c r="V108" i="16"/>
  <c r="T87" i="16"/>
  <c r="J119" i="16"/>
  <c r="V119" i="16" s="1"/>
  <c r="V107" i="16"/>
  <c r="N10" i="13"/>
  <c r="J109" i="16"/>
  <c r="V97" i="16"/>
  <c r="T110" i="16"/>
  <c r="T98" i="16"/>
  <c r="T100" i="16"/>
  <c r="T112" i="16"/>
  <c r="V103" i="16"/>
  <c r="J115" i="16"/>
  <c r="V115" i="16" s="1"/>
  <c r="U90" i="16"/>
  <c r="G88" i="14"/>
  <c r="O88" i="14" s="1"/>
  <c r="H88" i="15"/>
  <c r="Q88" i="15" s="1"/>
  <c r="G88" i="6"/>
  <c r="O88" i="6" s="1"/>
  <c r="R88" i="6" s="1"/>
  <c r="S88" i="6" s="1"/>
  <c r="H88" i="8"/>
  <c r="Q88" i="8" s="1"/>
  <c r="T88" i="8" s="1"/>
  <c r="U88" i="8" s="1"/>
  <c r="T94" i="16"/>
  <c r="U93" i="16"/>
  <c r="M6" i="13"/>
  <c r="O6" i="13" s="1"/>
  <c r="H8" i="13"/>
  <c r="J8" i="13" s="1"/>
  <c r="U50" i="8"/>
  <c r="AA38" i="10"/>
  <c r="M7" i="13"/>
  <c r="O7" i="13" s="1"/>
  <c r="H9" i="13"/>
  <c r="J9" i="13" s="1"/>
  <c r="U62" i="8"/>
  <c r="H5" i="13"/>
  <c r="J5" i="13" s="1"/>
  <c r="U14" i="8"/>
  <c r="AA50" i="10"/>
  <c r="M8" i="13"/>
  <c r="O8" i="13" s="1"/>
  <c r="P105" i="14"/>
  <c r="H106" i="14"/>
  <c r="U74" i="8"/>
  <c r="H10" i="13"/>
  <c r="U26" i="8"/>
  <c r="H6" i="13"/>
  <c r="J6" i="13" s="1"/>
  <c r="M11" i="13"/>
  <c r="H4" i="13"/>
  <c r="J4" i="13" s="1"/>
  <c r="U2" i="8"/>
  <c r="R52" i="14"/>
  <c r="F9" i="19" s="1"/>
  <c r="H9" i="19" s="1"/>
  <c r="E76" i="14"/>
  <c r="M64" i="14"/>
  <c r="N8" i="19"/>
  <c r="P8" i="19" s="1"/>
  <c r="R62" i="14"/>
  <c r="T55" i="15"/>
  <c r="R73" i="14"/>
  <c r="R69" i="14"/>
  <c r="D94" i="15"/>
  <c r="M82" i="15"/>
  <c r="D76" i="14"/>
  <c r="L64" i="14"/>
  <c r="E89" i="14"/>
  <c r="M77" i="14"/>
  <c r="Q66" i="16"/>
  <c r="E94" i="14"/>
  <c r="M82" i="14"/>
  <c r="Q72" i="16"/>
  <c r="E96" i="14"/>
  <c r="M84" i="14"/>
  <c r="N67" i="15"/>
  <c r="E79" i="15"/>
  <c r="T51" i="15"/>
  <c r="E83" i="15"/>
  <c r="N71" i="15"/>
  <c r="Q76" i="16"/>
  <c r="M83" i="14"/>
  <c r="E95" i="14"/>
  <c r="R70" i="14"/>
  <c r="L85" i="14"/>
  <c r="D97" i="14"/>
  <c r="E84" i="15"/>
  <c r="N72" i="15"/>
  <c r="E74" i="15"/>
  <c r="N62" i="15"/>
  <c r="T62" i="15" s="1"/>
  <c r="Q70" i="16"/>
  <c r="D93" i="15"/>
  <c r="M81" i="15"/>
  <c r="N69" i="15"/>
  <c r="T69" i="15" s="1"/>
  <c r="E81" i="15"/>
  <c r="Q71" i="16"/>
  <c r="Q62" i="16"/>
  <c r="R66" i="14"/>
  <c r="E78" i="15"/>
  <c r="N66" i="15"/>
  <c r="T66" i="15" s="1"/>
  <c r="D75" i="15"/>
  <c r="M63" i="15"/>
  <c r="L81" i="14"/>
  <c r="D93" i="14"/>
  <c r="D79" i="15"/>
  <c r="M67" i="15"/>
  <c r="E85" i="15"/>
  <c r="N73" i="15"/>
  <c r="T73" i="15" s="1"/>
  <c r="D79" i="14"/>
  <c r="L67" i="14"/>
  <c r="R67" i="14" s="1"/>
  <c r="M75" i="14"/>
  <c r="E87" i="14"/>
  <c r="D75" i="14"/>
  <c r="L63" i="14"/>
  <c r="R63" i="14" s="1"/>
  <c r="D80" i="15"/>
  <c r="M68" i="15"/>
  <c r="T68" i="15" s="1"/>
  <c r="M79" i="14"/>
  <c r="E91" i="14"/>
  <c r="T60" i="15"/>
  <c r="L77" i="14"/>
  <c r="D89" i="14"/>
  <c r="M72" i="15"/>
  <c r="D84" i="15"/>
  <c r="R65" i="14"/>
  <c r="D83" i="14"/>
  <c r="L71" i="14"/>
  <c r="R71" i="14" s="1"/>
  <c r="D76" i="15"/>
  <c r="M64" i="15"/>
  <c r="T64" i="15" s="1"/>
  <c r="D86" i="14"/>
  <c r="L74" i="14"/>
  <c r="N65" i="15"/>
  <c r="T65" i="15" s="1"/>
  <c r="E77" i="15"/>
  <c r="Q69" i="16"/>
  <c r="Q80" i="16"/>
  <c r="E88" i="15"/>
  <c r="N76" i="15"/>
  <c r="Q65" i="16"/>
  <c r="D94" i="14"/>
  <c r="L82" i="14"/>
  <c r="E97" i="14"/>
  <c r="M85" i="14"/>
  <c r="E82" i="15"/>
  <c r="N70" i="15"/>
  <c r="T70" i="15" s="1"/>
  <c r="E92" i="15"/>
  <c r="N80" i="15"/>
  <c r="M78" i="15"/>
  <c r="D90" i="15"/>
  <c r="D90" i="14"/>
  <c r="L78" i="14"/>
  <c r="L72" i="14"/>
  <c r="R72" i="14" s="1"/>
  <c r="D84" i="14"/>
  <c r="D83" i="15"/>
  <c r="M71" i="15"/>
  <c r="Q67" i="16"/>
  <c r="E86" i="14"/>
  <c r="M74" i="14"/>
  <c r="E104" i="14"/>
  <c r="M92" i="14"/>
  <c r="L68" i="14"/>
  <c r="R68" i="14" s="1"/>
  <c r="D80" i="14"/>
  <c r="Q63" i="16"/>
  <c r="Q73" i="16"/>
  <c r="M74" i="15"/>
  <c r="D86" i="15"/>
  <c r="E90" i="14"/>
  <c r="M78" i="14"/>
  <c r="D89" i="15"/>
  <c r="M77" i="15"/>
  <c r="D97" i="15"/>
  <c r="M85" i="15"/>
  <c r="N63" i="15"/>
  <c r="E75" i="15"/>
  <c r="T59" i="15"/>
  <c r="E93" i="14"/>
  <c r="M81" i="14"/>
  <c r="K113" i="16" l="1"/>
  <c r="W113" i="16" s="1"/>
  <c r="W101" i="16"/>
  <c r="W108" i="16"/>
  <c r="K120" i="16"/>
  <c r="W120" i="16" s="1"/>
  <c r="L116" i="16"/>
  <c r="X116" i="16" s="1"/>
  <c r="X104" i="16"/>
  <c r="L121" i="16"/>
  <c r="X121" i="16" s="1"/>
  <c r="X109" i="16"/>
  <c r="M113" i="16"/>
  <c r="Y113" i="16" s="1"/>
  <c r="Y101" i="16"/>
  <c r="W100" i="16"/>
  <c r="K112" i="16"/>
  <c r="W112" i="16" s="1"/>
  <c r="K121" i="16"/>
  <c r="W121" i="16" s="1"/>
  <c r="W109" i="16"/>
  <c r="M117" i="16"/>
  <c r="Y117" i="16" s="1"/>
  <c r="Y105" i="16"/>
  <c r="J10" i="13"/>
  <c r="J110" i="16"/>
  <c r="V110" i="16" s="1"/>
  <c r="M112" i="16"/>
  <c r="Y112" i="16" s="1"/>
  <c r="Y100" i="16"/>
  <c r="K117" i="16"/>
  <c r="W117" i="16" s="1"/>
  <c r="W105" i="16"/>
  <c r="L120" i="16"/>
  <c r="X120" i="16" s="1"/>
  <c r="X108" i="16"/>
  <c r="M115" i="16"/>
  <c r="Y115" i="16" s="1"/>
  <c r="Y103" i="16"/>
  <c r="M118" i="16"/>
  <c r="Y118" i="16" s="1"/>
  <c r="Y106" i="16"/>
  <c r="L111" i="16"/>
  <c r="X111" i="16" s="1"/>
  <c r="X99" i="16"/>
  <c r="M111" i="16"/>
  <c r="Y111" i="16" s="1"/>
  <c r="Y99" i="16"/>
  <c r="L112" i="16"/>
  <c r="X112" i="16" s="1"/>
  <c r="X100" i="16"/>
  <c r="M121" i="16"/>
  <c r="Y121" i="16" s="1"/>
  <c r="Y109" i="16"/>
  <c r="L114" i="16"/>
  <c r="X114" i="16" s="1"/>
  <c r="X102" i="16"/>
  <c r="M110" i="16"/>
  <c r="Y110" i="16" s="1"/>
  <c r="Y98" i="16"/>
  <c r="L113" i="16"/>
  <c r="X113" i="16" s="1"/>
  <c r="X101" i="16"/>
  <c r="L117" i="16"/>
  <c r="X117" i="16" s="1"/>
  <c r="X105" i="16"/>
  <c r="L115" i="16"/>
  <c r="X115" i="16" s="1"/>
  <c r="X103" i="16"/>
  <c r="M120" i="16"/>
  <c r="Y120" i="16" s="1"/>
  <c r="Y108" i="16"/>
  <c r="L118" i="16"/>
  <c r="X118" i="16" s="1"/>
  <c r="X106" i="16"/>
  <c r="K114" i="16"/>
  <c r="W114" i="16" s="1"/>
  <c r="W102" i="16"/>
  <c r="M114" i="16"/>
  <c r="Y114" i="16" s="1"/>
  <c r="Y102" i="16"/>
  <c r="K110" i="16"/>
  <c r="W110" i="16" s="1"/>
  <c r="W98" i="16"/>
  <c r="L119" i="16"/>
  <c r="X119" i="16" s="1"/>
  <c r="X107" i="16"/>
  <c r="L110" i="16"/>
  <c r="X110" i="16" s="1"/>
  <c r="X98" i="16"/>
  <c r="K111" i="16"/>
  <c r="W111" i="16" s="1"/>
  <c r="W99" i="16"/>
  <c r="M116" i="16"/>
  <c r="Y116" i="16" s="1"/>
  <c r="Y104" i="16"/>
  <c r="W104" i="16"/>
  <c r="K116" i="16"/>
  <c r="W116" i="16" s="1"/>
  <c r="M119" i="16"/>
  <c r="Y119" i="16" s="1"/>
  <c r="Y107" i="16"/>
  <c r="K118" i="16"/>
  <c r="W118" i="16" s="1"/>
  <c r="W106" i="16"/>
  <c r="G5" i="24"/>
  <c r="G10" i="24" s="1"/>
  <c r="C9" i="20"/>
  <c r="D9" i="20" s="1"/>
  <c r="S5" i="19"/>
  <c r="C5" i="20" s="1"/>
  <c r="D5" i="20" s="1"/>
  <c r="S7" i="19"/>
  <c r="C7" i="20" s="1"/>
  <c r="D7" i="20" s="1"/>
  <c r="S6" i="19"/>
  <c r="C6" i="20" s="1"/>
  <c r="D6" i="20" s="1"/>
  <c r="S11" i="19"/>
  <c r="C11" i="20" s="1"/>
  <c r="D11" i="20" s="1"/>
  <c r="Z73" i="16"/>
  <c r="Z80" i="16"/>
  <c r="Z71" i="16"/>
  <c r="Z63" i="16"/>
  <c r="Z69" i="16"/>
  <c r="Z76" i="16"/>
  <c r="Z72" i="16"/>
  <c r="V9" i="19"/>
  <c r="X9" i="19" s="1"/>
  <c r="I9" i="20" s="1"/>
  <c r="F97" i="16"/>
  <c r="R85" i="16"/>
  <c r="Z62" i="16"/>
  <c r="F89" i="16"/>
  <c r="R77" i="16"/>
  <c r="F86" i="16"/>
  <c r="R74" i="16"/>
  <c r="F94" i="16"/>
  <c r="R82" i="16"/>
  <c r="F79" i="16"/>
  <c r="R67" i="16"/>
  <c r="Z67" i="16" s="1"/>
  <c r="Z65" i="16"/>
  <c r="F78" i="16"/>
  <c r="R66" i="16"/>
  <c r="Z66" i="16" s="1"/>
  <c r="F87" i="16"/>
  <c r="R75" i="16"/>
  <c r="Z70" i="16"/>
  <c r="F93" i="16"/>
  <c r="R81" i="16"/>
  <c r="F100" i="16"/>
  <c r="R88" i="16"/>
  <c r="F96" i="16"/>
  <c r="R84" i="16"/>
  <c r="F95" i="16"/>
  <c r="R83" i="16"/>
  <c r="F104" i="16"/>
  <c r="R92" i="16"/>
  <c r="N11" i="13"/>
  <c r="O11" i="13" s="1"/>
  <c r="O10" i="13"/>
  <c r="O13" i="13" s="1"/>
  <c r="AA86" i="10"/>
  <c r="AA98" i="10" s="1"/>
  <c r="O14" i="13" s="1"/>
  <c r="T109" i="16"/>
  <c r="T121" i="16"/>
  <c r="U111" i="16"/>
  <c r="U99" i="16"/>
  <c r="T120" i="16"/>
  <c r="T108" i="16"/>
  <c r="U100" i="16"/>
  <c r="U112" i="16"/>
  <c r="I11" i="13"/>
  <c r="J11" i="13" s="1"/>
  <c r="J13" i="13" s="1"/>
  <c r="U91" i="8"/>
  <c r="U98" i="8" s="1"/>
  <c r="J14" i="13" s="1"/>
  <c r="U121" i="16"/>
  <c r="U109" i="16"/>
  <c r="U105" i="16"/>
  <c r="U117" i="16"/>
  <c r="V109" i="16"/>
  <c r="J121" i="16"/>
  <c r="V121" i="16" s="1"/>
  <c r="T114" i="16"/>
  <c r="T102" i="16"/>
  <c r="T106" i="16"/>
  <c r="T118" i="16"/>
  <c r="U110" i="16"/>
  <c r="U98" i="16"/>
  <c r="U101" i="16"/>
  <c r="U113" i="16"/>
  <c r="J118" i="16"/>
  <c r="V118" i="16" s="1"/>
  <c r="V106" i="16"/>
  <c r="U118" i="16"/>
  <c r="U106" i="16"/>
  <c r="D11" i="13"/>
  <c r="E11" i="13" s="1"/>
  <c r="E13" i="13" s="1"/>
  <c r="S86" i="6"/>
  <c r="S98" i="6" s="1"/>
  <c r="E14" i="13" s="1"/>
  <c r="U102" i="16"/>
  <c r="U114" i="16"/>
  <c r="T111" i="16"/>
  <c r="T99" i="16"/>
  <c r="V101" i="16"/>
  <c r="J113" i="16"/>
  <c r="V113" i="16" s="1"/>
  <c r="U116" i="16"/>
  <c r="U104" i="16"/>
  <c r="J114" i="16"/>
  <c r="V114" i="16" s="1"/>
  <c r="V102" i="16"/>
  <c r="U120" i="16"/>
  <c r="U108" i="16"/>
  <c r="V99" i="16"/>
  <c r="J111" i="16"/>
  <c r="V111" i="16" s="1"/>
  <c r="H107" i="14"/>
  <c r="P106" i="14"/>
  <c r="R64" i="14"/>
  <c r="F10" i="19" s="1"/>
  <c r="H10" i="19" s="1"/>
  <c r="M76" i="14"/>
  <c r="E88" i="14"/>
  <c r="T67" i="15"/>
  <c r="R77" i="14"/>
  <c r="R81" i="14"/>
  <c r="R82" i="14"/>
  <c r="N9" i="19"/>
  <c r="P9" i="19" s="1"/>
  <c r="T71" i="15"/>
  <c r="E105" i="14"/>
  <c r="M93" i="14"/>
  <c r="L80" i="14"/>
  <c r="R80" i="14" s="1"/>
  <c r="D92" i="14"/>
  <c r="E87" i="15"/>
  <c r="N75" i="15"/>
  <c r="L84" i="14"/>
  <c r="R84" i="14" s="1"/>
  <c r="D96" i="14"/>
  <c r="N92" i="15"/>
  <c r="E104" i="15"/>
  <c r="E109" i="14"/>
  <c r="M97" i="14"/>
  <c r="Q77" i="16"/>
  <c r="D96" i="15"/>
  <c r="M84" i="15"/>
  <c r="E108" i="14"/>
  <c r="M96" i="14"/>
  <c r="Q84" i="16"/>
  <c r="Z84" i="16" s="1"/>
  <c r="L76" i="14"/>
  <c r="D88" i="14"/>
  <c r="D98" i="15"/>
  <c r="M86" i="15"/>
  <c r="M76" i="15"/>
  <c r="T76" i="15" s="1"/>
  <c r="D88" i="15"/>
  <c r="D92" i="15"/>
  <c r="M80" i="15"/>
  <c r="T80" i="15" s="1"/>
  <c r="N85" i="15"/>
  <c r="T85" i="15" s="1"/>
  <c r="E97" i="15"/>
  <c r="E90" i="15"/>
  <c r="N78" i="15"/>
  <c r="T78" i="15" s="1"/>
  <c r="M95" i="14"/>
  <c r="E107" i="14"/>
  <c r="M89" i="15"/>
  <c r="D101" i="15"/>
  <c r="Q75" i="16"/>
  <c r="Z75" i="16" s="1"/>
  <c r="E116" i="14"/>
  <c r="M116" i="14" s="1"/>
  <c r="M104" i="14"/>
  <c r="Q79" i="16"/>
  <c r="M90" i="15"/>
  <c r="D102" i="15"/>
  <c r="R74" i="14"/>
  <c r="T72" i="15"/>
  <c r="M91" i="14"/>
  <c r="E103" i="14"/>
  <c r="T63" i="15"/>
  <c r="Q83" i="16"/>
  <c r="M93" i="15"/>
  <c r="D105" i="15"/>
  <c r="E86" i="15"/>
  <c r="N74" i="15"/>
  <c r="T74" i="15" s="1"/>
  <c r="D109" i="14"/>
  <c r="L97" i="14"/>
  <c r="E91" i="15"/>
  <c r="N79" i="15"/>
  <c r="E94" i="15"/>
  <c r="N82" i="15"/>
  <c r="T82" i="15" s="1"/>
  <c r="N88" i="15"/>
  <c r="E100" i="15"/>
  <c r="D95" i="14"/>
  <c r="L83" i="14"/>
  <c r="R83" i="14" s="1"/>
  <c r="D91" i="14"/>
  <c r="L79" i="14"/>
  <c r="R79" i="14" s="1"/>
  <c r="D91" i="15"/>
  <c r="M79" i="15"/>
  <c r="E93" i="15"/>
  <c r="N81" i="15"/>
  <c r="T81" i="15" s="1"/>
  <c r="R85" i="14"/>
  <c r="N83" i="15"/>
  <c r="E95" i="15"/>
  <c r="M94" i="14"/>
  <c r="E106" i="14"/>
  <c r="E101" i="14"/>
  <c r="M89" i="14"/>
  <c r="M94" i="15"/>
  <c r="D106" i="15"/>
  <c r="R78" i="14"/>
  <c r="D106" i="14"/>
  <c r="L94" i="14"/>
  <c r="Q81" i="16"/>
  <c r="D98" i="14"/>
  <c r="L86" i="14"/>
  <c r="D101" i="14"/>
  <c r="L89" i="14"/>
  <c r="D87" i="14"/>
  <c r="L75" i="14"/>
  <c r="R75" i="14" s="1"/>
  <c r="D87" i="15"/>
  <c r="M75" i="15"/>
  <c r="M97" i="15"/>
  <c r="D109" i="15"/>
  <c r="M90" i="14"/>
  <c r="E102" i="14"/>
  <c r="Q85" i="16"/>
  <c r="M86" i="14"/>
  <c r="E98" i="14"/>
  <c r="D95" i="15"/>
  <c r="M83" i="15"/>
  <c r="L90" i="14"/>
  <c r="D102" i="14"/>
  <c r="Q92" i="16"/>
  <c r="E104" i="16"/>
  <c r="E89" i="15"/>
  <c r="N77" i="15"/>
  <c r="T77" i="15" s="1"/>
  <c r="M87" i="14"/>
  <c r="E99" i="14"/>
  <c r="L93" i="14"/>
  <c r="D105" i="14"/>
  <c r="Q74" i="16"/>
  <c r="Q82" i="16"/>
  <c r="Z82" i="16" s="1"/>
  <c r="E96" i="15"/>
  <c r="N84" i="15"/>
  <c r="Q88" i="16"/>
  <c r="E100" i="16"/>
  <c r="Q78" i="16"/>
  <c r="F5" i="24" l="1"/>
  <c r="F10" i="24" s="1"/>
  <c r="D16" i="20"/>
  <c r="D17" i="20" s="1"/>
  <c r="D18" i="20" s="1"/>
  <c r="Z85" i="16"/>
  <c r="Z74" i="16"/>
  <c r="Z92" i="16"/>
  <c r="Z81" i="16"/>
  <c r="Z88" i="16"/>
  <c r="Z83" i="16"/>
  <c r="Z77" i="16"/>
  <c r="V10" i="19"/>
  <c r="X10" i="19" s="1"/>
  <c r="I10" i="20" s="1"/>
  <c r="F91" i="16"/>
  <c r="R79" i="16"/>
  <c r="Z79" i="16" s="1"/>
  <c r="F90" i="16"/>
  <c r="R78" i="16"/>
  <c r="Z78" i="16" s="1"/>
  <c r="F108" i="16"/>
  <c r="R96" i="16"/>
  <c r="F98" i="16"/>
  <c r="R86" i="16"/>
  <c r="F107" i="16"/>
  <c r="R95" i="16"/>
  <c r="F112" i="16"/>
  <c r="R112" i="16" s="1"/>
  <c r="R100" i="16"/>
  <c r="F106" i="16"/>
  <c r="R94" i="16"/>
  <c r="F101" i="16"/>
  <c r="R89" i="16"/>
  <c r="F109" i="16"/>
  <c r="R97" i="16"/>
  <c r="F116" i="16"/>
  <c r="R116" i="16" s="1"/>
  <c r="R104" i="16"/>
  <c r="F105" i="16"/>
  <c r="R93" i="16"/>
  <c r="F99" i="16"/>
  <c r="R87" i="16"/>
  <c r="R76" i="14"/>
  <c r="F11" i="19" s="1"/>
  <c r="H11" i="19" s="1"/>
  <c r="R90" i="14"/>
  <c r="H108" i="14"/>
  <c r="P107" i="14"/>
  <c r="M88" i="14"/>
  <c r="E100" i="14"/>
  <c r="R89" i="14"/>
  <c r="R93" i="14"/>
  <c r="R97" i="14"/>
  <c r="T75" i="15"/>
  <c r="N10" i="19"/>
  <c r="P10" i="19" s="1"/>
  <c r="E113" i="14"/>
  <c r="M113" i="14" s="1"/>
  <c r="M101" i="14"/>
  <c r="E98" i="16"/>
  <c r="Q86" i="16"/>
  <c r="M107" i="14"/>
  <c r="E119" i="14"/>
  <c r="M119" i="14" s="1"/>
  <c r="N90" i="15"/>
  <c r="T90" i="15" s="1"/>
  <c r="E102" i="15"/>
  <c r="D104" i="15"/>
  <c r="M92" i="15"/>
  <c r="T92" i="15" s="1"/>
  <c r="M98" i="15"/>
  <c r="D110" i="15"/>
  <c r="M110" i="15" s="1"/>
  <c r="E120" i="14"/>
  <c r="M120" i="14" s="1"/>
  <c r="M108" i="14"/>
  <c r="L92" i="14"/>
  <c r="R92" i="14" s="1"/>
  <c r="D104" i="14"/>
  <c r="E101" i="15"/>
  <c r="N89" i="15"/>
  <c r="T89" i="15" s="1"/>
  <c r="M87" i="15"/>
  <c r="D99" i="15"/>
  <c r="D113" i="14"/>
  <c r="L113" i="14" s="1"/>
  <c r="L101" i="14"/>
  <c r="R101" i="14" s="1"/>
  <c r="Q90" i="16"/>
  <c r="E102" i="16"/>
  <c r="N96" i="15"/>
  <c r="E108" i="15"/>
  <c r="M95" i="15"/>
  <c r="D107" i="15"/>
  <c r="D99" i="14"/>
  <c r="L87" i="14"/>
  <c r="R87" i="14" s="1"/>
  <c r="L98" i="14"/>
  <c r="D110" i="14"/>
  <c r="L110" i="14" s="1"/>
  <c r="L106" i="14"/>
  <c r="D118" i="14"/>
  <c r="L118" i="14" s="1"/>
  <c r="D103" i="15"/>
  <c r="M91" i="15"/>
  <c r="D107" i="14"/>
  <c r="L95" i="14"/>
  <c r="R95" i="14" s="1"/>
  <c r="N94" i="15"/>
  <c r="T94" i="15" s="1"/>
  <c r="E106" i="15"/>
  <c r="D117" i="15"/>
  <c r="M117" i="15" s="1"/>
  <c r="M105" i="15"/>
  <c r="Q100" i="16"/>
  <c r="E112" i="16"/>
  <c r="Q112" i="16" s="1"/>
  <c r="Z112" i="16" s="1"/>
  <c r="Q94" i="16"/>
  <c r="E106" i="16"/>
  <c r="D117" i="14"/>
  <c r="L117" i="14" s="1"/>
  <c r="L105" i="14"/>
  <c r="L102" i="14"/>
  <c r="D114" i="14"/>
  <c r="L114" i="14" s="1"/>
  <c r="E110" i="14"/>
  <c r="M110" i="14" s="1"/>
  <c r="M98" i="14"/>
  <c r="E114" i="14"/>
  <c r="M114" i="14" s="1"/>
  <c r="M102" i="14"/>
  <c r="E105" i="16"/>
  <c r="Q93" i="16"/>
  <c r="E107" i="15"/>
  <c r="N95" i="15"/>
  <c r="E105" i="15"/>
  <c r="N93" i="15"/>
  <c r="T93" i="15" s="1"/>
  <c r="N100" i="15"/>
  <c r="E112" i="15"/>
  <c r="N112" i="15" s="1"/>
  <c r="D121" i="14"/>
  <c r="L121" i="14" s="1"/>
  <c r="L109" i="14"/>
  <c r="M103" i="14"/>
  <c r="E115" i="14"/>
  <c r="M115" i="14" s="1"/>
  <c r="D114" i="15"/>
  <c r="M114" i="15" s="1"/>
  <c r="M102" i="15"/>
  <c r="E109" i="15"/>
  <c r="N97" i="15"/>
  <c r="T97" i="15" s="1"/>
  <c r="D100" i="15"/>
  <c r="M88" i="15"/>
  <c r="T88" i="15" s="1"/>
  <c r="Q96" i="16"/>
  <c r="E108" i="16"/>
  <c r="T84" i="15"/>
  <c r="D103" i="14"/>
  <c r="L91" i="14"/>
  <c r="R91" i="14" s="1"/>
  <c r="E107" i="16"/>
  <c r="Q95" i="16"/>
  <c r="Z95" i="16" s="1"/>
  <c r="D113" i="15"/>
  <c r="M113" i="15" s="1"/>
  <c r="M101" i="15"/>
  <c r="D108" i="15"/>
  <c r="M96" i="15"/>
  <c r="E121" i="14"/>
  <c r="M121" i="14" s="1"/>
  <c r="M109" i="14"/>
  <c r="E99" i="15"/>
  <c r="N87" i="15"/>
  <c r="M99" i="14"/>
  <c r="E111" i="14"/>
  <c r="M111" i="14" s="1"/>
  <c r="Q104" i="16"/>
  <c r="E116" i="16"/>
  <c r="Q116" i="16" s="1"/>
  <c r="T83" i="15"/>
  <c r="E109" i="16"/>
  <c r="Q97" i="16"/>
  <c r="M109" i="15"/>
  <c r="D121" i="15"/>
  <c r="M121" i="15" s="1"/>
  <c r="R86" i="14"/>
  <c r="R94" i="14"/>
  <c r="D118" i="15"/>
  <c r="M118" i="15" s="1"/>
  <c r="M106" i="15"/>
  <c r="E118" i="14"/>
  <c r="M118" i="14" s="1"/>
  <c r="M106" i="14"/>
  <c r="T79" i="15"/>
  <c r="E103" i="15"/>
  <c r="N91" i="15"/>
  <c r="N86" i="15"/>
  <c r="T86" i="15" s="1"/>
  <c r="E98" i="15"/>
  <c r="E103" i="16"/>
  <c r="Q91" i="16"/>
  <c r="Q87" i="16"/>
  <c r="E99" i="16"/>
  <c r="L88" i="14"/>
  <c r="D100" i="14"/>
  <c r="E101" i="16"/>
  <c r="Q89" i="16"/>
  <c r="E116" i="15"/>
  <c r="N116" i="15" s="1"/>
  <c r="N104" i="15"/>
  <c r="L96" i="14"/>
  <c r="R96" i="14" s="1"/>
  <c r="D108" i="14"/>
  <c r="E117" i="14"/>
  <c r="M117" i="14" s="1"/>
  <c r="M105" i="14"/>
  <c r="Z96" i="16" l="1"/>
  <c r="Z94" i="16"/>
  <c r="Z93" i="16"/>
  <c r="Z97" i="16"/>
  <c r="R88" i="14"/>
  <c r="Z116" i="16"/>
  <c r="Z100" i="16"/>
  <c r="Z89" i="16"/>
  <c r="Z87" i="16"/>
  <c r="V11" i="19"/>
  <c r="X11" i="19" s="1"/>
  <c r="I11" i="20" s="1"/>
  <c r="Z104" i="16"/>
  <c r="F113" i="16"/>
  <c r="R113" i="16" s="1"/>
  <c r="R101" i="16"/>
  <c r="F110" i="16"/>
  <c r="R110" i="16" s="1"/>
  <c r="R98" i="16"/>
  <c r="F102" i="16"/>
  <c r="R90" i="16"/>
  <c r="Z90" i="16" s="1"/>
  <c r="Z86" i="16"/>
  <c r="F111" i="16"/>
  <c r="R111" i="16" s="1"/>
  <c r="R99" i="16"/>
  <c r="F117" i="16"/>
  <c r="R117" i="16" s="1"/>
  <c r="R105" i="16"/>
  <c r="F121" i="16"/>
  <c r="R121" i="16" s="1"/>
  <c r="R109" i="16"/>
  <c r="F118" i="16"/>
  <c r="R118" i="16" s="1"/>
  <c r="R106" i="16"/>
  <c r="F119" i="16"/>
  <c r="R119" i="16" s="1"/>
  <c r="R107" i="16"/>
  <c r="F120" i="16"/>
  <c r="R120" i="16" s="1"/>
  <c r="R108" i="16"/>
  <c r="F103" i="16"/>
  <c r="R91" i="16"/>
  <c r="Z91" i="16" s="1"/>
  <c r="P108" i="14"/>
  <c r="H109" i="14"/>
  <c r="E112" i="14"/>
  <c r="M112" i="14" s="1"/>
  <c r="M100" i="14"/>
  <c r="T96" i="15"/>
  <c r="N11" i="19"/>
  <c r="P11" i="19" s="1"/>
  <c r="R98" i="14"/>
  <c r="D112" i="14"/>
  <c r="L112" i="14" s="1"/>
  <c r="L100" i="14"/>
  <c r="D119" i="15"/>
  <c r="M119" i="15" s="1"/>
  <c r="M107" i="15"/>
  <c r="D115" i="14"/>
  <c r="L115" i="14" s="1"/>
  <c r="L103" i="14"/>
  <c r="R103" i="14" s="1"/>
  <c r="E119" i="15"/>
  <c r="N119" i="15" s="1"/>
  <c r="N107" i="15"/>
  <c r="R102" i="14"/>
  <c r="D119" i="14"/>
  <c r="L119" i="14" s="1"/>
  <c r="L107" i="14"/>
  <c r="R107" i="14" s="1"/>
  <c r="T95" i="15"/>
  <c r="T87" i="15"/>
  <c r="E110" i="16"/>
  <c r="Q110" i="16" s="1"/>
  <c r="Q98" i="16"/>
  <c r="E111" i="16"/>
  <c r="Q111" i="16" s="1"/>
  <c r="Z111" i="16" s="1"/>
  <c r="Q99" i="16"/>
  <c r="Z99" i="16" s="1"/>
  <c r="N98" i="15"/>
  <c r="T98" i="15" s="1"/>
  <c r="E110" i="15"/>
  <c r="N110" i="15" s="1"/>
  <c r="T110" i="15" s="1"/>
  <c r="E121" i="15"/>
  <c r="N121" i="15" s="1"/>
  <c r="T121" i="15" s="1"/>
  <c r="N109" i="15"/>
  <c r="T109" i="15" s="1"/>
  <c r="F12" i="19"/>
  <c r="H12" i="19" s="1"/>
  <c r="H3" i="24" s="1"/>
  <c r="E121" i="16"/>
  <c r="Q121" i="16" s="1"/>
  <c r="Q109" i="16"/>
  <c r="E111" i="15"/>
  <c r="N111" i="15" s="1"/>
  <c r="N99" i="15"/>
  <c r="D120" i="15"/>
  <c r="M120" i="15" s="1"/>
  <c r="M108" i="15"/>
  <c r="D112" i="15"/>
  <c r="M112" i="15" s="1"/>
  <c r="T112" i="15" s="1"/>
  <c r="M100" i="15"/>
  <c r="T100" i="15" s="1"/>
  <c r="R105" i="14"/>
  <c r="E118" i="15"/>
  <c r="N118" i="15" s="1"/>
  <c r="T118" i="15" s="1"/>
  <c r="N106" i="15"/>
  <c r="T106" i="15" s="1"/>
  <c r="T91" i="15"/>
  <c r="R106" i="14"/>
  <c r="D111" i="14"/>
  <c r="L111" i="14" s="1"/>
  <c r="L99" i="14"/>
  <c r="R99" i="14" s="1"/>
  <c r="E120" i="15"/>
  <c r="N120" i="15" s="1"/>
  <c r="N108" i="15"/>
  <c r="Q102" i="16"/>
  <c r="E114" i="16"/>
  <c r="Q114" i="16" s="1"/>
  <c r="M99" i="15"/>
  <c r="D111" i="15"/>
  <c r="M111" i="15" s="1"/>
  <c r="D116" i="14"/>
  <c r="L116" i="14" s="1"/>
  <c r="L104" i="14"/>
  <c r="R104" i="14" s="1"/>
  <c r="N102" i="15"/>
  <c r="T102" i="15" s="1"/>
  <c r="E114" i="15"/>
  <c r="N114" i="15" s="1"/>
  <c r="T114" i="15" s="1"/>
  <c r="D120" i="14"/>
  <c r="L120" i="14" s="1"/>
  <c r="L108" i="14"/>
  <c r="E113" i="16"/>
  <c r="Q113" i="16" s="1"/>
  <c r="Q101" i="16"/>
  <c r="Z101" i="16" s="1"/>
  <c r="E115" i="16"/>
  <c r="Q115" i="16" s="1"/>
  <c r="Q103" i="16"/>
  <c r="E115" i="15"/>
  <c r="N115" i="15" s="1"/>
  <c r="N103" i="15"/>
  <c r="E119" i="16"/>
  <c r="Q119" i="16" s="1"/>
  <c r="Z119" i="16" s="1"/>
  <c r="Q107" i="16"/>
  <c r="Z107" i="16" s="1"/>
  <c r="Q108" i="16"/>
  <c r="E120" i="16"/>
  <c r="Q120" i="16" s="1"/>
  <c r="Z120" i="16" s="1"/>
  <c r="E117" i="15"/>
  <c r="N117" i="15" s="1"/>
  <c r="T117" i="15" s="1"/>
  <c r="N105" i="15"/>
  <c r="T105" i="15" s="1"/>
  <c r="E117" i="16"/>
  <c r="Q117" i="16" s="1"/>
  <c r="Z117" i="16" s="1"/>
  <c r="Q105" i="16"/>
  <c r="Z105" i="16" s="1"/>
  <c r="D115" i="15"/>
  <c r="M115" i="15" s="1"/>
  <c r="M103" i="15"/>
  <c r="N101" i="15"/>
  <c r="T101" i="15" s="1"/>
  <c r="E113" i="15"/>
  <c r="N113" i="15" s="1"/>
  <c r="T113" i="15" s="1"/>
  <c r="D116" i="15"/>
  <c r="M116" i="15" s="1"/>
  <c r="T116" i="15" s="1"/>
  <c r="M104" i="15"/>
  <c r="T104" i="15" s="1"/>
  <c r="Q106" i="16"/>
  <c r="E118" i="16"/>
  <c r="Q118" i="16" s="1"/>
  <c r="Z118" i="16" s="1"/>
  <c r="Z113" i="16" l="1"/>
  <c r="Z109" i="16"/>
  <c r="Z108" i="16"/>
  <c r="Z110" i="16"/>
  <c r="V12" i="19"/>
  <c r="Z106" i="16"/>
  <c r="Z121" i="16"/>
  <c r="Z98" i="16"/>
  <c r="F115" i="16"/>
  <c r="R115" i="16" s="1"/>
  <c r="Z115" i="16" s="1"/>
  <c r="R103" i="16"/>
  <c r="Z103" i="16" s="1"/>
  <c r="F114" i="16"/>
  <c r="R114" i="16" s="1"/>
  <c r="Z114" i="16" s="1"/>
  <c r="R102" i="16"/>
  <c r="Z102" i="16" s="1"/>
  <c r="R108" i="14"/>
  <c r="H110" i="14"/>
  <c r="P109" i="14"/>
  <c r="R109" i="14" s="1"/>
  <c r="R100" i="14"/>
  <c r="T111" i="15"/>
  <c r="T120" i="15"/>
  <c r="N12" i="19"/>
  <c r="P12" i="19" s="1"/>
  <c r="H4" i="24" s="1"/>
  <c r="T107" i="15"/>
  <c r="T103" i="15"/>
  <c r="T119" i="15"/>
  <c r="T99" i="15"/>
  <c r="T115" i="15"/>
  <c r="T108" i="15"/>
  <c r="X12" i="19" l="1"/>
  <c r="I12" i="20"/>
  <c r="I16" i="20" s="1"/>
  <c r="V13" i="19"/>
  <c r="V14" i="19"/>
  <c r="F13" i="19"/>
  <c r="H13" i="19" s="1"/>
  <c r="I3" i="24" s="1"/>
  <c r="P110" i="14"/>
  <c r="R110" i="14" s="1"/>
  <c r="H111" i="14"/>
  <c r="N14" i="19"/>
  <c r="P14" i="19" s="1"/>
  <c r="J4" i="24" s="1"/>
  <c r="C15" i="24" s="1"/>
  <c r="E15" i="24" s="1"/>
  <c r="N13" i="19"/>
  <c r="P13" i="19" s="1"/>
  <c r="I4" i="24" s="1"/>
  <c r="H5" i="24" l="1"/>
  <c r="H10" i="24" s="1"/>
  <c r="C16" i="20"/>
  <c r="X14" i="19"/>
  <c r="C18" i="20" s="1"/>
  <c r="I17" i="20"/>
  <c r="J16" i="20"/>
  <c r="H26" i="24" s="1"/>
  <c r="X13" i="19"/>
  <c r="E16" i="20"/>
  <c r="H25" i="24" s="1"/>
  <c r="H112" i="14"/>
  <c r="P111" i="14"/>
  <c r="R111" i="14" s="1"/>
  <c r="I5" i="24" l="1"/>
  <c r="I10" i="24" s="1"/>
  <c r="C17" i="20"/>
  <c r="E17" i="20" s="1"/>
  <c r="I25" i="24" s="1"/>
  <c r="J5" i="24"/>
  <c r="C16" i="24" s="1"/>
  <c r="E16" i="24" s="1"/>
  <c r="E18" i="20"/>
  <c r="J25" i="24" s="1"/>
  <c r="C33" i="24" s="1"/>
  <c r="H29" i="24"/>
  <c r="I18" i="20"/>
  <c r="J18" i="20" s="1"/>
  <c r="J26" i="24" s="1"/>
  <c r="C34" i="24" s="1"/>
  <c r="E34" i="24" s="1"/>
  <c r="J17" i="20"/>
  <c r="I26" i="24" s="1"/>
  <c r="P112" i="14"/>
  <c r="R112" i="14" s="1"/>
  <c r="H113" i="14"/>
  <c r="I29" i="24" l="1"/>
  <c r="L11" i="21"/>
  <c r="L12" i="21" s="1"/>
  <c r="I11" i="21"/>
  <c r="I16" i="21" s="1"/>
  <c r="K16" i="21" s="1"/>
  <c r="K17" i="21" s="1"/>
  <c r="C37" i="24"/>
  <c r="J29" i="24"/>
  <c r="K11" i="21"/>
  <c r="K12" i="21" s="1"/>
  <c r="I12" i="21"/>
  <c r="H114" i="14"/>
  <c r="P113" i="14"/>
  <c r="R113" i="14" s="1"/>
  <c r="I17" i="21" l="1"/>
  <c r="L16" i="21"/>
  <c r="L17" i="21" s="1"/>
  <c r="M11" i="21"/>
  <c r="M12" i="21" s="1"/>
  <c r="P114" i="14"/>
  <c r="R114" i="14" s="1"/>
  <c r="H115" i="14"/>
  <c r="M16" i="21" l="1"/>
  <c r="M17" i="21" s="1"/>
  <c r="D33" i="24"/>
  <c r="D37" i="24" s="1"/>
  <c r="H116" i="14"/>
  <c r="P115" i="14"/>
  <c r="R115" i="14" s="1"/>
  <c r="E33" i="24" l="1"/>
  <c r="E37" i="24" s="1"/>
  <c r="P116" i="14"/>
  <c r="R116" i="14" s="1"/>
  <c r="H117" i="14"/>
  <c r="H118" i="14" l="1"/>
  <c r="P117" i="14"/>
  <c r="R117" i="14" s="1"/>
  <c r="P118" i="14" l="1"/>
  <c r="R118" i="14" s="1"/>
  <c r="H119" i="14"/>
  <c r="H120" i="14" l="1"/>
  <c r="P119" i="14"/>
  <c r="R119" i="14" s="1"/>
  <c r="P120" i="14" l="1"/>
  <c r="R120" i="14" s="1"/>
  <c r="H121" i="14"/>
  <c r="P121" i="14" s="1"/>
  <c r="R121" i="14" s="1"/>
  <c r="F14" i="19" s="1"/>
  <c r="H14" i="19" s="1"/>
  <c r="J3" i="24" s="1"/>
  <c r="J10" i="24" l="1"/>
  <c r="C14" i="24"/>
  <c r="C21" i="24" l="1"/>
  <c r="E14" i="24"/>
  <c r="E21" i="24" s="1"/>
</calcChain>
</file>

<file path=xl/comments1.xml><?xml version="1.0" encoding="utf-8"?>
<comments xmlns="http://schemas.openxmlformats.org/spreadsheetml/2006/main">
  <authors>
    <author>Author</author>
  </authors>
  <commentList>
    <comment ref="U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Removed some incremental demand.  </t>
        </r>
      </text>
    </comment>
  </commentList>
</comments>
</file>

<file path=xl/sharedStrings.xml><?xml version="1.0" encoding="utf-8"?>
<sst xmlns="http://schemas.openxmlformats.org/spreadsheetml/2006/main" count="556" uniqueCount="200">
  <si>
    <t>Wholesale Purchases</t>
  </si>
  <si>
    <t>Residential</t>
  </si>
  <si>
    <t>kWh</t>
  </si>
  <si>
    <t>Connections</t>
  </si>
  <si>
    <t>GS&gt;50</t>
  </si>
  <si>
    <t>kW</t>
  </si>
  <si>
    <t>USL</t>
  </si>
  <si>
    <t>Residential_kWh</t>
  </si>
  <si>
    <t>GSgt50_Customers</t>
  </si>
  <si>
    <t>GSlt50_kWh</t>
  </si>
  <si>
    <t>GSgt50_kWh</t>
  </si>
  <si>
    <t>GSgt50_kW</t>
  </si>
  <si>
    <t>Intermediate_kWh</t>
  </si>
  <si>
    <t>Intermediate_kW</t>
  </si>
  <si>
    <t>Intermediate_Customers</t>
  </si>
  <si>
    <t>Streetlights_kWh</t>
  </si>
  <si>
    <t>Streetlights_kW</t>
  </si>
  <si>
    <t>Streetlights_Customers</t>
  </si>
  <si>
    <t>Sentinel_Lights_kWh</t>
  </si>
  <si>
    <t>Sentinel_Lights_kW</t>
  </si>
  <si>
    <t>Sentinel_Lights_Customers</t>
  </si>
  <si>
    <t>USL_kWh</t>
  </si>
  <si>
    <t>USL_Customers</t>
  </si>
  <si>
    <t>Embedded_Generation_kWh</t>
  </si>
  <si>
    <t>HONI_Embedded_Load_kWh</t>
  </si>
  <si>
    <t>HONI_Embedded_Load_kW</t>
  </si>
  <si>
    <t>HONI_Embedded_Customers</t>
  </si>
  <si>
    <t>Date</t>
  </si>
  <si>
    <t>HDD</t>
  </si>
  <si>
    <t>CDD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</si>
  <si>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</si>
  <si>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</si>
  <si>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</si>
  <si>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</si>
  <si>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</si>
  <si>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</si>
  <si>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</si>
  <si>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</si>
  <si>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</si>
  <si>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</si>
  <si>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</si>
  <si>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</si>
  <si>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SUMIFS(daily.csv!$L$2:$L$7306,daily.csv!$B$2:$B$7306,YEAR($A2),daily.csv!$C$2:$C$7306,MONTH($A2))</t>
  </si>
  <si>
    <t>10-year</t>
  </si>
  <si>
    <t>20-year</t>
  </si>
  <si>
    <t>10 Year Average</t>
  </si>
  <si>
    <t>20 Year Trend</t>
  </si>
  <si>
    <t>Windsor Riverside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</si>
  <si>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</si>
  <si>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</si>
  <si>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</si>
  <si>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</si>
  <si>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</si>
  <si>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</si>
  <si>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</si>
  <si>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</si>
  <si>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Ont_FTE</t>
  </si>
  <si>
    <t>Windsor_FTE</t>
  </si>
  <si>
    <t>BMO</t>
  </si>
  <si>
    <t>TD</t>
  </si>
  <si>
    <t>Scotia</t>
  </si>
  <si>
    <t>RBC</t>
  </si>
  <si>
    <t>Average</t>
  </si>
  <si>
    <t>coefficient</t>
  </si>
  <si>
    <t>std. error</t>
  </si>
  <si>
    <t>t-ratio</t>
  </si>
  <si>
    <t>p-value</t>
  </si>
  <si>
    <t>const</t>
  </si>
  <si>
    <t>Trend</t>
  </si>
  <si>
    <t>Spring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</si>
  <si>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</si>
  <si>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</si>
  <si>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</si>
  <si>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</si>
  <si>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</si>
  <si>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</si>
  <si>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</si>
  <si>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</si>
  <si>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</si>
  <si>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</si>
  <si>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</si>
  <si>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</si>
  <si>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</si>
  <si>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Year</t>
  </si>
  <si>
    <t>Predicted kWh</t>
  </si>
  <si>
    <t>Model Error</t>
  </si>
  <si>
    <t>Weather Actual</t>
  </si>
  <si>
    <t>Res kWh</t>
  </si>
  <si>
    <t>Absolute</t>
  </si>
  <si>
    <t>GS&lt;50 kWh</t>
  </si>
  <si>
    <t>GS&gt;50 kWh</t>
  </si>
  <si>
    <t>Actual</t>
  </si>
  <si>
    <t>Predicted</t>
  </si>
  <si>
    <t>Error (%)</t>
  </si>
  <si>
    <t>Mean Absolute Percentage Error (Annual)</t>
  </si>
  <si>
    <t>Mean Absolute Percentage Error (Monthly)</t>
  </si>
  <si>
    <t>Normalized kWh</t>
  </si>
  <si>
    <t>Street Light</t>
  </si>
  <si>
    <t>GS &lt; 50</t>
  </si>
  <si>
    <t>GS &gt; 50</t>
  </si>
  <si>
    <t>Lamps / Devices</t>
  </si>
  <si>
    <t>Sentinel</t>
  </si>
  <si>
    <t>Customers</t>
  </si>
  <si>
    <t>Weather Normal</t>
  </si>
  <si>
    <t>Normalized</t>
  </si>
  <si>
    <t>kWh Actual</t>
  </si>
  <si>
    <t>Ratio</t>
  </si>
  <si>
    <t>kW Actual</t>
  </si>
  <si>
    <t>A</t>
  </si>
  <si>
    <t>C = B / A</t>
  </si>
  <si>
    <t>B</t>
  </si>
  <si>
    <t>kWh Normalized</t>
  </si>
  <si>
    <t>D</t>
  </si>
  <si>
    <t>E</t>
  </si>
  <si>
    <t>F = D * E</t>
  </si>
  <si>
    <t>Total</t>
  </si>
  <si>
    <t>F</t>
  </si>
  <si>
    <t>Normal Forecast</t>
  </si>
  <si>
    <t>2014 Actual</t>
  </si>
  <si>
    <t>2015 Actual</t>
  </si>
  <si>
    <t>2017 Forecast</t>
  </si>
  <si>
    <t>Sentinel Light</t>
  </si>
  <si>
    <t>CDM Adjusted</t>
  </si>
  <si>
    <t>CDM Adjustment</t>
  </si>
  <si>
    <t>Customer Connections</t>
  </si>
  <si>
    <t>2,3,9,10,11,12</t>
  </si>
  <si>
    <t>13,14</t>
  </si>
  <si>
    <t>Ontario_FTE</t>
  </si>
  <si>
    <t>Fall</t>
  </si>
  <si>
    <t>Shoulder</t>
  </si>
  <si>
    <t>2015-2020 Target</t>
  </si>
  <si>
    <t>2015 Results</t>
  </si>
  <si>
    <t>2016-2020 Remaining Target</t>
  </si>
  <si>
    <t>Annual Remaining</t>
  </si>
  <si>
    <t>Residential Persistence</t>
  </si>
  <si>
    <t>No recent LRAMVA dispositions recently</t>
  </si>
  <si>
    <t>Business includes Pre-2011 programs</t>
  </si>
  <si>
    <t>Business Persistence</t>
  </si>
  <si>
    <t>Industrial Persistence</t>
  </si>
  <si>
    <t>2007-2016 average monthly energy (kWh)</t>
  </si>
  <si>
    <t>Non-Res</t>
  </si>
  <si>
    <t>2009-2010</t>
  </si>
  <si>
    <t>Embedded_Generation</t>
  </si>
  <si>
    <t>Program Years (MWh)</t>
  </si>
  <si>
    <t>Program Years (kWh)</t>
  </si>
  <si>
    <t>Gross_Res</t>
  </si>
  <si>
    <t>Res_CDM</t>
  </si>
  <si>
    <t>GSlt50_CDM</t>
  </si>
  <si>
    <t>GSgt50_CDM</t>
  </si>
  <si>
    <t>Gross_GSgt50</t>
  </si>
  <si>
    <t>Gross_GSlt50</t>
  </si>
  <si>
    <t>Res_Customers</t>
  </si>
  <si>
    <t>Month_Days</t>
  </si>
  <si>
    <t>Peak_Days</t>
  </si>
  <si>
    <t>GSlt50_Customers</t>
  </si>
  <si>
    <t>Dependent variable: Gross_Res</t>
  </si>
  <si>
    <t>Theil's U</t>
  </si>
  <si>
    <t>Dependent variable: Gross_GSlt50</t>
  </si>
  <si>
    <t>Model 5: OLS, using observations 2009:01-2016:12 (T = 96)</t>
  </si>
  <si>
    <t>F(7, 88)</t>
  </si>
  <si>
    <t>Dependent variable: Gross_GSgt50</t>
  </si>
  <si>
    <t>Actual+CDM</t>
  </si>
  <si>
    <t>Model 3: OLS, using observations 2009:01-2016:12 (T = 96)</t>
  </si>
  <si>
    <t>F(6, 89)</t>
  </si>
  <si>
    <t>year</t>
  </si>
  <si>
    <t>Percentage of Prior Year</t>
  </si>
  <si>
    <t>Cumulative Persisting CDM</t>
  </si>
  <si>
    <t>Actual no CDM</t>
  </si>
  <si>
    <t>Normalized no CDM</t>
  </si>
  <si>
    <t>C = A + B</t>
  </si>
  <si>
    <t>E = B</t>
  </si>
  <si>
    <t>F = D - E</t>
  </si>
  <si>
    <t>D = F / E</t>
  </si>
  <si>
    <t>MWh</t>
  </si>
  <si>
    <t>LRAMVA Target</t>
  </si>
  <si>
    <t>Forecast CDM</t>
  </si>
  <si>
    <t>Weight</t>
  </si>
  <si>
    <t>Amount</t>
  </si>
  <si>
    <t>Annual Remaining Target</t>
  </si>
  <si>
    <t>2015 Verified CDM</t>
  </si>
  <si>
    <t>Share</t>
  </si>
  <si>
    <t>Weather Normalized 2018 Forecast (kWh)</t>
  </si>
  <si>
    <t>% Savings</t>
  </si>
  <si>
    <t>Weather Normalized 2018 Forecast (kW)</t>
  </si>
  <si>
    <t>2018 Forecast</t>
  </si>
  <si>
    <t>2018 Weather Normal Forecast</t>
  </si>
  <si>
    <t>2018 CDM Adjusted Forecast</t>
  </si>
  <si>
    <t>2016 Actual</t>
  </si>
  <si>
    <t>2016 Normalized</t>
  </si>
  <si>
    <t>2012 Actual</t>
  </si>
  <si>
    <t>2013 Actual</t>
  </si>
  <si>
    <t>GDP</t>
  </si>
  <si>
    <t>LRAMVA Target (kWh)</t>
  </si>
  <si>
    <t>LRAMVA Target (kW)</t>
  </si>
  <si>
    <t>CDM Adjustment (kW)</t>
  </si>
  <si>
    <t>CDM Adjustment (kWh)</t>
  </si>
  <si>
    <t>Embedded Distributor</t>
  </si>
  <si>
    <t>F(10, 85)</t>
  </si>
  <si>
    <t>Ontario_GDP</t>
  </si>
  <si>
    <t>Model 1: OLS, using observations 2009:01-2016:12 (T = 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</si>
</sst>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6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165" fontId="0" fillId="0" borderId="1" xfId="1" applyNumberFormat="1" applyFont="1" applyBorder="1"/>
    <xf numFmtId="165" fontId="0" fillId="0" borderId="2" xfId="1" applyNumberFormat="1" applyFont="1" applyBorder="1"/>
    <xf numFmtId="165" fontId="0" fillId="0" borderId="0" xfId="1" applyNumberFormat="1" applyFont="1" applyBorder="1"/>
    <xf numFmtId="165" fontId="0" fillId="2" borderId="0" xfId="1" applyNumberFormat="1" applyFont="1" applyFill="1" applyBorder="1"/>
    <xf numFmtId="165" fontId="0" fillId="2" borderId="2" xfId="1" applyNumberFormat="1" applyFont="1" applyFill="1" applyBorder="1"/>
    <xf numFmtId="0" fontId="4" fillId="0" borderId="0" xfId="3"/>
    <xf numFmtId="0" fontId="5" fillId="0" borderId="0" xfId="3" applyFont="1" applyAlignment="1">
      <alignment horizontal="right"/>
    </xf>
    <xf numFmtId="0" fontId="4" fillId="0" borderId="0" xfId="3" applyFont="1" applyAlignment="1">
      <alignment horizontal="right"/>
    </xf>
    <xf numFmtId="0" fontId="6" fillId="0" borderId="0" xfId="3" applyFont="1" applyAlignment="1">
      <alignment horizontal="right"/>
    </xf>
    <xf numFmtId="15" fontId="4" fillId="0" borderId="0" xfId="3" applyNumberFormat="1"/>
    <xf numFmtId="0" fontId="6" fillId="0" borderId="0" xfId="3" applyFont="1"/>
    <xf numFmtId="0" fontId="7" fillId="0" borderId="0" xfId="3" applyFont="1"/>
    <xf numFmtId="0" fontId="4" fillId="0" borderId="0" xfId="3" applyAlignment="1">
      <alignment horizontal="center"/>
    </xf>
    <xf numFmtId="2" fontId="4" fillId="0" borderId="0" xfId="3" applyNumberFormat="1"/>
    <xf numFmtId="0" fontId="4" fillId="0" borderId="0" xfId="3" applyAlignment="1">
      <alignment horizontal="right"/>
    </xf>
    <xf numFmtId="0" fontId="4" fillId="0" borderId="0" xfId="3" applyFont="1"/>
    <xf numFmtId="0" fontId="6" fillId="0" borderId="0" xfId="4"/>
    <xf numFmtId="17" fontId="4" fillId="0" borderId="0" xfId="3" applyNumberFormat="1"/>
    <xf numFmtId="10" fontId="6" fillId="0" borderId="0" xfId="4" applyNumberFormat="1"/>
    <xf numFmtId="165" fontId="0" fillId="0" borderId="0" xfId="5" applyNumberFormat="1" applyFont="1"/>
    <xf numFmtId="11" fontId="4" fillId="0" borderId="0" xfId="3" applyNumberFormat="1"/>
    <xf numFmtId="14" fontId="4" fillId="0" borderId="0" xfId="3" applyNumberFormat="1"/>
    <xf numFmtId="10" fontId="0" fillId="0" borderId="0" xfId="6" applyNumberFormat="1" applyFont="1"/>
    <xf numFmtId="3" fontId="6" fillId="0" borderId="0" xfId="3" applyNumberFormat="1" applyFont="1"/>
    <xf numFmtId="166" fontId="6" fillId="0" borderId="0" xfId="6" applyNumberFormat="1" applyFont="1"/>
    <xf numFmtId="0" fontId="6" fillId="0" borderId="0" xfId="3" applyFont="1" applyFill="1"/>
    <xf numFmtId="0" fontId="6" fillId="0" borderId="0" xfId="3" applyFont="1"/>
    <xf numFmtId="166" fontId="6" fillId="0" borderId="0" xfId="3" applyNumberFormat="1" applyFont="1"/>
    <xf numFmtId="165" fontId="4" fillId="0" borderId="0" xfId="5" applyNumberFormat="1" applyFont="1"/>
    <xf numFmtId="0" fontId="6" fillId="0" borderId="0" xfId="4" applyFont="1"/>
    <xf numFmtId="0" fontId="6" fillId="0" borderId="0" xfId="4" applyFont="1" applyAlignment="1">
      <alignment horizontal="right"/>
    </xf>
    <xf numFmtId="3" fontId="6" fillId="0" borderId="0" xfId="4" applyNumberFormat="1" applyFont="1"/>
    <xf numFmtId="166" fontId="6" fillId="0" borderId="0" xfId="7" applyNumberFormat="1" applyFont="1"/>
    <xf numFmtId="10" fontId="6" fillId="0" borderId="0" xfId="7" applyNumberFormat="1" applyFont="1"/>
    <xf numFmtId="166" fontId="6" fillId="0" borderId="0" xfId="4" applyNumberFormat="1" applyFont="1"/>
    <xf numFmtId="0" fontId="6" fillId="0" borderId="0" xfId="4" applyFont="1" applyFill="1"/>
    <xf numFmtId="0" fontId="8" fillId="0" borderId="0" xfId="4" applyFont="1"/>
    <xf numFmtId="3" fontId="8" fillId="0" borderId="0" xfId="4" applyNumberFormat="1" applyFont="1"/>
    <xf numFmtId="10" fontId="8" fillId="0" borderId="0" xfId="7" applyNumberFormat="1" applyFont="1"/>
    <xf numFmtId="0" fontId="6" fillId="0" borderId="0" xfId="4" applyFont="1" applyAlignment="1">
      <alignment horizontal="center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7" fontId="6" fillId="0" borderId="0" xfId="8" applyNumberFormat="1" applyFont="1"/>
    <xf numFmtId="167" fontId="5" fillId="0" borderId="0" xfId="8" applyNumberFormat="1" applyFont="1" applyAlignment="1">
      <alignment horizontal="center"/>
    </xf>
    <xf numFmtId="167" fontId="8" fillId="0" borderId="0" xfId="8" applyNumberFormat="1" applyFont="1"/>
    <xf numFmtId="0" fontId="1" fillId="0" borderId="0" xfId="9"/>
    <xf numFmtId="167" fontId="0" fillId="0" borderId="0" xfId="10" applyNumberFormat="1" applyFont="1"/>
    <xf numFmtId="0" fontId="9" fillId="0" borderId="0" xfId="4" applyFont="1"/>
    <xf numFmtId="0" fontId="5" fillId="3" borderId="6" xfId="4" applyFont="1" applyFill="1" applyBorder="1"/>
    <xf numFmtId="0" fontId="5" fillId="3" borderId="7" xfId="4" applyFont="1" applyFill="1" applyBorder="1" applyAlignment="1">
      <alignment vertical="center"/>
    </xf>
    <xf numFmtId="0" fontId="5" fillId="3" borderId="8" xfId="4" applyFont="1" applyFill="1" applyBorder="1" applyAlignment="1">
      <alignment vertical="center"/>
    </xf>
    <xf numFmtId="0" fontId="5" fillId="0" borderId="9" xfId="4" applyFont="1" applyBorder="1" applyAlignment="1">
      <alignment horizontal="center"/>
    </xf>
    <xf numFmtId="3" fontId="6" fillId="0" borderId="0" xfId="4" applyNumberFormat="1" applyBorder="1"/>
    <xf numFmtId="3" fontId="6" fillId="0" borderId="2" xfId="4" applyNumberFormat="1" applyBorder="1"/>
    <xf numFmtId="0" fontId="5" fillId="0" borderId="10" xfId="4" applyFont="1" applyBorder="1" applyAlignment="1">
      <alignment horizontal="center"/>
    </xf>
    <xf numFmtId="0" fontId="5" fillId="3" borderId="11" xfId="4" applyFont="1" applyFill="1" applyBorder="1" applyAlignment="1">
      <alignment horizontal="center"/>
    </xf>
    <xf numFmtId="3" fontId="6" fillId="3" borderId="12" xfId="4" applyNumberFormat="1" applyFill="1" applyBorder="1"/>
    <xf numFmtId="3" fontId="6" fillId="3" borderId="13" xfId="4" applyNumberFormat="1" applyFill="1" applyBorder="1"/>
    <xf numFmtId="0" fontId="5" fillId="3" borderId="7" xfId="4" applyFont="1" applyFill="1" applyBorder="1" applyAlignment="1">
      <alignment horizontal="center" vertical="center" wrapText="1"/>
    </xf>
    <xf numFmtId="0" fontId="5" fillId="3" borderId="8" xfId="4" applyFont="1" applyFill="1" applyBorder="1" applyAlignment="1">
      <alignment horizontal="center" vertical="center" wrapText="1"/>
    </xf>
    <xf numFmtId="3" fontId="6" fillId="0" borderId="0" xfId="4" applyNumberFormat="1"/>
    <xf numFmtId="17" fontId="0" fillId="0" borderId="0" xfId="0" applyNumberFormat="1"/>
    <xf numFmtId="167" fontId="0" fillId="0" borderId="0" xfId="0" applyNumberFormat="1"/>
    <xf numFmtId="0" fontId="5" fillId="0" borderId="0" xfId="4" applyFont="1" applyAlignment="1">
      <alignment horizontal="center"/>
    </xf>
    <xf numFmtId="0" fontId="6" fillId="0" borderId="3" xfId="4" applyBorder="1"/>
    <xf numFmtId="0" fontId="6" fillId="0" borderId="16" xfId="4" applyBorder="1" applyAlignment="1">
      <alignment horizontal="center"/>
    </xf>
    <xf numFmtId="0" fontId="6" fillId="0" borderId="17" xfId="4" applyBorder="1" applyAlignment="1">
      <alignment horizontal="center"/>
    </xf>
    <xf numFmtId="0" fontId="6" fillId="0" borderId="4" xfId="4" applyBorder="1" applyAlignment="1">
      <alignment horizontal="center"/>
    </xf>
    <xf numFmtId="0" fontId="6" fillId="0" borderId="18" xfId="4" applyBorder="1" applyAlignment="1">
      <alignment horizontal="center"/>
    </xf>
    <xf numFmtId="0" fontId="6" fillId="0" borderId="19" xfId="4" applyBorder="1"/>
    <xf numFmtId="167" fontId="6" fillId="0" borderId="3" xfId="10" applyNumberFormat="1" applyFont="1" applyBorder="1"/>
    <xf numFmtId="167" fontId="6" fillId="0" borderId="20" xfId="4" applyNumberFormat="1" applyBorder="1"/>
    <xf numFmtId="0" fontId="6" fillId="0" borderId="17" xfId="4" applyBorder="1"/>
    <xf numFmtId="167" fontId="6" fillId="0" borderId="16" xfId="10" applyNumberFormat="1" applyFont="1" applyBorder="1"/>
    <xf numFmtId="167" fontId="6" fillId="0" borderId="18" xfId="4" applyNumberFormat="1" applyBorder="1"/>
    <xf numFmtId="0" fontId="6" fillId="0" borderId="21" xfId="4" applyBorder="1"/>
    <xf numFmtId="167" fontId="6" fillId="0" borderId="5" xfId="10" applyNumberFormat="1" applyFont="1" applyBorder="1"/>
    <xf numFmtId="167" fontId="6" fillId="0" borderId="22" xfId="4" applyNumberFormat="1" applyBorder="1"/>
    <xf numFmtId="167" fontId="6" fillId="0" borderId="0" xfId="4" applyNumberFormat="1"/>
    <xf numFmtId="0" fontId="6" fillId="0" borderId="0" xfId="4" applyAlignment="1">
      <alignment horizontal="center"/>
    </xf>
    <xf numFmtId="0" fontId="5" fillId="0" borderId="0" xfId="4" applyFont="1" applyAlignment="1">
      <alignment horizontal="center" wrapText="1"/>
    </xf>
    <xf numFmtId="167" fontId="6" fillId="0" borderId="0" xfId="10" applyNumberFormat="1" applyFont="1"/>
    <xf numFmtId="166" fontId="6" fillId="0" borderId="0" xfId="2" applyNumberFormat="1" applyFont="1"/>
    <xf numFmtId="166" fontId="6" fillId="0" borderId="0" xfId="4" applyNumberFormat="1"/>
    <xf numFmtId="0" fontId="10" fillId="0" borderId="0" xfId="0" applyFont="1" applyFill="1" applyProtection="1">
      <protection locked="0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Fill="1" applyBorder="1"/>
    <xf numFmtId="0" fontId="10" fillId="0" borderId="0" xfId="0" applyFont="1"/>
    <xf numFmtId="17" fontId="10" fillId="0" borderId="0" xfId="0" applyNumberFormat="1" applyFont="1" applyFill="1" applyProtection="1">
      <protection locked="0"/>
    </xf>
    <xf numFmtId="0" fontId="10" fillId="0" borderId="0" xfId="0" applyNumberFormat="1" applyFont="1" applyFill="1" applyProtection="1">
      <protection locked="0"/>
    </xf>
    <xf numFmtId="165" fontId="10" fillId="0" borderId="1" xfId="1" applyNumberFormat="1" applyFont="1" applyBorder="1"/>
    <xf numFmtId="165" fontId="10" fillId="0" borderId="2" xfId="1" applyNumberFormat="1" applyFont="1" applyBorder="1"/>
    <xf numFmtId="165" fontId="10" fillId="0" borderId="0" xfId="1" applyNumberFormat="1" applyFont="1" applyBorder="1"/>
    <xf numFmtId="164" fontId="10" fillId="0" borderId="0" xfId="1" applyFont="1" applyBorder="1"/>
    <xf numFmtId="0" fontId="10" fillId="2" borderId="2" xfId="0" applyFont="1" applyFill="1" applyBorder="1"/>
    <xf numFmtId="167" fontId="10" fillId="0" borderId="0" xfId="10" applyNumberFormat="1" applyFont="1"/>
    <xf numFmtId="165" fontId="10" fillId="0" borderId="0" xfId="1" applyNumberFormat="1" applyFont="1" applyFill="1" applyBorder="1"/>
    <xf numFmtId="164" fontId="10" fillId="2" borderId="0" xfId="1" applyFont="1" applyFill="1" applyBorder="1"/>
    <xf numFmtId="165" fontId="10" fillId="2" borderId="0" xfId="1" applyNumberFormat="1" applyFont="1" applyFill="1" applyBorder="1"/>
    <xf numFmtId="0" fontId="10" fillId="0" borderId="2" xfId="0" applyFont="1" applyFill="1" applyBorder="1"/>
    <xf numFmtId="165" fontId="10" fillId="0" borderId="1" xfId="1" applyNumberFormat="1" applyFont="1" applyFill="1" applyBorder="1"/>
    <xf numFmtId="165" fontId="10" fillId="2" borderId="1" xfId="1" applyNumberFormat="1" applyFont="1" applyFill="1" applyBorder="1"/>
    <xf numFmtId="165" fontId="10" fillId="2" borderId="2" xfId="0" applyNumberFormat="1" applyFont="1" applyFill="1" applyBorder="1"/>
    <xf numFmtId="3" fontId="10" fillId="0" borderId="0" xfId="0" applyNumberFormat="1" applyFont="1"/>
    <xf numFmtId="164" fontId="10" fillId="0" borderId="0" xfId="0" applyNumberFormat="1" applyFont="1" applyFill="1" applyProtection="1">
      <protection locked="0"/>
    </xf>
    <xf numFmtId="0" fontId="10" fillId="0" borderId="0" xfId="0" applyFont="1" applyBorder="1"/>
    <xf numFmtId="10" fontId="4" fillId="0" borderId="0" xfId="3" applyNumberFormat="1"/>
    <xf numFmtId="0" fontId="0" fillId="0" borderId="1" xfId="0" applyFont="1" applyBorder="1"/>
    <xf numFmtId="0" fontId="6" fillId="0" borderId="0" xfId="4" applyFont="1" applyAlignment="1">
      <alignment horizontal="center" wrapText="1"/>
    </xf>
    <xf numFmtId="0" fontId="6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5" fillId="4" borderId="9" xfId="4" applyFont="1" applyFill="1" applyBorder="1" applyAlignment="1">
      <alignment horizontal="center"/>
    </xf>
    <xf numFmtId="3" fontId="6" fillId="4" borderId="0" xfId="4" applyNumberFormat="1" applyFill="1" applyBorder="1"/>
    <xf numFmtId="3" fontId="6" fillId="4" borderId="2" xfId="4" applyNumberFormat="1" applyFill="1" applyBorder="1"/>
    <xf numFmtId="0" fontId="5" fillId="4" borderId="10" xfId="4" applyFont="1" applyFill="1" applyBorder="1" applyAlignment="1">
      <alignment horizontal="center"/>
    </xf>
    <xf numFmtId="0" fontId="9" fillId="4" borderId="0" xfId="4" applyFont="1" applyFill="1"/>
    <xf numFmtId="0" fontId="6" fillId="4" borderId="0" xfId="4" applyFill="1"/>
    <xf numFmtId="0" fontId="0" fillId="0" borderId="0" xfId="0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4" applyFont="1" applyAlignment="1">
      <alignment horizontal="center" wrapText="1"/>
    </xf>
    <xf numFmtId="0" fontId="6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6" fillId="0" borderId="14" xfId="4" applyBorder="1" applyAlignment="1">
      <alignment horizontal="center"/>
    </xf>
    <xf numFmtId="0" fontId="6" fillId="0" borderId="15" xfId="4" applyBorder="1" applyAlignment="1">
      <alignment horizontal="center"/>
    </xf>
    <xf numFmtId="0" fontId="0" fillId="0" borderId="0" xfId="0" applyFont="1" applyFill="1" applyBorder="1"/>
    <xf numFmtId="0" fontId="6" fillId="0" borderId="0" xfId="0" applyFont="1"/>
    <xf numFmtId="0" fontId="6" fillId="4" borderId="0" xfId="4" applyFont="1" applyFill="1"/>
    <xf numFmtId="0" fontId="6" fillId="4" borderId="0" xfId="4" applyFont="1" applyFill="1" applyAlignment="1">
      <alignment horizontal="right"/>
    </xf>
    <xf numFmtId="3" fontId="6" fillId="4" borderId="0" xfId="4" applyNumberFormat="1" applyFont="1" applyFill="1"/>
    <xf numFmtId="166" fontId="6" fillId="4" borderId="0" xfId="7" applyNumberFormat="1" applyFont="1" applyFill="1"/>
    <xf numFmtId="0" fontId="8" fillId="4" borderId="0" xfId="4" applyFont="1" applyFill="1"/>
    <xf numFmtId="3" fontId="8" fillId="4" borderId="0" xfId="4" applyNumberFormat="1" applyFont="1" applyFill="1"/>
  </cellXfs>
  <cellStyles count="12">
    <cellStyle name="Comma" xfId="1" builtinId="3"/>
    <cellStyle name="Comma 2" xfId="5"/>
    <cellStyle name="Comma 5" xfId="8"/>
    <cellStyle name="Comma 6" xfId="10"/>
    <cellStyle name="Normal" xfId="0" builtinId="0"/>
    <cellStyle name="Normal 2" xfId="3"/>
    <cellStyle name="Normal 2 2" xfId="4"/>
    <cellStyle name="Normal 7" xfId="9"/>
    <cellStyle name="Percent" xfId="2" builtinId="5"/>
    <cellStyle name="Percent 2" xfId="6"/>
    <cellStyle name="Percent 5" xfId="7"/>
    <cellStyle name="Percent 6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 Gross_Res </c:v>
                </c:pt>
              </c:strCache>
            </c:strRef>
          </c:tx>
          <c:marker>
            <c:symbol val="none"/>
          </c:marker>
          <c:cat>
            <c:numRef>
              <c:f>'Res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'Res Predicted Monthly'!$C$2:$C$97</c:f>
              <c:numCache>
                <c:formatCode>_(* #,##0_);_(* \(#,##0\);_(* "-"??_);_(@_)</c:formatCode>
                <c:ptCount val="96"/>
                <c:pt idx="0">
                  <c:v>22953528.183818262</c:v>
                </c:pt>
                <c:pt idx="1">
                  <c:v>19172932.773045871</c:v>
                </c:pt>
                <c:pt idx="2">
                  <c:v>19039064.366005011</c:v>
                </c:pt>
                <c:pt idx="3">
                  <c:v>17003193.089812111</c:v>
                </c:pt>
                <c:pt idx="4">
                  <c:v>17391297.954777639</c:v>
                </c:pt>
                <c:pt idx="5">
                  <c:v>21273593.977212608</c:v>
                </c:pt>
                <c:pt idx="6">
                  <c:v>25787416.81760994</c:v>
                </c:pt>
                <c:pt idx="7">
                  <c:v>27496374.034570016</c:v>
                </c:pt>
                <c:pt idx="8">
                  <c:v>20755352.022298176</c:v>
                </c:pt>
                <c:pt idx="9">
                  <c:v>18082092.987588529</c:v>
                </c:pt>
                <c:pt idx="10">
                  <c:v>18074593.893965401</c:v>
                </c:pt>
                <c:pt idx="11">
                  <c:v>22219304.425605915</c:v>
                </c:pt>
                <c:pt idx="12">
                  <c:v>22358460.250977054</c:v>
                </c:pt>
                <c:pt idx="13">
                  <c:v>18735998.915144272</c:v>
                </c:pt>
                <c:pt idx="14">
                  <c:v>18338914.486644384</c:v>
                </c:pt>
                <c:pt idx="15">
                  <c:v>16457791.552007467</c:v>
                </c:pt>
                <c:pt idx="16">
                  <c:v>19877888.578557905</c:v>
                </c:pt>
                <c:pt idx="17">
                  <c:v>27745184.765543249</c:v>
                </c:pt>
                <c:pt idx="18">
                  <c:v>34151513.368632481</c:v>
                </c:pt>
                <c:pt idx="19">
                  <c:v>31520743.190588608</c:v>
                </c:pt>
                <c:pt idx="20">
                  <c:v>21071409.668348346</c:v>
                </c:pt>
                <c:pt idx="21">
                  <c:v>17208459.015448716</c:v>
                </c:pt>
                <c:pt idx="22">
                  <c:v>17984730.026108824</c:v>
                </c:pt>
                <c:pt idx="23">
                  <c:v>21766502.464284435</c:v>
                </c:pt>
                <c:pt idx="24">
                  <c:v>22178314.15854536</c:v>
                </c:pt>
                <c:pt idx="25">
                  <c:v>18955531.053135466</c:v>
                </c:pt>
                <c:pt idx="26">
                  <c:v>19020096.60404275</c:v>
                </c:pt>
                <c:pt idx="27">
                  <c:v>17125422.053072423</c:v>
                </c:pt>
                <c:pt idx="28">
                  <c:v>18591300.513173018</c:v>
                </c:pt>
                <c:pt idx="29">
                  <c:v>24888672.212482154</c:v>
                </c:pt>
                <c:pt idx="30">
                  <c:v>33358689.098552275</c:v>
                </c:pt>
                <c:pt idx="31">
                  <c:v>30414812.49304403</c:v>
                </c:pt>
                <c:pt idx="32">
                  <c:v>20929875.731459919</c:v>
                </c:pt>
                <c:pt idx="33">
                  <c:v>17117587.736433852</c:v>
                </c:pt>
                <c:pt idx="34">
                  <c:v>17522596.420983914</c:v>
                </c:pt>
                <c:pt idx="35">
                  <c:v>20836913.507082358</c:v>
                </c:pt>
                <c:pt idx="36">
                  <c:v>20826549.184631586</c:v>
                </c:pt>
                <c:pt idx="37">
                  <c:v>18396143.263278905</c:v>
                </c:pt>
                <c:pt idx="38">
                  <c:v>17464653.067603219</c:v>
                </c:pt>
                <c:pt idx="39">
                  <c:v>16103149.412524818</c:v>
                </c:pt>
                <c:pt idx="40">
                  <c:v>19432613.145942483</c:v>
                </c:pt>
                <c:pt idx="41">
                  <c:v>27178390.62937149</c:v>
                </c:pt>
                <c:pt idx="42">
                  <c:v>34122931.733509071</c:v>
                </c:pt>
                <c:pt idx="43">
                  <c:v>28774043.990622215</c:v>
                </c:pt>
                <c:pt idx="44">
                  <c:v>21128025.774475966</c:v>
                </c:pt>
                <c:pt idx="45">
                  <c:v>17095388.657426659</c:v>
                </c:pt>
                <c:pt idx="46">
                  <c:v>18002983.69606806</c:v>
                </c:pt>
                <c:pt idx="47">
                  <c:v>20724891.456826214</c:v>
                </c:pt>
                <c:pt idx="48">
                  <c:v>21175039.85558828</c:v>
                </c:pt>
                <c:pt idx="49">
                  <c:v>18639689.622604229</c:v>
                </c:pt>
                <c:pt idx="50">
                  <c:v>19203289.13178562</c:v>
                </c:pt>
                <c:pt idx="51">
                  <c:v>17076984.319236379</c:v>
                </c:pt>
                <c:pt idx="52">
                  <c:v>18457139.291948661</c:v>
                </c:pt>
                <c:pt idx="53">
                  <c:v>23738163.011233285</c:v>
                </c:pt>
                <c:pt idx="54">
                  <c:v>28992560.436643723</c:v>
                </c:pt>
                <c:pt idx="55">
                  <c:v>26394506.736268964</c:v>
                </c:pt>
                <c:pt idx="56">
                  <c:v>22082821.70344121</c:v>
                </c:pt>
                <c:pt idx="57">
                  <c:v>17752714.709292348</c:v>
                </c:pt>
                <c:pt idx="58">
                  <c:v>18589259.601015333</c:v>
                </c:pt>
                <c:pt idx="59">
                  <c:v>22190029.702539392</c:v>
                </c:pt>
                <c:pt idx="60">
                  <c:v>22841547.431234065</c:v>
                </c:pt>
                <c:pt idx="61">
                  <c:v>19788010.013485562</c:v>
                </c:pt>
                <c:pt idx="62">
                  <c:v>19723646.263600551</c:v>
                </c:pt>
                <c:pt idx="63">
                  <c:v>16641111.8668398</c:v>
                </c:pt>
                <c:pt idx="64">
                  <c:v>17829710.566903893</c:v>
                </c:pt>
                <c:pt idx="65">
                  <c:v>23632986.106066652</c:v>
                </c:pt>
                <c:pt idx="66">
                  <c:v>26634565.643123828</c:v>
                </c:pt>
                <c:pt idx="67">
                  <c:v>26081906.981533043</c:v>
                </c:pt>
                <c:pt idx="68">
                  <c:v>20850948.143452179</c:v>
                </c:pt>
                <c:pt idx="69">
                  <c:v>16908660.489088871</c:v>
                </c:pt>
                <c:pt idx="70">
                  <c:v>18563212.718194302</c:v>
                </c:pt>
                <c:pt idx="71">
                  <c:v>20971941.927321982</c:v>
                </c:pt>
                <c:pt idx="72">
                  <c:v>21646168.134603012</c:v>
                </c:pt>
                <c:pt idx="73">
                  <c:v>19482862.077997562</c:v>
                </c:pt>
                <c:pt idx="74">
                  <c:v>18970038.636144333</c:v>
                </c:pt>
                <c:pt idx="75">
                  <c:v>16361265.905337434</c:v>
                </c:pt>
                <c:pt idx="76">
                  <c:v>18647936.595492445</c:v>
                </c:pt>
                <c:pt idx="77">
                  <c:v>22179310.772238649</c:v>
                </c:pt>
                <c:pt idx="78">
                  <c:v>27989233.864478592</c:v>
                </c:pt>
                <c:pt idx="79">
                  <c:v>28699787.081477717</c:v>
                </c:pt>
                <c:pt idx="80">
                  <c:v>22811633.841654569</c:v>
                </c:pt>
                <c:pt idx="81">
                  <c:v>17310829.765864406</c:v>
                </c:pt>
                <c:pt idx="82">
                  <c:v>17013143.543729268</c:v>
                </c:pt>
                <c:pt idx="83">
                  <c:v>19660216.432087231</c:v>
                </c:pt>
                <c:pt idx="84">
                  <c:v>20402754.005920634</c:v>
                </c:pt>
                <c:pt idx="85">
                  <c:v>18147995.995060921</c:v>
                </c:pt>
                <c:pt idx="86">
                  <c:v>17757118.963884208</c:v>
                </c:pt>
                <c:pt idx="87">
                  <c:v>16194098.280517746</c:v>
                </c:pt>
                <c:pt idx="88">
                  <c:v>18712521.998033397</c:v>
                </c:pt>
                <c:pt idx="89">
                  <c:v>25342938.0505188</c:v>
                </c:pt>
                <c:pt idx="90">
                  <c:v>32676576.086327001</c:v>
                </c:pt>
                <c:pt idx="91">
                  <c:v>32627741.790165287</c:v>
                </c:pt>
                <c:pt idx="92">
                  <c:v>23815134.656093854</c:v>
                </c:pt>
                <c:pt idx="93">
                  <c:v>18077594.709831063</c:v>
                </c:pt>
                <c:pt idx="94">
                  <c:v>17000162.798257124</c:v>
                </c:pt>
                <c:pt idx="95">
                  <c:v>20475981.52558763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B-4872-B1D8-5FFAAA355A17}"/>
            </c:ext>
          </c:extLst>
        </c:ser>
        <c:ser>
          <c:idx val="1"/>
          <c:order val="1"/>
          <c:tx>
            <c:strRef>
              <c:f>'Res Predicted Monthly'!$R$1</c:f>
              <c:strCache>
                <c:ptCount val="1"/>
                <c:pt idx="0">
                  <c:v>Predicted kWh</c:v>
                </c:pt>
              </c:strCache>
            </c:strRef>
          </c:tx>
          <c:marker>
            <c:symbol val="none"/>
          </c:marker>
          <c:cat>
            <c:numRef>
              <c:f>'Res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'Res Predicted Monthly'!$R$2:$R$97</c:f>
              <c:numCache>
                <c:formatCode>_(* #,##0_);_(* \(#,##0\);_(* "-"??_);_(@_)</c:formatCode>
                <c:ptCount val="96"/>
                <c:pt idx="0">
                  <c:v>23448659.344879072</c:v>
                </c:pt>
                <c:pt idx="1">
                  <c:v>19202172.94773306</c:v>
                </c:pt>
                <c:pt idx="2">
                  <c:v>18936073.462551858</c:v>
                </c:pt>
                <c:pt idx="3">
                  <c:v>17668849.229395356</c:v>
                </c:pt>
                <c:pt idx="4">
                  <c:v>17496398.291781448</c:v>
                </c:pt>
                <c:pt idx="5">
                  <c:v>22740135.962315023</c:v>
                </c:pt>
                <c:pt idx="6">
                  <c:v>24713098.387590006</c:v>
                </c:pt>
                <c:pt idx="7">
                  <c:v>27042073.377686564</c:v>
                </c:pt>
                <c:pt idx="8">
                  <c:v>21073067.924978733</c:v>
                </c:pt>
                <c:pt idx="9">
                  <c:v>17742490.490957946</c:v>
                </c:pt>
                <c:pt idx="10">
                  <c:v>17435721.849585362</c:v>
                </c:pt>
                <c:pt idx="11">
                  <c:v>21929110.716517098</c:v>
                </c:pt>
                <c:pt idx="12">
                  <c:v>22211912.06728803</c:v>
                </c:pt>
                <c:pt idx="13">
                  <c:v>18936237.548448011</c:v>
                </c:pt>
                <c:pt idx="14">
                  <c:v>18305219.378576849</c:v>
                </c:pt>
                <c:pt idx="15">
                  <c:v>16599927.972732998</c:v>
                </c:pt>
                <c:pt idx="16">
                  <c:v>20627419.038473424</c:v>
                </c:pt>
                <c:pt idx="17">
                  <c:v>26479489.769093677</c:v>
                </c:pt>
                <c:pt idx="18">
                  <c:v>33364892.313548148</c:v>
                </c:pt>
                <c:pt idx="19">
                  <c:v>32315098.78267052</c:v>
                </c:pt>
                <c:pt idx="20">
                  <c:v>21367389.587917343</c:v>
                </c:pt>
                <c:pt idx="21">
                  <c:v>17143654.624904186</c:v>
                </c:pt>
                <c:pt idx="22">
                  <c:v>17570062.139702447</c:v>
                </c:pt>
                <c:pt idx="23">
                  <c:v>21956072.159432784</c:v>
                </c:pt>
                <c:pt idx="24">
                  <c:v>22349845.168401469</c:v>
                </c:pt>
                <c:pt idx="25">
                  <c:v>18935250.125489432</c:v>
                </c:pt>
                <c:pt idx="26">
                  <c:v>18977504.042714059</c:v>
                </c:pt>
                <c:pt idx="27">
                  <c:v>16546885.318505948</c:v>
                </c:pt>
                <c:pt idx="28">
                  <c:v>18773081.486662071</c:v>
                </c:pt>
                <c:pt idx="29">
                  <c:v>24638477.146657646</c:v>
                </c:pt>
                <c:pt idx="30">
                  <c:v>35014147.566492543</c:v>
                </c:pt>
                <c:pt idx="31">
                  <c:v>28523926.79171665</c:v>
                </c:pt>
                <c:pt idx="32">
                  <c:v>21201883.656263456</c:v>
                </c:pt>
                <c:pt idx="33">
                  <c:v>17131686.632501796</c:v>
                </c:pt>
                <c:pt idx="34">
                  <c:v>16934500.02377167</c:v>
                </c:pt>
                <c:pt idx="35">
                  <c:v>20934673.317764997</c:v>
                </c:pt>
                <c:pt idx="36">
                  <c:v>21223888.662971564</c:v>
                </c:pt>
                <c:pt idx="37">
                  <c:v>19040401.410322744</c:v>
                </c:pt>
                <c:pt idx="38">
                  <c:v>17556233.849329934</c:v>
                </c:pt>
                <c:pt idx="39">
                  <c:v>16821776.037815552</c:v>
                </c:pt>
                <c:pt idx="40">
                  <c:v>20088581.078550119</c:v>
                </c:pt>
                <c:pt idx="41">
                  <c:v>26940541.736283265</c:v>
                </c:pt>
                <c:pt idx="42">
                  <c:v>33783733.532894894</c:v>
                </c:pt>
                <c:pt idx="43">
                  <c:v>27616942.304380476</c:v>
                </c:pt>
                <c:pt idx="44">
                  <c:v>20867586.872854523</c:v>
                </c:pt>
                <c:pt idx="45">
                  <c:v>17773430.186181176</c:v>
                </c:pt>
                <c:pt idx="46">
                  <c:v>17832100.935188949</c:v>
                </c:pt>
                <c:pt idx="47">
                  <c:v>20902334.193307854</c:v>
                </c:pt>
                <c:pt idx="48">
                  <c:v>21331202.696068332</c:v>
                </c:pt>
                <c:pt idx="49">
                  <c:v>18615897.490067862</c:v>
                </c:pt>
                <c:pt idx="50">
                  <c:v>18686331.879347395</c:v>
                </c:pt>
                <c:pt idx="51">
                  <c:v>16721100.118387373</c:v>
                </c:pt>
                <c:pt idx="52">
                  <c:v>20234510.644562632</c:v>
                </c:pt>
                <c:pt idx="53">
                  <c:v>23993069.942521941</c:v>
                </c:pt>
                <c:pt idx="54">
                  <c:v>29619577.188423693</c:v>
                </c:pt>
                <c:pt idx="55">
                  <c:v>26830777.549268045</c:v>
                </c:pt>
                <c:pt idx="56">
                  <c:v>21414657.73205559</c:v>
                </c:pt>
                <c:pt idx="57">
                  <c:v>18152307.479123365</c:v>
                </c:pt>
                <c:pt idx="58">
                  <c:v>17651703.733204301</c:v>
                </c:pt>
                <c:pt idx="59">
                  <c:v>21738782.867042378</c:v>
                </c:pt>
                <c:pt idx="60">
                  <c:v>22684805.231935099</c:v>
                </c:pt>
                <c:pt idx="61">
                  <c:v>19306130.667249367</c:v>
                </c:pt>
                <c:pt idx="62">
                  <c:v>19196306.840930622</c:v>
                </c:pt>
                <c:pt idx="63">
                  <c:v>16075255.323301965</c:v>
                </c:pt>
                <c:pt idx="64">
                  <c:v>18314915.107553862</c:v>
                </c:pt>
                <c:pt idx="65">
                  <c:v>24688659.210547157</c:v>
                </c:pt>
                <c:pt idx="66">
                  <c:v>25000900.665629253</c:v>
                </c:pt>
                <c:pt idx="67">
                  <c:v>26170342.675726898</c:v>
                </c:pt>
                <c:pt idx="68">
                  <c:v>20393479.82008218</c:v>
                </c:pt>
                <c:pt idx="69">
                  <c:v>17038089.258375585</c:v>
                </c:pt>
                <c:pt idx="70">
                  <c:v>17685384.949018002</c:v>
                </c:pt>
                <c:pt idx="71">
                  <c:v>20966759.63840564</c:v>
                </c:pt>
                <c:pt idx="72">
                  <c:v>22191747.361737259</c:v>
                </c:pt>
                <c:pt idx="73">
                  <c:v>19885051.22956419</c:v>
                </c:pt>
                <c:pt idx="74">
                  <c:v>18653269.479585454</c:v>
                </c:pt>
                <c:pt idx="75">
                  <c:v>16198895.168580335</c:v>
                </c:pt>
                <c:pt idx="76">
                  <c:v>20330593.104016013</c:v>
                </c:pt>
                <c:pt idx="77">
                  <c:v>23064895.411386639</c:v>
                </c:pt>
                <c:pt idx="78">
                  <c:v>28172287.488307498</c:v>
                </c:pt>
                <c:pt idx="79">
                  <c:v>26930840.661599163</c:v>
                </c:pt>
                <c:pt idx="80">
                  <c:v>23852858.92931566</c:v>
                </c:pt>
                <c:pt idx="81">
                  <c:v>16351551.305175643</c:v>
                </c:pt>
                <c:pt idx="82">
                  <c:v>16199236.789897991</c:v>
                </c:pt>
                <c:pt idx="83">
                  <c:v>19546742.986404978</c:v>
                </c:pt>
                <c:pt idx="84">
                  <c:v>20976639.032606307</c:v>
                </c:pt>
                <c:pt idx="85">
                  <c:v>18666655.841874935</c:v>
                </c:pt>
                <c:pt idx="86">
                  <c:v>17431522.002440255</c:v>
                </c:pt>
                <c:pt idx="87">
                  <c:v>16515422.153620776</c:v>
                </c:pt>
                <c:pt idx="88">
                  <c:v>19387549.318239346</c:v>
                </c:pt>
                <c:pt idx="89">
                  <c:v>25514687.550432585</c:v>
                </c:pt>
                <c:pt idx="90">
                  <c:v>32348752.33298796</c:v>
                </c:pt>
                <c:pt idx="91">
                  <c:v>32847952.776548371</c:v>
                </c:pt>
                <c:pt idx="92">
                  <c:v>23188985.652991001</c:v>
                </c:pt>
                <c:pt idx="93">
                  <c:v>18320247.739921406</c:v>
                </c:pt>
                <c:pt idx="94">
                  <c:v>16618468.948017415</c:v>
                </c:pt>
                <c:pt idx="95">
                  <c:v>20998966.766761769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B-4872-B1D8-5FFAAA35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67720"/>
        <c:axId val="360968112"/>
      </c:lineChart>
      <c:dateAx>
        <c:axId val="3609677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60968112"/>
        <c:crosses val="autoZero"/>
        <c:auto val="1"/>
        <c:lblOffset val="100"/>
        <c:baseTimeUnit val="months"/>
      </c:dateAx>
      <c:valAx>
        <c:axId val="360968112"/>
        <c:scaling>
          <c:orientation val="minMax"/>
          <c:min val="15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60967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Summary'!$E$5:$E$12</c:f>
              <c:numCache>
                <c:formatCode>#,##0</c:formatCode>
                <c:ptCount val="8"/>
                <c:pt idx="0">
                  <c:v>249248744.52630949</c:v>
                </c:pt>
                <c:pt idx="1">
                  <c:v>267217596.28228575</c:v>
                </c:pt>
                <c:pt idx="2">
                  <c:v>260939811.58200753</c:v>
                </c:pt>
                <c:pt idx="3">
                  <c:v>259249764.01228067</c:v>
                </c:pt>
                <c:pt idx="4">
                  <c:v>254292198.12159741</c:v>
                </c:pt>
                <c:pt idx="5">
                  <c:v>250468248.15084472</c:v>
                </c:pt>
                <c:pt idx="6">
                  <c:v>250772426.6511052</c:v>
                </c:pt>
                <c:pt idx="7">
                  <c:v>261230618.86019763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1-4BA3-8D0D-0DEB34B1AC9E}"/>
            </c:ext>
          </c:extLst>
        </c:ser>
        <c:ser>
          <c:idx val="3"/>
          <c:order val="1"/>
          <c:tx>
            <c:strRef>
              <c:f>'Normalized Annual Summary'!$F$3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Summary'!$F$5:$F$14</c:f>
              <c:numCache>
                <c:formatCode>#,##0</c:formatCode>
                <c:ptCount val="10"/>
                <c:pt idx="0">
                  <c:v>261706940.93618798</c:v>
                </c:pt>
                <c:pt idx="1">
                  <c:v>259318713.75127068</c:v>
                </c:pt>
                <c:pt idx="2">
                  <c:v>256348290.96641505</c:v>
                </c:pt>
                <c:pt idx="3">
                  <c:v>258425321.88826746</c:v>
                </c:pt>
                <c:pt idx="4">
                  <c:v>255706079.50850174</c:v>
                </c:pt>
                <c:pt idx="5">
                  <c:v>253278603.18201557</c:v>
                </c:pt>
                <c:pt idx="6">
                  <c:v>252990205.07103294</c:v>
                </c:pt>
                <c:pt idx="7">
                  <c:v>255008362.280532</c:v>
                </c:pt>
                <c:pt idx="8">
                  <c:v>252951789.32396793</c:v>
                </c:pt>
                <c:pt idx="9">
                  <c:v>251127941.19626471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1-4BA3-8D0D-0DEB34B1AC9E}"/>
            </c:ext>
          </c:extLst>
        </c:ser>
        <c:ser>
          <c:idx val="1"/>
          <c:order val="2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Summary'!$C$5:$C$12</c:f>
              <c:numCache>
                <c:formatCode>#,##0</c:formatCode>
                <c:ptCount val="8"/>
                <c:pt idx="0">
                  <c:v>248399886.49214149</c:v>
                </c:pt>
                <c:pt idx="1">
                  <c:v>265216568.13992596</c:v>
                </c:pt>
                <c:pt idx="2">
                  <c:v>258409725.96275184</c:v>
                </c:pt>
                <c:pt idx="3">
                  <c:v>256003979.435274</c:v>
                </c:pt>
                <c:pt idx="4">
                  <c:v>250406104.76660007</c:v>
                </c:pt>
                <c:pt idx="5">
                  <c:v>245551952.96402693</c:v>
                </c:pt>
                <c:pt idx="6">
                  <c:v>244757239.4788945</c:v>
                </c:pt>
                <c:pt idx="7">
                  <c:v>255390421.5791553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1-4BA3-8D0D-0DEB34B1AC9E}"/>
            </c:ext>
          </c:extLst>
        </c:ser>
        <c:ser>
          <c:idx val="2"/>
          <c:order val="3"/>
          <c:tx>
            <c:strRef>
              <c:f>'Normalized Annual Summary'!$H$3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Summary'!$H$5:$H$14</c:f>
              <c:numCache>
                <c:formatCode>#,##0</c:formatCode>
                <c:ptCount val="10"/>
                <c:pt idx="0">
                  <c:v>260858082.90202001</c:v>
                </c:pt>
                <c:pt idx="1">
                  <c:v>257317685.60891092</c:v>
                </c:pt>
                <c:pt idx="2">
                  <c:v>253818205.34715936</c:v>
                </c:pt>
                <c:pt idx="3">
                  <c:v>255179537.31126079</c:v>
                </c:pt>
                <c:pt idx="4">
                  <c:v>251819986.15350437</c:v>
                </c:pt>
                <c:pt idx="5">
                  <c:v>248362307.9951978</c:v>
                </c:pt>
                <c:pt idx="6">
                  <c:v>246975017.89882228</c:v>
                </c:pt>
                <c:pt idx="7">
                  <c:v>249168164.99948969</c:v>
                </c:pt>
                <c:pt idx="8">
                  <c:v>247700344.00960773</c:v>
                </c:pt>
                <c:pt idx="9">
                  <c:v>246544005.67413092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1-4BA3-8D0D-0DEB34B1A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00768"/>
        <c:axId val="208402304"/>
      </c:lineChart>
      <c:catAx>
        <c:axId val="2084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02304"/>
        <c:crosses val="autoZero"/>
        <c:auto val="1"/>
        <c:lblAlgn val="ctr"/>
        <c:lblOffset val="100"/>
        <c:noMultiLvlLbl val="0"/>
      </c:catAx>
      <c:valAx>
        <c:axId val="208402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840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Summary'!$M$3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Summary'!$M$5:$M$12</c:f>
              <c:numCache>
                <c:formatCode>#,##0</c:formatCode>
                <c:ptCount val="8"/>
                <c:pt idx="0">
                  <c:v>67635266.323931411</c:v>
                </c:pt>
                <c:pt idx="1">
                  <c:v>69463566.007213742</c:v>
                </c:pt>
                <c:pt idx="2">
                  <c:v>68580386.344080314</c:v>
                </c:pt>
                <c:pt idx="3">
                  <c:v>68501517.278197765</c:v>
                </c:pt>
                <c:pt idx="4">
                  <c:v>67565571.213131547</c:v>
                </c:pt>
                <c:pt idx="5">
                  <c:v>67585755.68702814</c:v>
                </c:pt>
                <c:pt idx="6">
                  <c:v>69539872.010038614</c:v>
                </c:pt>
                <c:pt idx="7">
                  <c:v>72600736.947909981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A-463F-935F-77422A15206A}"/>
            </c:ext>
          </c:extLst>
        </c:ser>
        <c:ser>
          <c:idx val="3"/>
          <c:order val="1"/>
          <c:tx>
            <c:strRef>
              <c:f>'Normalized Annual Summary'!$N$3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Summary'!$N$5:$N$14</c:f>
              <c:numCache>
                <c:formatCode>#,##0</c:formatCode>
                <c:ptCount val="10"/>
                <c:pt idx="0">
                  <c:v>68012729.007593036</c:v>
                </c:pt>
                <c:pt idx="1">
                  <c:v>68113112.55625613</c:v>
                </c:pt>
                <c:pt idx="2">
                  <c:v>68111971.834112242</c:v>
                </c:pt>
                <c:pt idx="3">
                  <c:v>68996131.928118736</c:v>
                </c:pt>
                <c:pt idx="4">
                  <c:v>69033675.326382577</c:v>
                </c:pt>
                <c:pt idx="5">
                  <c:v>69127214.542182297</c:v>
                </c:pt>
                <c:pt idx="6">
                  <c:v>69593769.899036944</c:v>
                </c:pt>
                <c:pt idx="7">
                  <c:v>70467663.493748352</c:v>
                </c:pt>
                <c:pt idx="8">
                  <c:v>70620764.326633438</c:v>
                </c:pt>
                <c:pt idx="9">
                  <c:v>70819565.266717017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A-463F-935F-77422A15206A}"/>
            </c:ext>
          </c:extLst>
        </c:ser>
        <c:ser>
          <c:idx val="1"/>
          <c:order val="2"/>
          <c:tx>
            <c:strRef>
              <c:f>'Normalized Annual Summary'!$K$3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Summary'!$K$5:$K$12</c:f>
              <c:numCache>
                <c:formatCode>#,##0</c:formatCode>
                <c:ptCount val="8"/>
                <c:pt idx="0">
                  <c:v>67411402.249553397</c:v>
                </c:pt>
                <c:pt idx="1">
                  <c:v>68742429.66422531</c:v>
                </c:pt>
                <c:pt idx="2">
                  <c:v>67558142.667946845</c:v>
                </c:pt>
                <c:pt idx="3">
                  <c:v>67056277.620808907</c:v>
                </c:pt>
                <c:pt idx="4">
                  <c:v>65663989.680238001</c:v>
                </c:pt>
                <c:pt idx="5">
                  <c:v>65242010.853368044</c:v>
                </c:pt>
                <c:pt idx="6">
                  <c:v>65329579.275105581</c:v>
                </c:pt>
                <c:pt idx="7">
                  <c:v>66808992.616394639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A-463F-935F-77422A15206A}"/>
            </c:ext>
          </c:extLst>
        </c:ser>
        <c:ser>
          <c:idx val="2"/>
          <c:order val="3"/>
          <c:tx>
            <c:strRef>
              <c:f>'Normalized Annual Summary'!$P$3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Summary'!$P$5:$P$14</c:f>
              <c:numCache>
                <c:formatCode>#,##0</c:formatCode>
                <c:ptCount val="10"/>
                <c:pt idx="0">
                  <c:v>67788864.933215037</c:v>
                </c:pt>
                <c:pt idx="1">
                  <c:v>67391976.213267699</c:v>
                </c:pt>
                <c:pt idx="2">
                  <c:v>67089728.157978781</c:v>
                </c:pt>
                <c:pt idx="3">
                  <c:v>67550892.27072987</c:v>
                </c:pt>
                <c:pt idx="4">
                  <c:v>67132093.793489039</c:v>
                </c:pt>
                <c:pt idx="5">
                  <c:v>66783469.708522208</c:v>
                </c:pt>
                <c:pt idx="6">
                  <c:v>65383477.16410391</c:v>
                </c:pt>
                <c:pt idx="7">
                  <c:v>64675919.16223301</c:v>
                </c:pt>
                <c:pt idx="8">
                  <c:v>65087892.088935807</c:v>
                </c:pt>
                <c:pt idx="9">
                  <c:v>65487649.144057497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6A-463F-935F-77422A152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00768"/>
        <c:axId val="208402304"/>
      </c:lineChart>
      <c:catAx>
        <c:axId val="2084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02304"/>
        <c:crosses val="autoZero"/>
        <c:auto val="1"/>
        <c:lblAlgn val="ctr"/>
        <c:lblOffset val="100"/>
        <c:noMultiLvlLbl val="0"/>
      </c:catAx>
      <c:valAx>
        <c:axId val="208402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840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Summary'!$U$3</c:f>
              <c:strCache>
                <c:ptCount val="1"/>
                <c:pt idx="0">
                  <c:v>Actual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Summary'!$U$5:$U$12</c:f>
              <c:numCache>
                <c:formatCode>#,##0</c:formatCode>
                <c:ptCount val="8"/>
                <c:pt idx="0">
                  <c:v>165450249.20683464</c:v>
                </c:pt>
                <c:pt idx="1">
                  <c:v>168399143.6217176</c:v>
                </c:pt>
                <c:pt idx="2">
                  <c:v>167789870.59880084</c:v>
                </c:pt>
                <c:pt idx="3">
                  <c:v>163904122.53575242</c:v>
                </c:pt>
                <c:pt idx="4">
                  <c:v>169072483.18651012</c:v>
                </c:pt>
                <c:pt idx="5">
                  <c:v>171423509.44268268</c:v>
                </c:pt>
                <c:pt idx="6">
                  <c:v>182018508.66330293</c:v>
                </c:pt>
                <c:pt idx="7">
                  <c:v>201218669.4186208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0-481D-BDF0-F5CEAFB17200}"/>
            </c:ext>
          </c:extLst>
        </c:ser>
        <c:ser>
          <c:idx val="3"/>
          <c:order val="1"/>
          <c:tx>
            <c:strRef>
              <c:f>'Normalized Annual Summary'!$V$3</c:f>
              <c:strCache>
                <c:ptCount val="1"/>
                <c:pt idx="0">
                  <c:v>Normalized no CDM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Summary'!$V$5:$V$14</c:f>
              <c:numCache>
                <c:formatCode>#,##0</c:formatCode>
                <c:ptCount val="10"/>
                <c:pt idx="0">
                  <c:v>160709212.69289413</c:v>
                </c:pt>
                <c:pt idx="1">
                  <c:v>158990974.85020363</c:v>
                </c:pt>
                <c:pt idx="2">
                  <c:v>165598375.52628261</c:v>
                </c:pt>
                <c:pt idx="3">
                  <c:v>164384757.19867516</c:v>
                </c:pt>
                <c:pt idx="4">
                  <c:v>167509941.10098344</c:v>
                </c:pt>
                <c:pt idx="5">
                  <c:v>172076347.43292207</c:v>
                </c:pt>
                <c:pt idx="6">
                  <c:v>177660533.09072518</c:v>
                </c:pt>
                <c:pt idx="7">
                  <c:v>189497464.17904606</c:v>
                </c:pt>
                <c:pt idx="8">
                  <c:v>193414587.46582717</c:v>
                </c:pt>
                <c:pt idx="9">
                  <c:v>196568931.25181803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0-481D-BDF0-F5CEAFB17200}"/>
            </c:ext>
          </c:extLst>
        </c:ser>
        <c:ser>
          <c:idx val="1"/>
          <c:order val="2"/>
          <c:tx>
            <c:strRef>
              <c:f>'Normalized Annual Summary'!$S$3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Summary'!$S$5:$S$12</c:f>
              <c:numCache>
                <c:formatCode>#,##0</c:formatCode>
                <c:ptCount val="8"/>
                <c:pt idx="0">
                  <c:v>164879031.73586524</c:v>
                </c:pt>
                <c:pt idx="1">
                  <c:v>167052602.51730582</c:v>
                </c:pt>
                <c:pt idx="2">
                  <c:v>165850871.69855252</c:v>
                </c:pt>
                <c:pt idx="3">
                  <c:v>160883811.68478131</c:v>
                </c:pt>
                <c:pt idx="4">
                  <c:v>164887609.10912561</c:v>
                </c:pt>
                <c:pt idx="5">
                  <c:v>166100613.01807362</c:v>
                </c:pt>
                <c:pt idx="6">
                  <c:v>171874065.5064584</c:v>
                </c:pt>
                <c:pt idx="7">
                  <c:v>187031605.7052716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0-481D-BDF0-F5CEAFB17200}"/>
            </c:ext>
          </c:extLst>
        </c:ser>
        <c:ser>
          <c:idx val="2"/>
          <c:order val="3"/>
          <c:tx>
            <c:strRef>
              <c:f>'Normalized Annual Summary'!$X$3</c:f>
              <c:strCache>
                <c:ptCount val="1"/>
                <c:pt idx="0">
                  <c:v>Normalized</c:v>
                </c:pt>
              </c:strCache>
            </c:strRef>
          </c:tx>
          <c:marker>
            <c:symbol val="none"/>
          </c:marker>
          <c:cat>
            <c:numRef>
              <c:f>'Normalized Annual Summary'!$B$5:$B$14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'Normalized Annual Summary'!$X$5:$X$14</c:f>
              <c:numCache>
                <c:formatCode>#,##0</c:formatCode>
                <c:ptCount val="10"/>
                <c:pt idx="0">
                  <c:v>160137995.22192472</c:v>
                </c:pt>
                <c:pt idx="1">
                  <c:v>157644433.74579185</c:v>
                </c:pt>
                <c:pt idx="2">
                  <c:v>163659376.62603429</c:v>
                </c:pt>
                <c:pt idx="3">
                  <c:v>161364446.34770405</c:v>
                </c:pt>
                <c:pt idx="4">
                  <c:v>163325067.02359894</c:v>
                </c:pt>
                <c:pt idx="5">
                  <c:v>166753451.008313</c:v>
                </c:pt>
                <c:pt idx="6">
                  <c:v>167516089.93388066</c:v>
                </c:pt>
                <c:pt idx="7">
                  <c:v>175310400.46569687</c:v>
                </c:pt>
                <c:pt idx="8">
                  <c:v>179829957.73460636</c:v>
                </c:pt>
                <c:pt idx="9">
                  <c:v>183374335.01490918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00-481D-BDF0-F5CEAFB17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00768"/>
        <c:axId val="208402304"/>
      </c:lineChart>
      <c:catAx>
        <c:axId val="2084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02304"/>
        <c:crosses val="autoZero"/>
        <c:auto val="1"/>
        <c:lblAlgn val="ctr"/>
        <c:lblOffset val="100"/>
        <c:noMultiLvlLbl val="0"/>
      </c:catAx>
      <c:valAx>
        <c:axId val="208402304"/>
        <c:scaling>
          <c:orientation val="minMax"/>
          <c:min val="15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840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 Gross_GSlt50 </c:v>
                </c:pt>
              </c:strCache>
            </c:strRef>
          </c:tx>
          <c:marker>
            <c:symbol val="none"/>
          </c:marker>
          <c:cat>
            <c:numRef>
              <c:f>'GS &lt; 50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&lt; 50 Predicted Monthly'!$C$2:$C$97</c:f>
              <c:numCache>
                <c:formatCode>_(* #,##0_);_(* \(#,##0\);_(* "-"??_);_(@_)</c:formatCode>
                <c:ptCount val="96"/>
                <c:pt idx="0">
                  <c:v>6180599.9418864548</c:v>
                </c:pt>
                <c:pt idx="1">
                  <c:v>5531247.4825260816</c:v>
                </c:pt>
                <c:pt idx="2">
                  <c:v>5678036.4363599839</c:v>
                </c:pt>
                <c:pt idx="3">
                  <c:v>5165756.2748493869</c:v>
                </c:pt>
                <c:pt idx="4">
                  <c:v>5358760.0193285467</c:v>
                </c:pt>
                <c:pt idx="5">
                  <c:v>5663326.2574443072</c:v>
                </c:pt>
                <c:pt idx="6">
                  <c:v>6200335.1519909399</c:v>
                </c:pt>
                <c:pt idx="7">
                  <c:v>6260864.1239666771</c:v>
                </c:pt>
                <c:pt idx="8">
                  <c:v>5590921.3744961126</c:v>
                </c:pt>
                <c:pt idx="9">
                  <c:v>5185699.0044068033</c:v>
                </c:pt>
                <c:pt idx="10">
                  <c:v>5131204.807266444</c:v>
                </c:pt>
                <c:pt idx="11">
                  <c:v>5688515.449409673</c:v>
                </c:pt>
                <c:pt idx="12">
                  <c:v>5896501.9011723185</c:v>
                </c:pt>
                <c:pt idx="13">
                  <c:v>5282460.4406652441</c:v>
                </c:pt>
                <c:pt idx="14">
                  <c:v>5367265.7782861628</c:v>
                </c:pt>
                <c:pt idx="15">
                  <c:v>5048654.5806024112</c:v>
                </c:pt>
                <c:pt idx="16">
                  <c:v>5629447.9636161011</c:v>
                </c:pt>
                <c:pt idx="17">
                  <c:v>6292517.6784429774</c:v>
                </c:pt>
                <c:pt idx="18">
                  <c:v>7051776.6779211387</c:v>
                </c:pt>
                <c:pt idx="19">
                  <c:v>6891570.3434989201</c:v>
                </c:pt>
                <c:pt idx="20">
                  <c:v>5651782.3575958619</c:v>
                </c:pt>
                <c:pt idx="21">
                  <c:v>5255156.9166128142</c:v>
                </c:pt>
                <c:pt idx="22">
                  <c:v>5251525.9795399467</c:v>
                </c:pt>
                <c:pt idx="23">
                  <c:v>5844905.3892598506</c:v>
                </c:pt>
                <c:pt idx="24">
                  <c:v>6026588.3635599045</c:v>
                </c:pt>
                <c:pt idx="25">
                  <c:v>5362970.5444677435</c:v>
                </c:pt>
                <c:pt idx="26">
                  <c:v>5630900.4388400922</c:v>
                </c:pt>
                <c:pt idx="27">
                  <c:v>5175082.1278635412</c:v>
                </c:pt>
                <c:pt idx="28">
                  <c:v>5463133.8059784928</c:v>
                </c:pt>
                <c:pt idx="29">
                  <c:v>5976127.300790932</c:v>
                </c:pt>
                <c:pt idx="30">
                  <c:v>6877540.0657793824</c:v>
                </c:pt>
                <c:pt idx="31">
                  <c:v>6603628.8820340019</c:v>
                </c:pt>
                <c:pt idx="32">
                  <c:v>5618306.5975156222</c:v>
                </c:pt>
                <c:pt idx="33">
                  <c:v>5113557.1313079717</c:v>
                </c:pt>
                <c:pt idx="34">
                  <c:v>5112407.7414213624</c:v>
                </c:pt>
                <c:pt idx="35">
                  <c:v>5620143.3445212664</c:v>
                </c:pt>
                <c:pt idx="36">
                  <c:v>5678473.7393108159</c:v>
                </c:pt>
                <c:pt idx="37">
                  <c:v>5379271.6074002506</c:v>
                </c:pt>
                <c:pt idx="38">
                  <c:v>5431638.8336107414</c:v>
                </c:pt>
                <c:pt idx="39">
                  <c:v>4996283.2985174851</c:v>
                </c:pt>
                <c:pt idx="40">
                  <c:v>5646499.9793941975</c:v>
                </c:pt>
                <c:pt idx="41">
                  <c:v>6382835.9578270745</c:v>
                </c:pt>
                <c:pt idx="42">
                  <c:v>7118049.1198525634</c:v>
                </c:pt>
                <c:pt idx="43">
                  <c:v>6559336.0869305413</c:v>
                </c:pt>
                <c:pt idx="44">
                  <c:v>5578962.0305964015</c:v>
                </c:pt>
                <c:pt idx="45">
                  <c:v>5153415.156241239</c:v>
                </c:pt>
                <c:pt idx="46">
                  <c:v>5140839.870752953</c:v>
                </c:pt>
                <c:pt idx="47">
                  <c:v>5435911.5977635086</c:v>
                </c:pt>
                <c:pt idx="48">
                  <c:v>5731939.4442237746</c:v>
                </c:pt>
                <c:pt idx="49">
                  <c:v>5288814.8620550148</c:v>
                </c:pt>
                <c:pt idx="50">
                  <c:v>5578008.3017610069</c:v>
                </c:pt>
                <c:pt idx="51">
                  <c:v>5151120.774575416</c:v>
                </c:pt>
                <c:pt idx="52">
                  <c:v>5423795.7144559138</c:v>
                </c:pt>
                <c:pt idx="53">
                  <c:v>5819129.7356781708</c:v>
                </c:pt>
                <c:pt idx="54">
                  <c:v>6365784.4325457644</c:v>
                </c:pt>
                <c:pt idx="55">
                  <c:v>6212999.889886952</c:v>
                </c:pt>
                <c:pt idx="56">
                  <c:v>5635233.8218801301</c:v>
                </c:pt>
                <c:pt idx="57">
                  <c:v>5244110.3430482503</c:v>
                </c:pt>
                <c:pt idx="58">
                  <c:v>5278519.5614520842</c:v>
                </c:pt>
                <c:pt idx="59">
                  <c:v>5836114.3315690635</c:v>
                </c:pt>
                <c:pt idx="60">
                  <c:v>6160076.9121971037</c:v>
                </c:pt>
                <c:pt idx="61">
                  <c:v>5583527.4099679338</c:v>
                </c:pt>
                <c:pt idx="62">
                  <c:v>5765002.1393458238</c:v>
                </c:pt>
                <c:pt idx="63">
                  <c:v>5047184.9055247335</c:v>
                </c:pt>
                <c:pt idx="64">
                  <c:v>5341469.543139304</c:v>
                </c:pt>
                <c:pt idx="65">
                  <c:v>5873777.4547528643</c:v>
                </c:pt>
                <c:pt idx="66">
                  <c:v>6167201.5336482739</c:v>
                </c:pt>
                <c:pt idx="67">
                  <c:v>6189372.2861325433</c:v>
                </c:pt>
                <c:pt idx="68">
                  <c:v>5434281.2694790848</c:v>
                </c:pt>
                <c:pt idx="69">
                  <c:v>5094540.9732233444</c:v>
                </c:pt>
                <c:pt idx="70">
                  <c:v>5321955.4914958244</c:v>
                </c:pt>
                <c:pt idx="71">
                  <c:v>5607365.7681212937</c:v>
                </c:pt>
                <c:pt idx="72">
                  <c:v>6138654.8951223567</c:v>
                </c:pt>
                <c:pt idx="73">
                  <c:v>5764948.0921516865</c:v>
                </c:pt>
                <c:pt idx="74">
                  <c:v>5877289.8461922556</c:v>
                </c:pt>
                <c:pt idx="75">
                  <c:v>5256653.9320181254</c:v>
                </c:pt>
                <c:pt idx="76">
                  <c:v>5523884.798593577</c:v>
                </c:pt>
                <c:pt idx="77">
                  <c:v>5811463.5627860669</c:v>
                </c:pt>
                <c:pt idx="78">
                  <c:v>6564410.1322790775</c:v>
                </c:pt>
                <c:pt idx="79">
                  <c:v>6616646.7096852958</c:v>
                </c:pt>
                <c:pt idx="80">
                  <c:v>5977507.3728412967</c:v>
                </c:pt>
                <c:pt idx="81">
                  <c:v>5373712.4503277764</c:v>
                </c:pt>
                <c:pt idx="82">
                  <c:v>5197735.0653956272</c:v>
                </c:pt>
                <c:pt idx="83">
                  <c:v>5436965.1526454762</c:v>
                </c:pt>
                <c:pt idx="84">
                  <c:v>5983744.549699422</c:v>
                </c:pt>
                <c:pt idx="85">
                  <c:v>5658701.1016067518</c:v>
                </c:pt>
                <c:pt idx="86">
                  <c:v>5678484.0661395518</c:v>
                </c:pt>
                <c:pt idx="87">
                  <c:v>5378274.8715852015</c:v>
                </c:pt>
                <c:pt idx="88">
                  <c:v>5803384.3939025514</c:v>
                </c:pt>
                <c:pt idx="89">
                  <c:v>6352911.127959162</c:v>
                </c:pt>
                <c:pt idx="90">
                  <c:v>7269290.879378682</c:v>
                </c:pt>
                <c:pt idx="91">
                  <c:v>7280187.7522718124</c:v>
                </c:pt>
                <c:pt idx="92">
                  <c:v>6265768.1113566319</c:v>
                </c:pt>
                <c:pt idx="93">
                  <c:v>5606718.2255126815</c:v>
                </c:pt>
                <c:pt idx="94">
                  <c:v>5380493.1643636916</c:v>
                </c:pt>
                <c:pt idx="95">
                  <c:v>5942778.7041338421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B-47C6-BC15-9D686F086ED1}"/>
            </c:ext>
          </c:extLst>
        </c:ser>
        <c:ser>
          <c:idx val="1"/>
          <c:order val="1"/>
          <c:tx>
            <c:strRef>
              <c:f>'GS &lt; 50 Predicted Monthly'!$T$1</c:f>
              <c:strCache>
                <c:ptCount val="1"/>
                <c:pt idx="0">
                  <c:v>Predicted kWh</c:v>
                </c:pt>
              </c:strCache>
            </c:strRef>
          </c:tx>
          <c:marker>
            <c:symbol val="none"/>
          </c:marker>
          <c:cat>
            <c:numRef>
              <c:f>'GS &lt; 50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&lt; 50 Predicted Monthly'!$T$2:$T$97</c:f>
              <c:numCache>
                <c:formatCode>_(* #,##0_);_(* \(#,##0\);_(* "-"??_);_(@_)</c:formatCode>
                <c:ptCount val="96"/>
                <c:pt idx="0">
                  <c:v>6067622.2751917895</c:v>
                </c:pt>
                <c:pt idx="1">
                  <c:v>5337512.7843400463</c:v>
                </c:pt>
                <c:pt idx="2">
                  <c:v>5558265.736284242</c:v>
                </c:pt>
                <c:pt idx="3">
                  <c:v>5132033.8195956657</c:v>
                </c:pt>
                <c:pt idx="4">
                  <c:v>5117572.1496625012</c:v>
                </c:pt>
                <c:pt idx="5">
                  <c:v>5694753.5452014962</c:v>
                </c:pt>
                <c:pt idx="6">
                  <c:v>5962372.0233122986</c:v>
                </c:pt>
                <c:pt idx="7">
                  <c:v>6231843.6356222304</c:v>
                </c:pt>
                <c:pt idx="8">
                  <c:v>5518680.0005558766</c:v>
                </c:pt>
                <c:pt idx="9">
                  <c:v>5218445.3438429926</c:v>
                </c:pt>
                <c:pt idx="10">
                  <c:v>5156186.8632559609</c:v>
                </c:pt>
                <c:pt idx="11">
                  <c:v>5662315.4452967877</c:v>
                </c:pt>
                <c:pt idx="12">
                  <c:v>5905245.8091361718</c:v>
                </c:pt>
                <c:pt idx="13">
                  <c:v>5332533.3337611947</c:v>
                </c:pt>
                <c:pt idx="14">
                  <c:v>5497468.0172433807</c:v>
                </c:pt>
                <c:pt idx="15">
                  <c:v>5019993.1679595932</c:v>
                </c:pt>
                <c:pt idx="16">
                  <c:v>5509586.2820358183</c:v>
                </c:pt>
                <c:pt idx="17">
                  <c:v>6154186.5702392664</c:v>
                </c:pt>
                <c:pt idx="18">
                  <c:v>6980556.4509555642</c:v>
                </c:pt>
                <c:pt idx="19">
                  <c:v>6865051.437593108</c:v>
                </c:pt>
                <c:pt idx="20">
                  <c:v>5590888.9370644893</c:v>
                </c:pt>
                <c:pt idx="21">
                  <c:v>5158288.2517457195</c:v>
                </c:pt>
                <c:pt idx="22">
                  <c:v>5215796.9231053572</c:v>
                </c:pt>
                <c:pt idx="23">
                  <c:v>5703927.0727734379</c:v>
                </c:pt>
                <c:pt idx="24">
                  <c:v>5968465.7836075258</c:v>
                </c:pt>
                <c:pt idx="25">
                  <c:v>5372922.941716156</c:v>
                </c:pt>
                <c:pt idx="26">
                  <c:v>5646061.9434770821</c:v>
                </c:pt>
                <c:pt idx="27">
                  <c:v>5062707.9766128333</c:v>
                </c:pt>
                <c:pt idx="28">
                  <c:v>5321963.1088118646</c:v>
                </c:pt>
                <c:pt idx="29">
                  <c:v>5960031.5960161034</c:v>
                </c:pt>
                <c:pt idx="30">
                  <c:v>7191282.1500226865</c:v>
                </c:pt>
                <c:pt idx="31">
                  <c:v>6467120.1851443872</c:v>
                </c:pt>
                <c:pt idx="32">
                  <c:v>5601696.022073077</c:v>
                </c:pt>
                <c:pt idx="33">
                  <c:v>5191117.527203449</c:v>
                </c:pt>
                <c:pt idx="34">
                  <c:v>5155718.338098349</c:v>
                </c:pt>
                <c:pt idx="35">
                  <c:v>5584401.8679906521</c:v>
                </c:pt>
                <c:pt idx="36">
                  <c:v>5829138.445667712</c:v>
                </c:pt>
                <c:pt idx="37">
                  <c:v>5448242.3150378577</c:v>
                </c:pt>
                <c:pt idx="38">
                  <c:v>5446611.2432326758</c:v>
                </c:pt>
                <c:pt idx="39">
                  <c:v>5140249.944876506</c:v>
                </c:pt>
                <c:pt idx="40">
                  <c:v>5506944.1169521082</c:v>
                </c:pt>
                <c:pt idx="41">
                  <c:v>6272970.5850956794</c:v>
                </c:pt>
                <c:pt idx="42">
                  <c:v>7103962.8034394104</c:v>
                </c:pt>
                <c:pt idx="43">
                  <c:v>6418457.1548630306</c:v>
                </c:pt>
                <c:pt idx="44">
                  <c:v>5627962.0253647612</c:v>
                </c:pt>
                <c:pt idx="45">
                  <c:v>5331770.210362481</c:v>
                </c:pt>
                <c:pt idx="46">
                  <c:v>5344833.4650838003</c:v>
                </c:pt>
                <c:pt idx="47">
                  <c:v>5621949.3115907907</c:v>
                </c:pt>
                <c:pt idx="48">
                  <c:v>5887183.6822097674</c:v>
                </c:pt>
                <c:pt idx="49">
                  <c:v>5404188.451705643</c:v>
                </c:pt>
                <c:pt idx="50">
                  <c:v>5682309.4170988156</c:v>
                </c:pt>
                <c:pt idx="51">
                  <c:v>5179241.0174785564</c:v>
                </c:pt>
                <c:pt idx="52">
                  <c:v>5570505.6987529499</c:v>
                </c:pt>
                <c:pt idx="53">
                  <c:v>5985124.288399376</c:v>
                </c:pt>
                <c:pt idx="54">
                  <c:v>6676196.7627889365</c:v>
                </c:pt>
                <c:pt idx="55">
                  <c:v>6363947.2706898674</c:v>
                </c:pt>
                <c:pt idx="56">
                  <c:v>5704465.2463278957</c:v>
                </c:pt>
                <c:pt idx="57">
                  <c:v>5384282.0881707314</c:v>
                </c:pt>
                <c:pt idx="58">
                  <c:v>5354566.8993495815</c:v>
                </c:pt>
                <c:pt idx="59">
                  <c:v>5798279.2967021326</c:v>
                </c:pt>
                <c:pt idx="60">
                  <c:v>6148203.6906978674</c:v>
                </c:pt>
                <c:pt idx="61">
                  <c:v>5557994.8345703017</c:v>
                </c:pt>
                <c:pt idx="62">
                  <c:v>5805912.2277934924</c:v>
                </c:pt>
                <c:pt idx="63">
                  <c:v>5114192.2002386022</c:v>
                </c:pt>
                <c:pt idx="64">
                  <c:v>5376060.0246808454</c:v>
                </c:pt>
                <c:pt idx="65">
                  <c:v>6067354.229577193</c:v>
                </c:pt>
                <c:pt idx="66">
                  <c:v>6171497.7922996776</c:v>
                </c:pt>
                <c:pt idx="67">
                  <c:v>6309153.7132661808</c:v>
                </c:pt>
                <c:pt idx="68">
                  <c:v>5630198.3688837755</c:v>
                </c:pt>
                <c:pt idx="69">
                  <c:v>5299499.6615999313</c:v>
                </c:pt>
                <c:pt idx="70">
                  <c:v>5401854.4825080102</c:v>
                </c:pt>
                <c:pt idx="71">
                  <c:v>5716448.2066366505</c:v>
                </c:pt>
                <c:pt idx="72">
                  <c:v>6111134.8359192861</c:v>
                </c:pt>
                <c:pt idx="73">
                  <c:v>5693959.519843325</c:v>
                </c:pt>
                <c:pt idx="74">
                  <c:v>5762346.0361762829</c:v>
                </c:pt>
                <c:pt idx="75">
                  <c:v>5178464.8941835556</c:v>
                </c:pt>
                <c:pt idx="76">
                  <c:v>5656171.3342993427</c:v>
                </c:pt>
                <c:pt idx="77">
                  <c:v>5968063.1253587808</c:v>
                </c:pt>
                <c:pt idx="78">
                  <c:v>6602086.4004850816</c:v>
                </c:pt>
                <c:pt idx="79">
                  <c:v>6448826.0425027013</c:v>
                </c:pt>
                <c:pt idx="80">
                  <c:v>6033971.611165069</c:v>
                </c:pt>
                <c:pt idx="81">
                  <c:v>5230443.0283979969</c:v>
                </c:pt>
                <c:pt idx="82">
                  <c:v>5198716.2520123469</c:v>
                </c:pt>
                <c:pt idx="83">
                  <c:v>5523682.0994065069</c:v>
                </c:pt>
                <c:pt idx="84">
                  <c:v>5952599.6113520162</c:v>
                </c:pt>
                <c:pt idx="85">
                  <c:v>5553596.9298015879</c:v>
                </c:pt>
                <c:pt idx="86">
                  <c:v>5607651.2192296833</c:v>
                </c:pt>
                <c:pt idx="87">
                  <c:v>5271133.2672750978</c:v>
                </c:pt>
                <c:pt idx="88">
                  <c:v>5602671.5562886093</c:v>
                </c:pt>
                <c:pt idx="89">
                  <c:v>6280816.1264575925</c:v>
                </c:pt>
                <c:pt idx="90">
                  <c:v>7120282.9785417896</c:v>
                </c:pt>
                <c:pt idx="91">
                  <c:v>7186092.9402561476</c:v>
                </c:pt>
                <c:pt idx="92">
                  <c:v>6041930.1031365395</c:v>
                </c:pt>
                <c:pt idx="93">
                  <c:v>5533368.5797296278</c:v>
                </c:pt>
                <c:pt idx="94">
                  <c:v>5316600.3921431536</c:v>
                </c:pt>
                <c:pt idx="95">
                  <c:v>5801696.4370270381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B-47C6-BC15-9D686F08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65368"/>
        <c:axId val="360968504"/>
      </c:lineChart>
      <c:dateAx>
        <c:axId val="3609653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360968504"/>
        <c:crosses val="autoZero"/>
        <c:auto val="1"/>
        <c:lblOffset val="100"/>
        <c:baseTimeUnit val="months"/>
      </c:dateAx>
      <c:valAx>
        <c:axId val="360968504"/>
        <c:scaling>
          <c:orientation val="minMax"/>
          <c:min val="4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360965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Predicted Monthly'!$C$1</c:f>
              <c:strCache>
                <c:ptCount val="1"/>
                <c:pt idx="0">
                  <c:v> Gross_GSgt50 </c:v>
                </c:pt>
              </c:strCache>
            </c:strRef>
          </c:tx>
          <c:marker>
            <c:symbol val="none"/>
          </c:marker>
          <c:cat>
            <c:numRef>
              <c:f>'GS &gt; 50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&gt; 50 Predicted Monthly'!$C$2:$C$97</c:f>
              <c:numCache>
                <c:formatCode>_(* #,##0_);_(* \(#,##0\);_(* "-"??_);_(@_)</c:formatCode>
                <c:ptCount val="96"/>
                <c:pt idx="0">
                  <c:v>14097033.012462217</c:v>
                </c:pt>
                <c:pt idx="1">
                  <c:v>12607538.392457418</c:v>
                </c:pt>
                <c:pt idx="2">
                  <c:v>13429022.116557317</c:v>
                </c:pt>
                <c:pt idx="3">
                  <c:v>12281549.857111618</c:v>
                </c:pt>
                <c:pt idx="4">
                  <c:v>12599585.861056818</c:v>
                </c:pt>
                <c:pt idx="5">
                  <c:v>13567319.355545716</c:v>
                </c:pt>
                <c:pt idx="6">
                  <c:v>14350399.872788418</c:v>
                </c:pt>
                <c:pt idx="7">
                  <c:v>15846869.236809116</c:v>
                </c:pt>
                <c:pt idx="8">
                  <c:v>14340385.521492418</c:v>
                </c:pt>
                <c:pt idx="9">
                  <c:v>14535093.861762017</c:v>
                </c:pt>
                <c:pt idx="10">
                  <c:v>13933768.375684015</c:v>
                </c:pt>
                <c:pt idx="11">
                  <c:v>13861683.743107518</c:v>
                </c:pt>
                <c:pt idx="12">
                  <c:v>14179965.938707981</c:v>
                </c:pt>
                <c:pt idx="13">
                  <c:v>12772387.686685381</c:v>
                </c:pt>
                <c:pt idx="14">
                  <c:v>13777421.092791181</c:v>
                </c:pt>
                <c:pt idx="15">
                  <c:v>12131054.106289882</c:v>
                </c:pt>
                <c:pt idx="16">
                  <c:v>12960765.690806882</c:v>
                </c:pt>
                <c:pt idx="17">
                  <c:v>14889407.58055778</c:v>
                </c:pt>
                <c:pt idx="18">
                  <c:v>15844471.30334268</c:v>
                </c:pt>
                <c:pt idx="19">
                  <c:v>16457809.899910983</c:v>
                </c:pt>
                <c:pt idx="20">
                  <c:v>13945593.812022582</c:v>
                </c:pt>
                <c:pt idx="21">
                  <c:v>13680357.311501181</c:v>
                </c:pt>
                <c:pt idx="22">
                  <c:v>13943764.881368984</c:v>
                </c:pt>
                <c:pt idx="23">
                  <c:v>13816144.317732083</c:v>
                </c:pt>
                <c:pt idx="24">
                  <c:v>14300120.531601261</c:v>
                </c:pt>
                <c:pt idx="25">
                  <c:v>12823986.900859961</c:v>
                </c:pt>
                <c:pt idx="26">
                  <c:v>13729652.925076362</c:v>
                </c:pt>
                <c:pt idx="27">
                  <c:v>12372493.118964862</c:v>
                </c:pt>
                <c:pt idx="28">
                  <c:v>12952023.395882361</c:v>
                </c:pt>
                <c:pt idx="29">
                  <c:v>13742572.92912866</c:v>
                </c:pt>
                <c:pt idx="30">
                  <c:v>15283419.080539763</c:v>
                </c:pt>
                <c:pt idx="31">
                  <c:v>16123689.71845906</c:v>
                </c:pt>
                <c:pt idx="32">
                  <c:v>15052993.327057259</c:v>
                </c:pt>
                <c:pt idx="33">
                  <c:v>14491842.224375563</c:v>
                </c:pt>
                <c:pt idx="34">
                  <c:v>14078651.005573262</c:v>
                </c:pt>
                <c:pt idx="35">
                  <c:v>12838425.441282462</c:v>
                </c:pt>
                <c:pt idx="36">
                  <c:v>13787865.393137159</c:v>
                </c:pt>
                <c:pt idx="37">
                  <c:v>12675359.092876958</c:v>
                </c:pt>
                <c:pt idx="38">
                  <c:v>12781827.774171758</c:v>
                </c:pt>
                <c:pt idx="39">
                  <c:v>11400354.174002958</c:v>
                </c:pt>
                <c:pt idx="40">
                  <c:v>12880130.856031761</c:v>
                </c:pt>
                <c:pt idx="41">
                  <c:v>14743265.379287858</c:v>
                </c:pt>
                <c:pt idx="42">
                  <c:v>14959296.897546859</c:v>
                </c:pt>
                <c:pt idx="43">
                  <c:v>15427464.10820546</c:v>
                </c:pt>
                <c:pt idx="44">
                  <c:v>13989318.161179857</c:v>
                </c:pt>
                <c:pt idx="45">
                  <c:v>14174576.273356561</c:v>
                </c:pt>
                <c:pt idx="46">
                  <c:v>14174334.11660606</c:v>
                </c:pt>
                <c:pt idx="47">
                  <c:v>12910330.309349159</c:v>
                </c:pt>
                <c:pt idx="48">
                  <c:v>13849091.99800721</c:v>
                </c:pt>
                <c:pt idx="49">
                  <c:v>12913536.665801208</c:v>
                </c:pt>
                <c:pt idx="50">
                  <c:v>13644930.137241308</c:v>
                </c:pt>
                <c:pt idx="51">
                  <c:v>12517016.774652008</c:v>
                </c:pt>
                <c:pt idx="52">
                  <c:v>13122967.337625708</c:v>
                </c:pt>
                <c:pt idx="53">
                  <c:v>13706309.307653708</c:v>
                </c:pt>
                <c:pt idx="54">
                  <c:v>14308336.935974209</c:v>
                </c:pt>
                <c:pt idx="55">
                  <c:v>14823345.522277808</c:v>
                </c:pt>
                <c:pt idx="56">
                  <c:v>17407710.791521009</c:v>
                </c:pt>
                <c:pt idx="57">
                  <c:v>14654921.464652408</c:v>
                </c:pt>
                <c:pt idx="58">
                  <c:v>14053596.57630801</c:v>
                </c:pt>
                <c:pt idx="59">
                  <c:v>14070719.674795508</c:v>
                </c:pt>
                <c:pt idx="60">
                  <c:v>14875645.707828557</c:v>
                </c:pt>
                <c:pt idx="61">
                  <c:v>13682562.631763957</c:v>
                </c:pt>
                <c:pt idx="62">
                  <c:v>14325269.380689258</c:v>
                </c:pt>
                <c:pt idx="63">
                  <c:v>12347342.329740856</c:v>
                </c:pt>
                <c:pt idx="64">
                  <c:v>13027047.197540756</c:v>
                </c:pt>
                <c:pt idx="65">
                  <c:v>14734221.274116758</c:v>
                </c:pt>
                <c:pt idx="66">
                  <c:v>14543861.212159758</c:v>
                </c:pt>
                <c:pt idx="67">
                  <c:v>15553654.723300757</c:v>
                </c:pt>
                <c:pt idx="68">
                  <c:v>15488003.303288059</c:v>
                </c:pt>
                <c:pt idx="69">
                  <c:v>14136513.320189355</c:v>
                </c:pt>
                <c:pt idx="70">
                  <c:v>14316064.015974456</c:v>
                </c:pt>
                <c:pt idx="71">
                  <c:v>14393324.346090155</c:v>
                </c:pt>
                <c:pt idx="72">
                  <c:v>15177771.982996177</c:v>
                </c:pt>
                <c:pt idx="73">
                  <c:v>13603697.950717775</c:v>
                </c:pt>
                <c:pt idx="74">
                  <c:v>14133898.267234076</c:v>
                </c:pt>
                <c:pt idx="75">
                  <c:v>13435674.575831477</c:v>
                </c:pt>
                <c:pt idx="76">
                  <c:v>14011800.138445877</c:v>
                </c:pt>
                <c:pt idx="77">
                  <c:v>14704464.368572976</c:v>
                </c:pt>
                <c:pt idx="78">
                  <c:v>17048932.617466077</c:v>
                </c:pt>
                <c:pt idx="79">
                  <c:v>17102513.859410278</c:v>
                </c:pt>
                <c:pt idx="80">
                  <c:v>17704161.987049073</c:v>
                </c:pt>
                <c:pt idx="81">
                  <c:v>15731209.866388276</c:v>
                </c:pt>
                <c:pt idx="82">
                  <c:v>15114579.494740076</c:v>
                </c:pt>
                <c:pt idx="83">
                  <c:v>14249803.554450776</c:v>
                </c:pt>
                <c:pt idx="84">
                  <c:v>15169746.811950468</c:v>
                </c:pt>
                <c:pt idx="85">
                  <c:v>14769186.220313367</c:v>
                </c:pt>
                <c:pt idx="86">
                  <c:v>14860679.595221367</c:v>
                </c:pt>
                <c:pt idx="87">
                  <c:v>14541974.589204766</c:v>
                </c:pt>
                <c:pt idx="88">
                  <c:v>15021598.285015468</c:v>
                </c:pt>
                <c:pt idx="89">
                  <c:v>16752273.439745067</c:v>
                </c:pt>
                <c:pt idx="90">
                  <c:v>18719740.134575665</c:v>
                </c:pt>
                <c:pt idx="91">
                  <c:v>20897368.232487865</c:v>
                </c:pt>
                <c:pt idx="92">
                  <c:v>20018808.978007965</c:v>
                </c:pt>
                <c:pt idx="93">
                  <c:v>17604410.628520165</c:v>
                </c:pt>
                <c:pt idx="94">
                  <c:v>16645874.179800866</c:v>
                </c:pt>
                <c:pt idx="95">
                  <c:v>16217008.323777767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8-4E6C-9670-7349359C85AB}"/>
            </c:ext>
          </c:extLst>
        </c:ser>
        <c:ser>
          <c:idx val="1"/>
          <c:order val="1"/>
          <c:tx>
            <c:strRef>
              <c:f>'GS &gt; 50 Predicted Monthly'!$Z$1</c:f>
              <c:strCache>
                <c:ptCount val="1"/>
                <c:pt idx="0">
                  <c:v>Predicted kWh</c:v>
                </c:pt>
              </c:strCache>
            </c:strRef>
          </c:tx>
          <c:marker>
            <c:symbol val="none"/>
          </c:marker>
          <c:cat>
            <c:numRef>
              <c:f>'GS &gt; 50 Predicted Monthly'!$A$2:$A$97</c:f>
              <c:numCache>
                <c:formatCode>m/d/yyyy</c:formatCode>
                <c:ptCount val="9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</c:numCache>
            </c:numRef>
          </c:cat>
          <c:val>
            <c:numRef>
              <c:f>'GS &gt; 50 Predicted Monthly'!$Z$2:$Z$97</c:f>
              <c:numCache>
                <c:formatCode>_(* #,##0_);_(* \(#,##0\);_(* "-"??_);_(@_)</c:formatCode>
                <c:ptCount val="96"/>
                <c:pt idx="0">
                  <c:v>14481269.885647262</c:v>
                </c:pt>
                <c:pt idx="1">
                  <c:v>14153486.52884558</c:v>
                </c:pt>
                <c:pt idx="2">
                  <c:v>12341373.153726403</c:v>
                </c:pt>
                <c:pt idx="3">
                  <c:v>12300397.779357044</c:v>
                </c:pt>
                <c:pt idx="4">
                  <c:v>11631182.746923136</c:v>
                </c:pt>
                <c:pt idx="5">
                  <c:v>13036735.162586011</c:v>
                </c:pt>
                <c:pt idx="6">
                  <c:v>13071859.604818011</c:v>
                </c:pt>
                <c:pt idx="7">
                  <c:v>15522719.966163754</c:v>
                </c:pt>
                <c:pt idx="8">
                  <c:v>14088014.87928405</c:v>
                </c:pt>
                <c:pt idx="9">
                  <c:v>13820284.872791125</c:v>
                </c:pt>
                <c:pt idx="10">
                  <c:v>14428689.15740075</c:v>
                </c:pt>
                <c:pt idx="11">
                  <c:v>13404717.143070869</c:v>
                </c:pt>
                <c:pt idx="12">
                  <c:v>13350596.945449922</c:v>
                </c:pt>
                <c:pt idx="13">
                  <c:v>12970256.310981765</c:v>
                </c:pt>
                <c:pt idx="14">
                  <c:v>12359221.12866684</c:v>
                </c:pt>
                <c:pt idx="15">
                  <c:v>12187372.541021485</c:v>
                </c:pt>
                <c:pt idx="16">
                  <c:v>12866461.490660381</c:v>
                </c:pt>
                <c:pt idx="17">
                  <c:v>13966156.29077059</c:v>
                </c:pt>
                <c:pt idx="18">
                  <c:v>15333147.114385312</c:v>
                </c:pt>
                <c:pt idx="19">
                  <c:v>16285882.062560493</c:v>
                </c:pt>
                <c:pt idx="20">
                  <c:v>14051034.065966956</c:v>
                </c:pt>
                <c:pt idx="21">
                  <c:v>13984587.946558125</c:v>
                </c:pt>
                <c:pt idx="22">
                  <c:v>13659495.474797307</c:v>
                </c:pt>
                <c:pt idx="23">
                  <c:v>13604244.458095828</c:v>
                </c:pt>
                <c:pt idx="24">
                  <c:v>14076319.365406672</c:v>
                </c:pt>
                <c:pt idx="25">
                  <c:v>13649371.656982671</c:v>
                </c:pt>
                <c:pt idx="26">
                  <c:v>13419193.249841643</c:v>
                </c:pt>
                <c:pt idx="27">
                  <c:v>12740753.929514322</c:v>
                </c:pt>
                <c:pt idx="28">
                  <c:v>12881445.371712871</c:v>
                </c:pt>
                <c:pt idx="29">
                  <c:v>13963980.511234332</c:v>
                </c:pt>
                <c:pt idx="30">
                  <c:v>16356887.780231005</c:v>
                </c:pt>
                <c:pt idx="31">
                  <c:v>16300397.502392096</c:v>
                </c:pt>
                <c:pt idx="32">
                  <c:v>14806545.272229303</c:v>
                </c:pt>
                <c:pt idx="33">
                  <c:v>14494575.020970445</c:v>
                </c:pt>
                <c:pt idx="34">
                  <c:v>13861795.48109225</c:v>
                </c:pt>
                <c:pt idx="35">
                  <c:v>13968350.964033956</c:v>
                </c:pt>
                <c:pt idx="36">
                  <c:v>13860888.533060394</c:v>
                </c:pt>
                <c:pt idx="37">
                  <c:v>13652032.437429702</c:v>
                </c:pt>
                <c:pt idx="38">
                  <c:v>12538910.655702055</c:v>
                </c:pt>
                <c:pt idx="39">
                  <c:v>12623599.511400841</c:v>
                </c:pt>
                <c:pt idx="40">
                  <c:v>13044925.015693014</c:v>
                </c:pt>
                <c:pt idx="41">
                  <c:v>14244878.2698988</c:v>
                </c:pt>
                <c:pt idx="42">
                  <c:v>15738809.420100382</c:v>
                </c:pt>
                <c:pt idx="43">
                  <c:v>15737511.513599871</c:v>
                </c:pt>
                <c:pt idx="44">
                  <c:v>14492692.046384262</c:v>
                </c:pt>
                <c:pt idx="45">
                  <c:v>14542342.691213494</c:v>
                </c:pt>
                <c:pt idx="46">
                  <c:v>14318752.026654555</c:v>
                </c:pt>
                <c:pt idx="47">
                  <c:v>13593572.009330261</c:v>
                </c:pt>
                <c:pt idx="48">
                  <c:v>13492637.561870033</c:v>
                </c:pt>
                <c:pt idx="49">
                  <c:v>13417993.898122134</c:v>
                </c:pt>
                <c:pt idx="50">
                  <c:v>13227847.96581766</c:v>
                </c:pt>
                <c:pt idx="51">
                  <c:v>13161944.760700068</c:v>
                </c:pt>
                <c:pt idx="52">
                  <c:v>13366461.991558649</c:v>
                </c:pt>
                <c:pt idx="53">
                  <c:v>14177987.304095656</c:v>
                </c:pt>
                <c:pt idx="54">
                  <c:v>15318777.255797718</c:v>
                </c:pt>
                <c:pt idx="55">
                  <c:v>15930633.328624634</c:v>
                </c:pt>
                <c:pt idx="56">
                  <c:v>14998546.184606358</c:v>
                </c:pt>
                <c:pt idx="57">
                  <c:v>14920549.270865627</c:v>
                </c:pt>
                <c:pt idx="58">
                  <c:v>14703058.879871055</c:v>
                </c:pt>
                <c:pt idx="59">
                  <c:v>14913683.099539494</c:v>
                </c:pt>
                <c:pt idx="60">
                  <c:v>15056213.081539053</c:v>
                </c:pt>
                <c:pt idx="61">
                  <c:v>14520120.96281491</c:v>
                </c:pt>
                <c:pt idx="62">
                  <c:v>14271550.737302328</c:v>
                </c:pt>
                <c:pt idx="63">
                  <c:v>13167212.512340261</c:v>
                </c:pt>
                <c:pt idx="64">
                  <c:v>13390537.948873462</c:v>
                </c:pt>
                <c:pt idx="65">
                  <c:v>14477000.819498174</c:v>
                </c:pt>
                <c:pt idx="66">
                  <c:v>14568226.63176327</c:v>
                </c:pt>
                <c:pt idx="67">
                  <c:v>16108770.807935782</c:v>
                </c:pt>
                <c:pt idx="68">
                  <c:v>15245995.885981333</c:v>
                </c:pt>
                <c:pt idx="69">
                  <c:v>15325974.238730052</c:v>
                </c:pt>
                <c:pt idx="70">
                  <c:v>14715731.5926315</c:v>
                </c:pt>
                <c:pt idx="71">
                  <c:v>14603288.609831007</c:v>
                </c:pt>
                <c:pt idx="72">
                  <c:v>15182568.373773254</c:v>
                </c:pt>
                <c:pt idx="73">
                  <c:v>15215669.829465233</c:v>
                </c:pt>
                <c:pt idx="74">
                  <c:v>14310190.308732437</c:v>
                </c:pt>
                <c:pt idx="75">
                  <c:v>13674341.702518346</c:v>
                </c:pt>
                <c:pt idx="76">
                  <c:v>14355059.2732912</c:v>
                </c:pt>
                <c:pt idx="77">
                  <c:v>15048787.042882277</c:v>
                </c:pt>
                <c:pt idx="78">
                  <c:v>16093446.005115082</c:v>
                </c:pt>
                <c:pt idx="79">
                  <c:v>16923509.064858101</c:v>
                </c:pt>
                <c:pt idx="80">
                  <c:v>16506755.82720278</c:v>
                </c:pt>
                <c:pt idx="81">
                  <c:v>15032779.14047146</c:v>
                </c:pt>
                <c:pt idx="82">
                  <c:v>14674563.688497573</c:v>
                </c:pt>
                <c:pt idx="83">
                  <c:v>14392862.125405343</c:v>
                </c:pt>
                <c:pt idx="84">
                  <c:v>14843738.27693582</c:v>
                </c:pt>
                <c:pt idx="85">
                  <c:v>14650818.426878624</c:v>
                </c:pt>
                <c:pt idx="86">
                  <c:v>14353450.120372092</c:v>
                </c:pt>
                <c:pt idx="87">
                  <c:v>14682847.413929706</c:v>
                </c:pt>
                <c:pt idx="88">
                  <c:v>15178698.910076845</c:v>
                </c:pt>
                <c:pt idx="89">
                  <c:v>16530980.864235848</c:v>
                </c:pt>
                <c:pt idx="90">
                  <c:v>19384505.067576759</c:v>
                </c:pt>
                <c:pt idx="91">
                  <c:v>19423291.054726455</c:v>
                </c:pt>
                <c:pt idx="92">
                  <c:v>17375897.209918275</c:v>
                </c:pt>
                <c:pt idx="93">
                  <c:v>16887831.769145016</c:v>
                </c:pt>
                <c:pt idx="94">
                  <c:v>15898546.345110562</c:v>
                </c:pt>
                <c:pt idx="95">
                  <c:v>15766956.555752411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8-4E6C-9670-7349359C8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969992"/>
        <c:axId val="666972736"/>
      </c:lineChart>
      <c:dateAx>
        <c:axId val="6669699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666972736"/>
        <c:crosses val="autoZero"/>
        <c:auto val="1"/>
        <c:lblOffset val="100"/>
        <c:baseTimeUnit val="months"/>
      </c:dateAx>
      <c:valAx>
        <c:axId val="666972736"/>
        <c:scaling>
          <c:orientation val="minMax"/>
          <c:min val="10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666969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Summary'!$C$3</c:f>
              <c:strCache>
                <c:ptCount val="1"/>
                <c:pt idx="0">
                  <c:v>Actual+CDM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Summary'!$C$4:$C$11</c:f>
              <c:numCache>
                <c:formatCode>#,##0</c:formatCode>
                <c:ptCount val="8"/>
                <c:pt idx="0">
                  <c:v>249248744.52630949</c:v>
                </c:pt>
                <c:pt idx="1">
                  <c:v>267217596.28228575</c:v>
                </c:pt>
                <c:pt idx="2">
                  <c:v>260939811.58200753</c:v>
                </c:pt>
                <c:pt idx="3">
                  <c:v>259249764.01228067</c:v>
                </c:pt>
                <c:pt idx="4">
                  <c:v>254292198.12159741</c:v>
                </c:pt>
                <c:pt idx="5">
                  <c:v>250468248.15084472</c:v>
                </c:pt>
                <c:pt idx="6">
                  <c:v>250772426.6511052</c:v>
                </c:pt>
                <c:pt idx="7">
                  <c:v>261230618.86019763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6-4ED2-950C-9C981A2BEDE4}"/>
            </c:ext>
          </c:extLst>
        </c:ser>
        <c:ser>
          <c:idx val="1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Summary'!$D$4:$D$11</c:f>
              <c:numCache>
                <c:formatCode>#,##0</c:formatCode>
                <c:ptCount val="8"/>
                <c:pt idx="0">
                  <c:v>249427851.98597154</c:v>
                </c:pt>
                <c:pt idx="1">
                  <c:v>266877375.38278842</c:v>
                </c:pt>
                <c:pt idx="2">
                  <c:v>259961861.27694175</c:v>
                </c:pt>
                <c:pt idx="3">
                  <c:v>260447550.80008104</c:v>
                </c:pt>
                <c:pt idx="4">
                  <c:v>254989919.32007289</c:v>
                </c:pt>
                <c:pt idx="5">
                  <c:v>247521029.38875565</c:v>
                </c:pt>
                <c:pt idx="6">
                  <c:v>251377969.9155708</c:v>
                </c:pt>
                <c:pt idx="7">
                  <c:v>262815850.11644214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6-4ED2-950C-9C981A2BE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922792"/>
        <c:axId val="801920440"/>
      </c:lineChart>
      <c:catAx>
        <c:axId val="80192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1920440"/>
        <c:crosses val="autoZero"/>
        <c:auto val="1"/>
        <c:lblAlgn val="ctr"/>
        <c:lblOffset val="100"/>
        <c:noMultiLvlLbl val="0"/>
      </c:catAx>
      <c:valAx>
        <c:axId val="801920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01922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&lt; 50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Summary'!$H$3</c:f>
              <c:strCache>
                <c:ptCount val="1"/>
                <c:pt idx="0">
                  <c:v>Actual+CDM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Summary'!$H$4:$H$11</c:f>
              <c:numCache>
                <c:formatCode>#,##0</c:formatCode>
                <c:ptCount val="8"/>
                <c:pt idx="0">
                  <c:v>67635266.323931411</c:v>
                </c:pt>
                <c:pt idx="1">
                  <c:v>69463566.007213742</c:v>
                </c:pt>
                <c:pt idx="2">
                  <c:v>68580386.344080314</c:v>
                </c:pt>
                <c:pt idx="3">
                  <c:v>68501517.278197765</c:v>
                </c:pt>
                <c:pt idx="4">
                  <c:v>67565571.213131547</c:v>
                </c:pt>
                <c:pt idx="5">
                  <c:v>67585755.68702814</c:v>
                </c:pt>
                <c:pt idx="6">
                  <c:v>69539872.010038614</c:v>
                </c:pt>
                <c:pt idx="7">
                  <c:v>72600736.947909981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C-471F-A2F6-F6DFFF4A2B5A}"/>
            </c:ext>
          </c:extLst>
        </c:ser>
        <c:ser>
          <c:idx val="1"/>
          <c:order val="1"/>
          <c:tx>
            <c:strRef>
              <c:f>'Model Annual Summary'!$I$3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Summary'!$I$4:$I$11</c:f>
              <c:numCache>
                <c:formatCode>#,##0</c:formatCode>
                <c:ptCount val="8"/>
                <c:pt idx="0">
                  <c:v>66657603.622161895</c:v>
                </c:pt>
                <c:pt idx="1">
                  <c:v>68933522.253613114</c:v>
                </c:pt>
                <c:pt idx="2">
                  <c:v>68523489.440774158</c:v>
                </c:pt>
                <c:pt idx="3">
                  <c:v>69093091.621566817</c:v>
                </c:pt>
                <c:pt idx="4">
                  <c:v>68990290.11967425</c:v>
                </c:pt>
                <c:pt idx="5">
                  <c:v>68598369.43275252</c:v>
                </c:pt>
                <c:pt idx="6">
                  <c:v>69407865.179750279</c:v>
                </c:pt>
                <c:pt idx="7">
                  <c:v>71268440.141238898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C-471F-A2F6-F6DFFF4A2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920832"/>
        <c:axId val="801921616"/>
      </c:lineChart>
      <c:catAx>
        <c:axId val="80192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1921616"/>
        <c:crosses val="autoZero"/>
        <c:auto val="1"/>
        <c:lblAlgn val="ctr"/>
        <c:lblOffset val="100"/>
        <c:noMultiLvlLbl val="0"/>
      </c:catAx>
      <c:valAx>
        <c:axId val="8019216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01920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 &gt; 50 kWh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Annual Summary'!$M$3</c:f>
              <c:strCache>
                <c:ptCount val="1"/>
                <c:pt idx="0">
                  <c:v>Actual+CDM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Summary'!$M$4:$M$11</c:f>
              <c:numCache>
                <c:formatCode>#,##0</c:formatCode>
                <c:ptCount val="8"/>
                <c:pt idx="0">
                  <c:v>165450249.20683464</c:v>
                </c:pt>
                <c:pt idx="1">
                  <c:v>168399143.6217176</c:v>
                </c:pt>
                <c:pt idx="2">
                  <c:v>167789870.59880084</c:v>
                </c:pt>
                <c:pt idx="3">
                  <c:v>163904122.53575242</c:v>
                </c:pt>
                <c:pt idx="4">
                  <c:v>169072483.18651012</c:v>
                </c:pt>
                <c:pt idx="5">
                  <c:v>171423509.44268268</c:v>
                </c:pt>
                <c:pt idx="6">
                  <c:v>182018508.66330293</c:v>
                </c:pt>
                <c:pt idx="7">
                  <c:v>201218669.4186208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2-4CD1-BBD5-FB5529E81D5A}"/>
            </c:ext>
          </c:extLst>
        </c:ser>
        <c:ser>
          <c:idx val="1"/>
          <c:order val="1"/>
          <c:tx>
            <c:strRef>
              <c:f>'Model Annual Summary'!$N$3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Summary'!$B$4:$B$11</c:f>
              <c:numCache>
                <c:formatCode>General</c:formatCode>
                <c:ptCount val="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'Model Annual Summary'!$N$4:$N$11</c:f>
              <c:numCache>
                <c:formatCode>#,##0</c:formatCode>
                <c:ptCount val="8"/>
                <c:pt idx="0">
                  <c:v>162280730.88061401</c:v>
                </c:pt>
                <c:pt idx="1">
                  <c:v>164618455.82991499</c:v>
                </c:pt>
                <c:pt idx="2">
                  <c:v>170519616.10564157</c:v>
                </c:pt>
                <c:pt idx="3">
                  <c:v>168388914.13046762</c:v>
                </c:pt>
                <c:pt idx="4">
                  <c:v>171630121.50146911</c:v>
                </c:pt>
                <c:pt idx="5">
                  <c:v>175450623.82924113</c:v>
                </c:pt>
                <c:pt idx="6">
                  <c:v>181410532.38221306</c:v>
                </c:pt>
                <c:pt idx="7">
                  <c:v>194977562.01465845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2-4CD1-BBD5-FB5529E81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922008"/>
        <c:axId val="801921224"/>
      </c:lineChart>
      <c:catAx>
        <c:axId val="80192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1921224"/>
        <c:crosses val="autoZero"/>
        <c:auto val="1"/>
        <c:lblAlgn val="ctr"/>
        <c:lblOffset val="100"/>
        <c:noMultiLvlLbl val="0"/>
      </c:catAx>
      <c:valAx>
        <c:axId val="801921224"/>
        <c:scaling>
          <c:orientation val="minMax"/>
          <c:min val="150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01922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 Gross_Res </c:v>
                </c:pt>
              </c:strCache>
            </c:strRef>
          </c:tx>
          <c:marker>
            <c:symbol val="none"/>
          </c:marker>
          <c:cat>
            <c:numRef>
              <c:f>'Res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'Res Predicted Monthly'!$C$2:$C$97</c:f>
              <c:numCache>
                <c:formatCode>_(* #,##0_);_(* \(#,##0\);_(* "-"??_);_(@_)</c:formatCode>
                <c:ptCount val="96"/>
                <c:pt idx="0">
                  <c:v>22953528.183818262</c:v>
                </c:pt>
                <c:pt idx="1">
                  <c:v>19172932.773045871</c:v>
                </c:pt>
                <c:pt idx="2">
                  <c:v>19039064.366005011</c:v>
                </c:pt>
                <c:pt idx="3">
                  <c:v>17003193.089812111</c:v>
                </c:pt>
                <c:pt idx="4">
                  <c:v>17391297.954777639</c:v>
                </c:pt>
                <c:pt idx="5">
                  <c:v>21273593.977212608</c:v>
                </c:pt>
                <c:pt idx="6">
                  <c:v>25787416.81760994</c:v>
                </c:pt>
                <c:pt idx="7">
                  <c:v>27496374.034570016</c:v>
                </c:pt>
                <c:pt idx="8">
                  <c:v>20755352.022298176</c:v>
                </c:pt>
                <c:pt idx="9">
                  <c:v>18082092.987588529</c:v>
                </c:pt>
                <c:pt idx="10">
                  <c:v>18074593.893965401</c:v>
                </c:pt>
                <c:pt idx="11">
                  <c:v>22219304.425605915</c:v>
                </c:pt>
                <c:pt idx="12">
                  <c:v>22358460.250977054</c:v>
                </c:pt>
                <c:pt idx="13">
                  <c:v>18735998.915144272</c:v>
                </c:pt>
                <c:pt idx="14">
                  <c:v>18338914.486644384</c:v>
                </c:pt>
                <c:pt idx="15">
                  <c:v>16457791.552007467</c:v>
                </c:pt>
                <c:pt idx="16">
                  <c:v>19877888.578557905</c:v>
                </c:pt>
                <c:pt idx="17">
                  <c:v>27745184.765543249</c:v>
                </c:pt>
                <c:pt idx="18">
                  <c:v>34151513.368632481</c:v>
                </c:pt>
                <c:pt idx="19">
                  <c:v>31520743.190588608</c:v>
                </c:pt>
                <c:pt idx="20">
                  <c:v>21071409.668348346</c:v>
                </c:pt>
                <c:pt idx="21">
                  <c:v>17208459.015448716</c:v>
                </c:pt>
                <c:pt idx="22">
                  <c:v>17984730.026108824</c:v>
                </c:pt>
                <c:pt idx="23">
                  <c:v>21766502.464284435</c:v>
                </c:pt>
                <c:pt idx="24">
                  <c:v>22178314.15854536</c:v>
                </c:pt>
                <c:pt idx="25">
                  <c:v>18955531.053135466</c:v>
                </c:pt>
                <c:pt idx="26">
                  <c:v>19020096.60404275</c:v>
                </c:pt>
                <c:pt idx="27">
                  <c:v>17125422.053072423</c:v>
                </c:pt>
                <c:pt idx="28">
                  <c:v>18591300.513173018</c:v>
                </c:pt>
                <c:pt idx="29">
                  <c:v>24888672.212482154</c:v>
                </c:pt>
                <c:pt idx="30">
                  <c:v>33358689.098552275</c:v>
                </c:pt>
                <c:pt idx="31">
                  <c:v>30414812.49304403</c:v>
                </c:pt>
                <c:pt idx="32">
                  <c:v>20929875.731459919</c:v>
                </c:pt>
                <c:pt idx="33">
                  <c:v>17117587.736433852</c:v>
                </c:pt>
                <c:pt idx="34">
                  <c:v>17522596.420983914</c:v>
                </c:pt>
                <c:pt idx="35">
                  <c:v>20836913.507082358</c:v>
                </c:pt>
                <c:pt idx="36">
                  <c:v>20826549.184631586</c:v>
                </c:pt>
                <c:pt idx="37">
                  <c:v>18396143.263278905</c:v>
                </c:pt>
                <c:pt idx="38">
                  <c:v>17464653.067603219</c:v>
                </c:pt>
                <c:pt idx="39">
                  <c:v>16103149.412524818</c:v>
                </c:pt>
                <c:pt idx="40">
                  <c:v>19432613.145942483</c:v>
                </c:pt>
                <c:pt idx="41">
                  <c:v>27178390.62937149</c:v>
                </c:pt>
                <c:pt idx="42">
                  <c:v>34122931.733509071</c:v>
                </c:pt>
                <c:pt idx="43">
                  <c:v>28774043.990622215</c:v>
                </c:pt>
                <c:pt idx="44">
                  <c:v>21128025.774475966</c:v>
                </c:pt>
                <c:pt idx="45">
                  <c:v>17095388.657426659</c:v>
                </c:pt>
                <c:pt idx="46">
                  <c:v>18002983.69606806</c:v>
                </c:pt>
                <c:pt idx="47">
                  <c:v>20724891.456826214</c:v>
                </c:pt>
                <c:pt idx="48">
                  <c:v>21175039.85558828</c:v>
                </c:pt>
                <c:pt idx="49">
                  <c:v>18639689.622604229</c:v>
                </c:pt>
                <c:pt idx="50">
                  <c:v>19203289.13178562</c:v>
                </c:pt>
                <c:pt idx="51">
                  <c:v>17076984.319236379</c:v>
                </c:pt>
                <c:pt idx="52">
                  <c:v>18457139.291948661</c:v>
                </c:pt>
                <c:pt idx="53">
                  <c:v>23738163.011233285</c:v>
                </c:pt>
                <c:pt idx="54">
                  <c:v>28992560.436643723</c:v>
                </c:pt>
                <c:pt idx="55">
                  <c:v>26394506.736268964</c:v>
                </c:pt>
                <c:pt idx="56">
                  <c:v>22082821.70344121</c:v>
                </c:pt>
                <c:pt idx="57">
                  <c:v>17752714.709292348</c:v>
                </c:pt>
                <c:pt idx="58">
                  <c:v>18589259.601015333</c:v>
                </c:pt>
                <c:pt idx="59">
                  <c:v>22190029.702539392</c:v>
                </c:pt>
                <c:pt idx="60">
                  <c:v>22841547.431234065</c:v>
                </c:pt>
                <c:pt idx="61">
                  <c:v>19788010.013485562</c:v>
                </c:pt>
                <c:pt idx="62">
                  <c:v>19723646.263600551</c:v>
                </c:pt>
                <c:pt idx="63">
                  <c:v>16641111.8668398</c:v>
                </c:pt>
                <c:pt idx="64">
                  <c:v>17829710.566903893</c:v>
                </c:pt>
                <c:pt idx="65">
                  <c:v>23632986.106066652</c:v>
                </c:pt>
                <c:pt idx="66">
                  <c:v>26634565.643123828</c:v>
                </c:pt>
                <c:pt idx="67">
                  <c:v>26081906.981533043</c:v>
                </c:pt>
                <c:pt idx="68">
                  <c:v>20850948.143452179</c:v>
                </c:pt>
                <c:pt idx="69">
                  <c:v>16908660.489088871</c:v>
                </c:pt>
                <c:pt idx="70">
                  <c:v>18563212.718194302</c:v>
                </c:pt>
                <c:pt idx="71">
                  <c:v>20971941.927321982</c:v>
                </c:pt>
                <c:pt idx="72">
                  <c:v>21646168.134603012</c:v>
                </c:pt>
                <c:pt idx="73">
                  <c:v>19482862.077997562</c:v>
                </c:pt>
                <c:pt idx="74">
                  <c:v>18970038.636144333</c:v>
                </c:pt>
                <c:pt idx="75">
                  <c:v>16361265.905337434</c:v>
                </c:pt>
                <c:pt idx="76">
                  <c:v>18647936.595492445</c:v>
                </c:pt>
                <c:pt idx="77">
                  <c:v>22179310.772238649</c:v>
                </c:pt>
                <c:pt idx="78">
                  <c:v>27989233.864478592</c:v>
                </c:pt>
                <c:pt idx="79">
                  <c:v>28699787.081477717</c:v>
                </c:pt>
                <c:pt idx="80">
                  <c:v>22811633.841654569</c:v>
                </c:pt>
                <c:pt idx="81">
                  <c:v>17310829.765864406</c:v>
                </c:pt>
                <c:pt idx="82">
                  <c:v>17013143.543729268</c:v>
                </c:pt>
                <c:pt idx="83">
                  <c:v>19660216.432087231</c:v>
                </c:pt>
                <c:pt idx="84">
                  <c:v>20402754.005920634</c:v>
                </c:pt>
                <c:pt idx="85">
                  <c:v>18147995.995060921</c:v>
                </c:pt>
                <c:pt idx="86">
                  <c:v>17757118.963884208</c:v>
                </c:pt>
                <c:pt idx="87">
                  <c:v>16194098.280517746</c:v>
                </c:pt>
                <c:pt idx="88">
                  <c:v>18712521.998033397</c:v>
                </c:pt>
                <c:pt idx="89">
                  <c:v>25342938.0505188</c:v>
                </c:pt>
                <c:pt idx="90">
                  <c:v>32676576.086327001</c:v>
                </c:pt>
                <c:pt idx="91">
                  <c:v>32627741.790165287</c:v>
                </c:pt>
                <c:pt idx="92">
                  <c:v>23815134.656093854</c:v>
                </c:pt>
                <c:pt idx="93">
                  <c:v>18077594.709831063</c:v>
                </c:pt>
                <c:pt idx="94">
                  <c:v>17000162.798257124</c:v>
                </c:pt>
                <c:pt idx="95">
                  <c:v>20475981.52558763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D-4F0D-A447-6A07DDCB9B4C}"/>
            </c:ext>
          </c:extLst>
        </c:ser>
        <c:ser>
          <c:idx val="1"/>
          <c:order val="1"/>
          <c:tx>
            <c:strRef>
              <c:f>'Res Normalized Monthly'!$R$1</c:f>
              <c:strCache>
                <c:ptCount val="1"/>
                <c:pt idx="0">
                  <c:v>Normalized kWh</c:v>
                </c:pt>
              </c:strCache>
            </c:strRef>
          </c:tx>
          <c:marker>
            <c:symbol val="none"/>
          </c:marker>
          <c:cat>
            <c:numRef>
              <c:f>'Res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'Res Normalized Monthly'!$R$2:$R$121</c:f>
              <c:numCache>
                <c:formatCode>_(* #,##0_);_(* \(#,##0\);_(* "-"??_);_(@_)</c:formatCode>
                <c:ptCount val="120"/>
                <c:pt idx="0">
                  <c:v>22752707.670078672</c:v>
                </c:pt>
                <c:pt idx="1">
                  <c:v>19578378.773614846</c:v>
                </c:pt>
                <c:pt idx="2">
                  <c:v>18960726.345450081</c:v>
                </c:pt>
                <c:pt idx="3">
                  <c:v>17102870.823917121</c:v>
                </c:pt>
                <c:pt idx="4">
                  <c:v>19637415.275829263</c:v>
                </c:pt>
                <c:pt idx="5">
                  <c:v>25228397.944558602</c:v>
                </c:pt>
                <c:pt idx="6">
                  <c:v>30131555.572385475</c:v>
                </c:pt>
                <c:pt idx="7">
                  <c:v>28698073.06246949</c:v>
                </c:pt>
                <c:pt idx="8">
                  <c:v>21976286.373186231</c:v>
                </c:pt>
                <c:pt idx="9">
                  <c:v>18084477.565721493</c:v>
                </c:pt>
                <c:pt idx="10">
                  <c:v>17818956.472944953</c:v>
                </c:pt>
                <c:pt idx="11">
                  <c:v>21737095.056031793</c:v>
                </c:pt>
                <c:pt idx="12">
                  <c:v>22198265.956017435</c:v>
                </c:pt>
                <c:pt idx="13">
                  <c:v>19200558.196613535</c:v>
                </c:pt>
                <c:pt idx="14">
                  <c:v>18739902.334724262</c:v>
                </c:pt>
                <c:pt idx="15">
                  <c:v>16973628.143518671</c:v>
                </c:pt>
                <c:pt idx="16">
                  <c:v>19573587.83137894</c:v>
                </c:pt>
                <c:pt idx="17">
                  <c:v>25256151.830435649</c:v>
                </c:pt>
                <c:pt idx="18">
                  <c:v>30146226.411072895</c:v>
                </c:pt>
                <c:pt idx="19">
                  <c:v>28666953.235993221</c:v>
                </c:pt>
                <c:pt idx="20">
                  <c:v>21853585.216382593</c:v>
                </c:pt>
                <c:pt idx="21">
                  <c:v>17863653.554995678</c:v>
                </c:pt>
                <c:pt idx="22">
                  <c:v>17493468.084702142</c:v>
                </c:pt>
                <c:pt idx="23">
                  <c:v>21352732.955435671</c:v>
                </c:pt>
                <c:pt idx="24">
                  <c:v>22075564.799213801</c:v>
                </c:pt>
                <c:pt idx="25">
                  <c:v>19032066.374646217</c:v>
                </c:pt>
                <c:pt idx="26">
                  <c:v>18630284.225110255</c:v>
                </c:pt>
                <c:pt idx="27">
                  <c:v>16556558.424948489</c:v>
                </c:pt>
                <c:pt idx="28">
                  <c:v>19117268.971239883</c:v>
                </c:pt>
                <c:pt idx="29">
                  <c:v>24754042.305132903</c:v>
                </c:pt>
                <c:pt idx="30">
                  <c:v>29853445.640804145</c:v>
                </c:pt>
                <c:pt idx="31">
                  <c:v>28439587.701672595</c:v>
                </c:pt>
                <c:pt idx="32">
                  <c:v>21567345.969708651</c:v>
                </c:pt>
                <c:pt idx="33">
                  <c:v>17583955.831916548</c:v>
                </c:pt>
                <c:pt idx="34">
                  <c:v>17370766.927898508</c:v>
                </c:pt>
                <c:pt idx="35">
                  <c:v>21367403.794123095</c:v>
                </c:pt>
                <c:pt idx="36">
                  <c:v>21880906.882867232</c:v>
                </c:pt>
                <c:pt idx="37">
                  <c:v>19724453.158707079</c:v>
                </c:pt>
                <c:pt idx="38">
                  <c:v>18586081.351444367</c:v>
                </c:pt>
                <c:pt idx="39">
                  <c:v>16741308.877101026</c:v>
                </c:pt>
                <c:pt idx="40">
                  <c:v>19295477.899797611</c:v>
                </c:pt>
                <c:pt idx="41">
                  <c:v>24912626.662906196</c:v>
                </c:pt>
                <c:pt idx="42">
                  <c:v>29985863.904198185</c:v>
                </c:pt>
                <c:pt idx="43">
                  <c:v>28604713.583040699</c:v>
                </c:pt>
                <c:pt idx="44">
                  <c:v>21896009.940947063</c:v>
                </c:pt>
                <c:pt idx="45">
                  <c:v>17886453.708775707</c:v>
                </c:pt>
                <c:pt idx="46">
                  <c:v>17568600.42724067</c:v>
                </c:pt>
                <c:pt idx="47">
                  <c:v>21342825.491241641</c:v>
                </c:pt>
                <c:pt idx="48">
                  <c:v>21738581.15527916</c:v>
                </c:pt>
                <c:pt idx="49">
                  <c:v>18767039.490254514</c:v>
                </c:pt>
                <c:pt idx="50">
                  <c:v>18397964.95869261</c:v>
                </c:pt>
                <c:pt idx="51">
                  <c:v>16625149.243892206</c:v>
                </c:pt>
                <c:pt idx="52">
                  <c:v>19238191.978942096</c:v>
                </c:pt>
                <c:pt idx="53">
                  <c:v>24907672.930809181</c:v>
                </c:pt>
                <c:pt idx="54">
                  <c:v>29948202.554127112</c:v>
                </c:pt>
                <c:pt idx="55">
                  <c:v>28455846.331857815</c:v>
                </c:pt>
                <c:pt idx="56">
                  <c:v>21498564.793161314</c:v>
                </c:pt>
                <c:pt idx="57">
                  <c:v>17528257.702558838</c:v>
                </c:pt>
                <c:pt idx="58">
                  <c:v>17262736.609782293</c:v>
                </c:pt>
                <c:pt idx="59">
                  <c:v>21337871.759144627</c:v>
                </c:pt>
                <c:pt idx="60">
                  <c:v>21884082.465862826</c:v>
                </c:pt>
                <c:pt idx="61">
                  <c:v>18814417.946915995</c:v>
                </c:pt>
                <c:pt idx="62">
                  <c:v>18347220.561431911</c:v>
                </c:pt>
                <c:pt idx="63">
                  <c:v>16280036.284864957</c:v>
                </c:pt>
                <c:pt idx="64">
                  <c:v>18808039.213182289</c:v>
                </c:pt>
                <c:pt idx="65">
                  <c:v>24333606.645963505</c:v>
                </c:pt>
                <c:pt idx="66">
                  <c:v>29504966.741177678</c:v>
                </c:pt>
                <c:pt idx="67">
                  <c:v>28078025.754856504</c:v>
                </c:pt>
                <c:pt idx="68">
                  <c:v>21382405.159952492</c:v>
                </c:pt>
                <c:pt idx="69">
                  <c:v>17444805.687324073</c:v>
                </c:pt>
                <c:pt idx="70">
                  <c:v>17185826.118142344</c:v>
                </c:pt>
                <c:pt idx="71">
                  <c:v>21215170.602340993</c:v>
                </c:pt>
                <c:pt idx="72">
                  <c:v>21781005.87984363</c:v>
                </c:pt>
                <c:pt idx="73">
                  <c:v>18855254.879982665</c:v>
                </c:pt>
                <c:pt idx="74">
                  <c:v>18342266.829334892</c:v>
                </c:pt>
                <c:pt idx="75">
                  <c:v>16379746.930284936</c:v>
                </c:pt>
                <c:pt idx="76">
                  <c:v>19077829.472067386</c:v>
                </c:pt>
                <c:pt idx="77">
                  <c:v>24937014.608184025</c:v>
                </c:pt>
                <c:pt idx="78">
                  <c:v>29990627.278691575</c:v>
                </c:pt>
                <c:pt idx="79">
                  <c:v>28243151.636224609</c:v>
                </c:pt>
                <c:pt idx="80">
                  <c:v>21141956.578442238</c:v>
                </c:pt>
                <c:pt idx="81">
                  <c:v>16988486.827185016</c:v>
                </c:pt>
                <c:pt idx="82">
                  <c:v>16670633.545649977</c:v>
                </c:pt>
                <c:pt idx="83">
                  <c:v>20582230.605142009</c:v>
                </c:pt>
                <c:pt idx="84">
                  <c:v>21252730.260161638</c:v>
                </c:pt>
                <c:pt idx="85">
                  <c:v>19233648.531492539</c:v>
                </c:pt>
                <c:pt idx="86">
                  <c:v>18141067.389393516</c:v>
                </c:pt>
                <c:pt idx="87">
                  <c:v>16322461.009429427</c:v>
                </c:pt>
                <c:pt idx="88">
                  <c:v>19027085.074806683</c:v>
                </c:pt>
                <c:pt idx="89">
                  <c:v>24873187.163733698</c:v>
                </c:pt>
                <c:pt idx="90">
                  <c:v>30077254.876921933</c:v>
                </c:pt>
                <c:pt idx="91">
                  <c:v>28709187.602954071</c:v>
                </c:pt>
                <c:pt idx="92">
                  <c:v>21797696.729421254</c:v>
                </c:pt>
                <c:pt idx="93">
                  <c:v>17663851.548948467</c:v>
                </c:pt>
                <c:pt idx="94">
                  <c:v>17097420.370810568</c:v>
                </c:pt>
                <c:pt idx="95">
                  <c:v>20812771.722458232</c:v>
                </c:pt>
                <c:pt idx="96">
                  <c:v>21142621.536278017</c:v>
                </c:pt>
                <c:pt idx="97">
                  <c:v>18296251.925240103</c:v>
                </c:pt>
                <c:pt idx="98">
                  <c:v>18032548.255743437</c:v>
                </c:pt>
                <c:pt idx="99">
                  <c:v>16216149.639992593</c:v>
                </c:pt>
                <c:pt idx="100">
                  <c:v>18923246.401288692</c:v>
                </c:pt>
                <c:pt idx="101">
                  <c:v>24773410.776368082</c:v>
                </c:pt>
                <c:pt idx="102">
                  <c:v>29980304.42774928</c:v>
                </c:pt>
                <c:pt idx="103">
                  <c:v>28613826.744014952</c:v>
                </c:pt>
                <c:pt idx="104">
                  <c:v>21701276.143659778</c:v>
                </c:pt>
                <c:pt idx="105">
                  <c:v>17566282.925796103</c:v>
                </c:pt>
                <c:pt idx="106">
                  <c:v>16996584.256622594</c:v>
                </c:pt>
                <c:pt idx="107">
                  <c:v>20709286.291214362</c:v>
                </c:pt>
                <c:pt idx="108">
                  <c:v>20985548.557013281</c:v>
                </c:pt>
                <c:pt idx="109">
                  <c:v>18139759.056464657</c:v>
                </c:pt>
                <c:pt idx="110">
                  <c:v>17876519.475359425</c:v>
                </c:pt>
                <c:pt idx="111">
                  <c:v>16061571.135831814</c:v>
                </c:pt>
                <c:pt idx="112">
                  <c:v>18770292.206497934</c:v>
                </c:pt>
                <c:pt idx="113">
                  <c:v>24623125.089828067</c:v>
                </c:pt>
                <c:pt idx="114">
                  <c:v>29831875.094774999</c:v>
                </c:pt>
                <c:pt idx="115">
                  <c:v>28466441.6099214</c:v>
                </c:pt>
                <c:pt idx="116">
                  <c:v>21553194.876979075</c:v>
                </c:pt>
                <c:pt idx="117">
                  <c:v>17417447.515479319</c:v>
                </c:pt>
                <c:pt idx="118">
                  <c:v>16845602.437495425</c:v>
                </c:pt>
                <c:pt idx="119">
                  <c:v>20556564.140619315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D-4F0D-A447-6A07DDCB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319576"/>
        <c:axId val="814319968"/>
      </c:lineChart>
      <c:dateAx>
        <c:axId val="8143195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814319968"/>
        <c:crosses val="autoZero"/>
        <c:auto val="1"/>
        <c:lblOffset val="100"/>
        <c:baseTimeUnit val="months"/>
      </c:dateAx>
      <c:valAx>
        <c:axId val="814319968"/>
        <c:scaling>
          <c:orientation val="minMax"/>
          <c:min val="15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14319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 Gross_GSlt50 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 &lt; 50 Normalized Monthly'!$C$2:$C$97</c:f>
              <c:numCache>
                <c:formatCode>_(* #,##0_);_(* \(#,##0\);_(* "-"??_);_(@_)</c:formatCode>
                <c:ptCount val="96"/>
                <c:pt idx="0">
                  <c:v>6180599.9418864548</c:v>
                </c:pt>
                <c:pt idx="1">
                  <c:v>5531247.4825260816</c:v>
                </c:pt>
                <c:pt idx="2">
                  <c:v>5678036.4363599839</c:v>
                </c:pt>
                <c:pt idx="3">
                  <c:v>5165756.2748493869</c:v>
                </c:pt>
                <c:pt idx="4">
                  <c:v>5358760.0193285467</c:v>
                </c:pt>
                <c:pt idx="5">
                  <c:v>5663326.2574443072</c:v>
                </c:pt>
                <c:pt idx="6">
                  <c:v>6200335.1519909399</c:v>
                </c:pt>
                <c:pt idx="7">
                  <c:v>6260864.1239666771</c:v>
                </c:pt>
                <c:pt idx="8">
                  <c:v>5590921.3744961126</c:v>
                </c:pt>
                <c:pt idx="9">
                  <c:v>5185699.0044068033</c:v>
                </c:pt>
                <c:pt idx="10">
                  <c:v>5131204.807266444</c:v>
                </c:pt>
                <c:pt idx="11">
                  <c:v>5688515.449409673</c:v>
                </c:pt>
                <c:pt idx="12">
                  <c:v>5896501.9011723185</c:v>
                </c:pt>
                <c:pt idx="13">
                  <c:v>5282460.4406652441</c:v>
                </c:pt>
                <c:pt idx="14">
                  <c:v>5367265.7782861628</c:v>
                </c:pt>
                <c:pt idx="15">
                  <c:v>5048654.5806024112</c:v>
                </c:pt>
                <c:pt idx="16">
                  <c:v>5629447.9636161011</c:v>
                </c:pt>
                <c:pt idx="17">
                  <c:v>6292517.6784429774</c:v>
                </c:pt>
                <c:pt idx="18">
                  <c:v>7051776.6779211387</c:v>
                </c:pt>
                <c:pt idx="19">
                  <c:v>6891570.3434989201</c:v>
                </c:pt>
                <c:pt idx="20">
                  <c:v>5651782.3575958619</c:v>
                </c:pt>
                <c:pt idx="21">
                  <c:v>5255156.9166128142</c:v>
                </c:pt>
                <c:pt idx="22">
                  <c:v>5251525.9795399467</c:v>
                </c:pt>
                <c:pt idx="23">
                  <c:v>5844905.3892598506</c:v>
                </c:pt>
                <c:pt idx="24">
                  <c:v>6026588.3635599045</c:v>
                </c:pt>
                <c:pt idx="25">
                  <c:v>5362970.5444677435</c:v>
                </c:pt>
                <c:pt idx="26">
                  <c:v>5630900.4388400922</c:v>
                </c:pt>
                <c:pt idx="27">
                  <c:v>5175082.1278635412</c:v>
                </c:pt>
                <c:pt idx="28">
                  <c:v>5463133.8059784928</c:v>
                </c:pt>
                <c:pt idx="29">
                  <c:v>5976127.300790932</c:v>
                </c:pt>
                <c:pt idx="30">
                  <c:v>6877540.0657793824</c:v>
                </c:pt>
                <c:pt idx="31">
                  <c:v>6603628.8820340019</c:v>
                </c:pt>
                <c:pt idx="32">
                  <c:v>5618306.5975156222</c:v>
                </c:pt>
                <c:pt idx="33">
                  <c:v>5113557.1313079717</c:v>
                </c:pt>
                <c:pt idx="34">
                  <c:v>5112407.7414213624</c:v>
                </c:pt>
                <c:pt idx="35">
                  <c:v>5620143.3445212664</c:v>
                </c:pt>
                <c:pt idx="36">
                  <c:v>5678473.7393108159</c:v>
                </c:pt>
                <c:pt idx="37">
                  <c:v>5379271.6074002506</c:v>
                </c:pt>
                <c:pt idx="38">
                  <c:v>5431638.8336107414</c:v>
                </c:pt>
                <c:pt idx="39">
                  <c:v>4996283.2985174851</c:v>
                </c:pt>
                <c:pt idx="40">
                  <c:v>5646499.9793941975</c:v>
                </c:pt>
                <c:pt idx="41">
                  <c:v>6382835.9578270745</c:v>
                </c:pt>
                <c:pt idx="42">
                  <c:v>7118049.1198525634</c:v>
                </c:pt>
                <c:pt idx="43">
                  <c:v>6559336.0869305413</c:v>
                </c:pt>
                <c:pt idx="44">
                  <c:v>5578962.0305964015</c:v>
                </c:pt>
                <c:pt idx="45">
                  <c:v>5153415.156241239</c:v>
                </c:pt>
                <c:pt idx="46">
                  <c:v>5140839.870752953</c:v>
                </c:pt>
                <c:pt idx="47">
                  <c:v>5435911.5977635086</c:v>
                </c:pt>
                <c:pt idx="48">
                  <c:v>5731939.4442237746</c:v>
                </c:pt>
                <c:pt idx="49">
                  <c:v>5288814.8620550148</c:v>
                </c:pt>
                <c:pt idx="50">
                  <c:v>5578008.3017610069</c:v>
                </c:pt>
                <c:pt idx="51">
                  <c:v>5151120.774575416</c:v>
                </c:pt>
                <c:pt idx="52">
                  <c:v>5423795.7144559138</c:v>
                </c:pt>
                <c:pt idx="53">
                  <c:v>5819129.7356781708</c:v>
                </c:pt>
                <c:pt idx="54">
                  <c:v>6365784.4325457644</c:v>
                </c:pt>
                <c:pt idx="55">
                  <c:v>6212999.889886952</c:v>
                </c:pt>
                <c:pt idx="56">
                  <c:v>5635233.8218801301</c:v>
                </c:pt>
                <c:pt idx="57">
                  <c:v>5244110.3430482503</c:v>
                </c:pt>
                <c:pt idx="58">
                  <c:v>5278519.5614520842</c:v>
                </c:pt>
                <c:pt idx="59">
                  <c:v>5836114.3315690635</c:v>
                </c:pt>
                <c:pt idx="60">
                  <c:v>6160076.9121971037</c:v>
                </c:pt>
                <c:pt idx="61">
                  <c:v>5583527.4099679338</c:v>
                </c:pt>
                <c:pt idx="62">
                  <c:v>5765002.1393458238</c:v>
                </c:pt>
                <c:pt idx="63">
                  <c:v>5047184.9055247335</c:v>
                </c:pt>
                <c:pt idx="64">
                  <c:v>5341469.543139304</c:v>
                </c:pt>
                <c:pt idx="65">
                  <c:v>5873777.4547528643</c:v>
                </c:pt>
                <c:pt idx="66">
                  <c:v>6167201.5336482739</c:v>
                </c:pt>
                <c:pt idx="67">
                  <c:v>6189372.2861325433</c:v>
                </c:pt>
                <c:pt idx="68">
                  <c:v>5434281.2694790848</c:v>
                </c:pt>
                <c:pt idx="69">
                  <c:v>5094540.9732233444</c:v>
                </c:pt>
                <c:pt idx="70">
                  <c:v>5321955.4914958244</c:v>
                </c:pt>
                <c:pt idx="71">
                  <c:v>5607365.7681212937</c:v>
                </c:pt>
                <c:pt idx="72">
                  <c:v>6138654.8951223567</c:v>
                </c:pt>
                <c:pt idx="73">
                  <c:v>5764948.0921516865</c:v>
                </c:pt>
                <c:pt idx="74">
                  <c:v>5877289.8461922556</c:v>
                </c:pt>
                <c:pt idx="75">
                  <c:v>5256653.9320181254</c:v>
                </c:pt>
                <c:pt idx="76">
                  <c:v>5523884.798593577</c:v>
                </c:pt>
                <c:pt idx="77">
                  <c:v>5811463.5627860669</c:v>
                </c:pt>
                <c:pt idx="78">
                  <c:v>6564410.1322790775</c:v>
                </c:pt>
                <c:pt idx="79">
                  <c:v>6616646.7096852958</c:v>
                </c:pt>
                <c:pt idx="80">
                  <c:v>5977507.3728412967</c:v>
                </c:pt>
                <c:pt idx="81">
                  <c:v>5373712.4503277764</c:v>
                </c:pt>
                <c:pt idx="82">
                  <c:v>5197735.0653956272</c:v>
                </c:pt>
                <c:pt idx="83">
                  <c:v>5436965.1526454762</c:v>
                </c:pt>
                <c:pt idx="84">
                  <c:v>5983744.549699422</c:v>
                </c:pt>
                <c:pt idx="85">
                  <c:v>5658701.1016067518</c:v>
                </c:pt>
                <c:pt idx="86">
                  <c:v>5678484.0661395518</c:v>
                </c:pt>
                <c:pt idx="87">
                  <c:v>5378274.8715852015</c:v>
                </c:pt>
                <c:pt idx="88">
                  <c:v>5803384.3939025514</c:v>
                </c:pt>
                <c:pt idx="89">
                  <c:v>6352911.127959162</c:v>
                </c:pt>
                <c:pt idx="90">
                  <c:v>7269290.879378682</c:v>
                </c:pt>
                <c:pt idx="91">
                  <c:v>7280187.7522718124</c:v>
                </c:pt>
                <c:pt idx="92">
                  <c:v>6265768.1113566319</c:v>
                </c:pt>
                <c:pt idx="93">
                  <c:v>5606718.2255126815</c:v>
                </c:pt>
                <c:pt idx="94">
                  <c:v>5380493.1643636916</c:v>
                </c:pt>
                <c:pt idx="95">
                  <c:v>5942778.7041338421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E-476D-AA6A-72D645E39482}"/>
            </c:ext>
          </c:extLst>
        </c:ser>
        <c:ser>
          <c:idx val="1"/>
          <c:order val="1"/>
          <c:tx>
            <c:strRef>
              <c:f>'GS &lt; 50 Normalized Monthly'!$T$1</c:f>
              <c:strCache>
                <c:ptCount val="1"/>
                <c:pt idx="0">
                  <c:v>Normalized kWh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 &lt; 50 Normalized Monthly'!$T$2:$T$121</c:f>
              <c:numCache>
                <c:formatCode>_(* #,##0_);_(* \(#,##0\);_(* "-"??_);_(@_)</c:formatCode>
                <c:ptCount val="120"/>
                <c:pt idx="0">
                  <c:v>5956684.499393574</c:v>
                </c:pt>
                <c:pt idx="1">
                  <c:v>5397481.6572903488</c:v>
                </c:pt>
                <c:pt idx="2">
                  <c:v>5559390.063164602</c:v>
                </c:pt>
                <c:pt idx="3">
                  <c:v>5067159.0637623947</c:v>
                </c:pt>
                <c:pt idx="4">
                  <c:v>5360350.1172171868</c:v>
                </c:pt>
                <c:pt idx="5">
                  <c:v>5970280.8872591173</c:v>
                </c:pt>
                <c:pt idx="6">
                  <c:v>6572619.1308250129</c:v>
                </c:pt>
                <c:pt idx="7">
                  <c:v>6417073.3825406721</c:v>
                </c:pt>
                <c:pt idx="8">
                  <c:v>5622360.5286823623</c:v>
                </c:pt>
                <c:pt idx="9">
                  <c:v>5240505.6209510034</c:v>
                </c:pt>
                <c:pt idx="10">
                  <c:v>5217116.7569533866</c:v>
                </c:pt>
                <c:pt idx="11">
                  <c:v>5631707.299553372</c:v>
                </c:pt>
                <c:pt idx="12">
                  <c:v>5903070.5586303249</c:v>
                </c:pt>
                <c:pt idx="13">
                  <c:v>5374667.2144123707</c:v>
                </c:pt>
                <c:pt idx="14">
                  <c:v>5563952.9517401978</c:v>
                </c:pt>
                <c:pt idx="15">
                  <c:v>5087692.0623525754</c:v>
                </c:pt>
                <c:pt idx="16">
                  <c:v>5392290.3372463565</c:v>
                </c:pt>
                <c:pt idx="17">
                  <c:v>6018191.2173028719</c:v>
                </c:pt>
                <c:pt idx="18">
                  <c:v>6618248.0165809691</c:v>
                </c:pt>
                <c:pt idx="19">
                  <c:v>6454717.2132893372</c:v>
                </c:pt>
                <c:pt idx="20">
                  <c:v>5644034.2494164407</c:v>
                </c:pt>
                <c:pt idx="21">
                  <c:v>5245068.5095265992</c:v>
                </c:pt>
                <c:pt idx="22">
                  <c:v>5203428.0912265992</c:v>
                </c:pt>
                <c:pt idx="23">
                  <c:v>5607752.1345314942</c:v>
                </c:pt>
                <c:pt idx="24">
                  <c:v>5924744.2793644043</c:v>
                </c:pt>
                <c:pt idx="25">
                  <c:v>5388355.8801391581</c:v>
                </c:pt>
                <c:pt idx="26">
                  <c:v>5587908.1167620756</c:v>
                </c:pt>
                <c:pt idx="27">
                  <c:v>5058033.2866112031</c:v>
                </c:pt>
                <c:pt idx="28">
                  <c:v>5355787.2286415901</c:v>
                </c:pt>
                <c:pt idx="29">
                  <c:v>5973703.0536908135</c:v>
                </c:pt>
                <c:pt idx="30">
                  <c:v>6610262.9615736771</c:v>
                </c:pt>
                <c:pt idx="31">
                  <c:v>6458139.3797210343</c:v>
                </c:pt>
                <c:pt idx="32">
                  <c:v>5637189.9165530484</c:v>
                </c:pt>
                <c:pt idx="33">
                  <c:v>5239364.8988071047</c:v>
                </c:pt>
                <c:pt idx="34">
                  <c:v>5225101.8119606785</c:v>
                </c:pt>
                <c:pt idx="35">
                  <c:v>5653381.0202874513</c:v>
                </c:pt>
                <c:pt idx="36">
                  <c:v>5933870.0565155959</c:v>
                </c:pt>
                <c:pt idx="37">
                  <c:v>5557283.1899210215</c:v>
                </c:pt>
                <c:pt idx="38">
                  <c:v>5623270.5032229424</c:v>
                </c:pt>
                <c:pt idx="39">
                  <c:v>5133320.9481085325</c:v>
                </c:pt>
                <c:pt idx="40">
                  <c:v>5429934.1679950207</c:v>
                </c:pt>
                <c:pt idx="41">
                  <c:v>6044427.826612547</c:v>
                </c:pt>
                <c:pt idx="42">
                  <c:v>6676424.8459198149</c:v>
                </c:pt>
                <c:pt idx="43">
                  <c:v>6530004.8747866666</c:v>
                </c:pt>
                <c:pt idx="44">
                  <c:v>5737573.4652161542</c:v>
                </c:pt>
                <c:pt idx="45">
                  <c:v>5335185.5588946147</c:v>
                </c:pt>
                <c:pt idx="46">
                  <c:v>5302670.9177458063</c:v>
                </c:pt>
                <c:pt idx="47">
                  <c:v>5692165.5731800152</c:v>
                </c:pt>
                <c:pt idx="48">
                  <c:v>5952121.6108179782</c:v>
                </c:pt>
                <c:pt idx="49">
                  <c:v>5428281.1551756207</c:v>
                </c:pt>
                <c:pt idx="50">
                  <c:v>5633537.0025180327</c:v>
                </c:pt>
                <c:pt idx="51">
                  <c:v>5156135.3909865115</c:v>
                </c:pt>
                <c:pt idx="52">
                  <c:v>5463015.1101680901</c:v>
                </c:pt>
                <c:pt idx="53">
                  <c:v>6086634.545936808</c:v>
                </c:pt>
                <c:pt idx="54">
                  <c:v>6712927.9545245804</c:v>
                </c:pt>
                <c:pt idx="55">
                  <c:v>6547115.7069451502</c:v>
                </c:pt>
                <c:pt idx="56">
                  <c:v>5711336.8559064781</c:v>
                </c:pt>
                <c:pt idx="57">
                  <c:v>5315793.2824483328</c:v>
                </c:pt>
                <c:pt idx="58">
                  <c:v>5292404.418450715</c:v>
                </c:pt>
                <c:pt idx="59">
                  <c:v>5734372.2925042752</c:v>
                </c:pt>
                <c:pt idx="60">
                  <c:v>6020564.9394519143</c:v>
                </c:pt>
                <c:pt idx="61">
                  <c:v>5479613.6516510723</c:v>
                </c:pt>
                <c:pt idx="62">
                  <c:v>5667758.6668349998</c:v>
                </c:pt>
                <c:pt idx="63">
                  <c:v>5139024.5588280279</c:v>
                </c:pt>
                <c:pt idx="64">
                  <c:v>5431074.8901389204</c:v>
                </c:pt>
                <c:pt idx="65">
                  <c:v>6029598.4387418618</c:v>
                </c:pt>
                <c:pt idx="66">
                  <c:v>6678706.2902076133</c:v>
                </c:pt>
                <c:pt idx="67">
                  <c:v>6524301.2640671721</c:v>
                </c:pt>
                <c:pt idx="68">
                  <c:v>5734151.2987844571</c:v>
                </c:pt>
                <c:pt idx="69">
                  <c:v>5344311.3360458063</c:v>
                </c:pt>
                <c:pt idx="70">
                  <c:v>5322063.1941920873</c:v>
                </c:pt>
                <c:pt idx="71">
                  <c:v>5756046.0132383555</c:v>
                </c:pt>
                <c:pt idx="72">
                  <c:v>6045660.8266176907</c:v>
                </c:pt>
                <c:pt idx="73">
                  <c:v>5529805.4259826252</c:v>
                </c:pt>
                <c:pt idx="74">
                  <c:v>5709965.3861592608</c:v>
                </c:pt>
                <c:pt idx="75">
                  <c:v>5199482.8324546712</c:v>
                </c:pt>
                <c:pt idx="76">
                  <c:v>5521191.939506935</c:v>
                </c:pt>
                <c:pt idx="77">
                  <c:v>6177892.3174487222</c:v>
                </c:pt>
                <c:pt idx="78">
                  <c:v>6806467.170324293</c:v>
                </c:pt>
                <c:pt idx="79">
                  <c:v>6596166.7591328043</c:v>
                </c:pt>
                <c:pt idx="80">
                  <c:v>5735292.0209283559</c:v>
                </c:pt>
                <c:pt idx="81">
                  <c:v>5307808.2274410399</c:v>
                </c:pt>
                <c:pt idx="82">
                  <c:v>5275293.5862922315</c:v>
                </c:pt>
                <c:pt idx="83">
                  <c:v>5688743.4067483181</c:v>
                </c:pt>
                <c:pt idx="84">
                  <c:v>5996609.7744300365</c:v>
                </c:pt>
                <c:pt idx="85">
                  <c:v>5643978.0728573408</c:v>
                </c:pt>
                <c:pt idx="86">
                  <c:v>5717950.4411665536</c:v>
                </c:pt>
                <c:pt idx="87">
                  <c:v>5232563.7746277396</c:v>
                </c:pt>
                <c:pt idx="88">
                  <c:v>5555413.603823903</c:v>
                </c:pt>
                <c:pt idx="89">
                  <c:v>6209832.5374778919</c:v>
                </c:pt>
                <c:pt idx="90">
                  <c:v>6864643.9996631388</c:v>
                </c:pt>
                <c:pt idx="91">
                  <c:v>6720505.4728177879</c:v>
                </c:pt>
                <c:pt idx="92">
                  <c:v>5892711.6767864078</c:v>
                </c:pt>
                <c:pt idx="93">
                  <c:v>5468650.0497307889</c:v>
                </c:pt>
                <c:pt idx="94">
                  <c:v>5392787.9671138208</c:v>
                </c:pt>
                <c:pt idx="95">
                  <c:v>5772016.1232529404</c:v>
                </c:pt>
                <c:pt idx="96">
                  <c:v>6020479.3852911219</c:v>
                </c:pt>
                <c:pt idx="97">
                  <c:v>5518466.6478722701</c:v>
                </c:pt>
                <c:pt idx="98">
                  <c:v>5742097.2475086059</c:v>
                </c:pt>
                <c:pt idx="99">
                  <c:v>5257095.5746933585</c:v>
                </c:pt>
                <c:pt idx="100">
                  <c:v>5580376.5968599152</c:v>
                </c:pt>
                <c:pt idx="101">
                  <c:v>6235503.9189652661</c:v>
                </c:pt>
                <c:pt idx="102">
                  <c:v>6890808.1731166765</c:v>
                </c:pt>
                <c:pt idx="103">
                  <c:v>6746946.8417522935</c:v>
                </c:pt>
                <c:pt idx="104">
                  <c:v>5918968.2487336015</c:v>
                </c:pt>
                <c:pt idx="105">
                  <c:v>5494706.4249417279</c:v>
                </c:pt>
                <c:pt idx="106">
                  <c:v>5418274.5516138831</c:v>
                </c:pt>
                <c:pt idx="107">
                  <c:v>5797040.7152847238</c:v>
                </c:pt>
                <c:pt idx="108">
                  <c:v>6036159.288462786</c:v>
                </c:pt>
                <c:pt idx="109">
                  <c:v>5534247.7117095571</c:v>
                </c:pt>
                <c:pt idx="110">
                  <c:v>5757959.2398783928</c:v>
                </c:pt>
                <c:pt idx="111">
                  <c:v>5273210.468727204</c:v>
                </c:pt>
                <c:pt idx="112">
                  <c:v>5596774.7407575073</c:v>
                </c:pt>
                <c:pt idx="113">
                  <c:v>6252367.4019247256</c:v>
                </c:pt>
                <c:pt idx="114">
                  <c:v>6907995.3702061325</c:v>
                </c:pt>
                <c:pt idx="115">
                  <c:v>6764316.1280398723</c:v>
                </c:pt>
                <c:pt idx="116">
                  <c:v>5936216.1422224324</c:v>
                </c:pt>
                <c:pt idx="117">
                  <c:v>5511822.809565248</c:v>
                </c:pt>
                <c:pt idx="118">
                  <c:v>5435016.6417745948</c:v>
                </c:pt>
                <c:pt idx="119">
                  <c:v>5813479.3234485649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E-476D-AA6A-72D645E3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321144"/>
        <c:axId val="814320752"/>
      </c:lineChart>
      <c:dateAx>
        <c:axId val="8143211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814320752"/>
        <c:crosses val="autoZero"/>
        <c:auto val="1"/>
        <c:lblOffset val="100"/>
        <c:baseTimeUnit val="months"/>
      </c:dateAx>
      <c:valAx>
        <c:axId val="814320752"/>
        <c:scaling>
          <c:orientation val="minMax"/>
          <c:min val="4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14321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Normalized Monthly'!$C$1</c:f>
              <c:strCache>
                <c:ptCount val="1"/>
                <c:pt idx="0">
                  <c:v> Gross_GSgt50 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 &gt; 50 Normalized Monthly'!$C$2:$C$97</c:f>
              <c:numCache>
                <c:formatCode>_(* #,##0_);_(* \(#,##0\);_(* "-"??_);_(@_)</c:formatCode>
                <c:ptCount val="96"/>
                <c:pt idx="0">
                  <c:v>14097033.012462217</c:v>
                </c:pt>
                <c:pt idx="1">
                  <c:v>12607538.392457418</c:v>
                </c:pt>
                <c:pt idx="2">
                  <c:v>13429022.116557317</c:v>
                </c:pt>
                <c:pt idx="3">
                  <c:v>12281549.857111618</c:v>
                </c:pt>
                <c:pt idx="4">
                  <c:v>12599585.861056818</c:v>
                </c:pt>
                <c:pt idx="5">
                  <c:v>13567319.355545716</c:v>
                </c:pt>
                <c:pt idx="6">
                  <c:v>14350399.872788418</c:v>
                </c:pt>
                <c:pt idx="7">
                  <c:v>15846869.236809116</c:v>
                </c:pt>
                <c:pt idx="8">
                  <c:v>14340385.521492418</c:v>
                </c:pt>
                <c:pt idx="9">
                  <c:v>14535093.861762017</c:v>
                </c:pt>
                <c:pt idx="10">
                  <c:v>13933768.375684015</c:v>
                </c:pt>
                <c:pt idx="11">
                  <c:v>13861683.743107518</c:v>
                </c:pt>
                <c:pt idx="12">
                  <c:v>14179965.938707981</c:v>
                </c:pt>
                <c:pt idx="13">
                  <c:v>12772387.686685381</c:v>
                </c:pt>
                <c:pt idx="14">
                  <c:v>13777421.092791181</c:v>
                </c:pt>
                <c:pt idx="15">
                  <c:v>12131054.106289882</c:v>
                </c:pt>
                <c:pt idx="16">
                  <c:v>12960765.690806882</c:v>
                </c:pt>
                <c:pt idx="17">
                  <c:v>14889407.58055778</c:v>
                </c:pt>
                <c:pt idx="18">
                  <c:v>15844471.30334268</c:v>
                </c:pt>
                <c:pt idx="19">
                  <c:v>16457809.899910983</c:v>
                </c:pt>
                <c:pt idx="20">
                  <c:v>13945593.812022582</c:v>
                </c:pt>
                <c:pt idx="21">
                  <c:v>13680357.311501181</c:v>
                </c:pt>
                <c:pt idx="22">
                  <c:v>13943764.881368984</c:v>
                </c:pt>
                <c:pt idx="23">
                  <c:v>13816144.317732083</c:v>
                </c:pt>
                <c:pt idx="24">
                  <c:v>14300120.531601261</c:v>
                </c:pt>
                <c:pt idx="25">
                  <c:v>12823986.900859961</c:v>
                </c:pt>
                <c:pt idx="26">
                  <c:v>13729652.925076362</c:v>
                </c:pt>
                <c:pt idx="27">
                  <c:v>12372493.118964862</c:v>
                </c:pt>
                <c:pt idx="28">
                  <c:v>12952023.395882361</c:v>
                </c:pt>
                <c:pt idx="29">
                  <c:v>13742572.92912866</c:v>
                </c:pt>
                <c:pt idx="30">
                  <c:v>15283419.080539763</c:v>
                </c:pt>
                <c:pt idx="31">
                  <c:v>16123689.71845906</c:v>
                </c:pt>
                <c:pt idx="32">
                  <c:v>15052993.327057259</c:v>
                </c:pt>
                <c:pt idx="33">
                  <c:v>14491842.224375563</c:v>
                </c:pt>
                <c:pt idx="34">
                  <c:v>14078651.005573262</c:v>
                </c:pt>
                <c:pt idx="35">
                  <c:v>12838425.441282462</c:v>
                </c:pt>
                <c:pt idx="36">
                  <c:v>13787865.393137159</c:v>
                </c:pt>
                <c:pt idx="37">
                  <c:v>12675359.092876958</c:v>
                </c:pt>
                <c:pt idx="38">
                  <c:v>12781827.774171758</c:v>
                </c:pt>
                <c:pt idx="39">
                  <c:v>11400354.174002958</c:v>
                </c:pt>
                <c:pt idx="40">
                  <c:v>12880130.856031761</c:v>
                </c:pt>
                <c:pt idx="41">
                  <c:v>14743265.379287858</c:v>
                </c:pt>
                <c:pt idx="42">
                  <c:v>14959296.897546859</c:v>
                </c:pt>
                <c:pt idx="43">
                  <c:v>15427464.10820546</c:v>
                </c:pt>
                <c:pt idx="44">
                  <c:v>13989318.161179857</c:v>
                </c:pt>
                <c:pt idx="45">
                  <c:v>14174576.273356561</c:v>
                </c:pt>
                <c:pt idx="46">
                  <c:v>14174334.11660606</c:v>
                </c:pt>
                <c:pt idx="47">
                  <c:v>12910330.309349159</c:v>
                </c:pt>
                <c:pt idx="48">
                  <c:v>13849091.99800721</c:v>
                </c:pt>
                <c:pt idx="49">
                  <c:v>12913536.665801208</c:v>
                </c:pt>
                <c:pt idx="50">
                  <c:v>13644930.137241308</c:v>
                </c:pt>
                <c:pt idx="51">
                  <c:v>12517016.774652008</c:v>
                </c:pt>
                <c:pt idx="52">
                  <c:v>13122967.337625708</c:v>
                </c:pt>
                <c:pt idx="53">
                  <c:v>13706309.307653708</c:v>
                </c:pt>
                <c:pt idx="54">
                  <c:v>14308336.935974209</c:v>
                </c:pt>
                <c:pt idx="55">
                  <c:v>14823345.522277808</c:v>
                </c:pt>
                <c:pt idx="56">
                  <c:v>17407710.791521009</c:v>
                </c:pt>
                <c:pt idx="57">
                  <c:v>14654921.464652408</c:v>
                </c:pt>
                <c:pt idx="58">
                  <c:v>14053596.57630801</c:v>
                </c:pt>
                <c:pt idx="59">
                  <c:v>14070719.674795508</c:v>
                </c:pt>
                <c:pt idx="60">
                  <c:v>14875645.707828557</c:v>
                </c:pt>
                <c:pt idx="61">
                  <c:v>13682562.631763957</c:v>
                </c:pt>
                <c:pt idx="62">
                  <c:v>14325269.380689258</c:v>
                </c:pt>
                <c:pt idx="63">
                  <c:v>12347342.329740856</c:v>
                </c:pt>
                <c:pt idx="64">
                  <c:v>13027047.197540756</c:v>
                </c:pt>
                <c:pt idx="65">
                  <c:v>14734221.274116758</c:v>
                </c:pt>
                <c:pt idx="66">
                  <c:v>14543861.212159758</c:v>
                </c:pt>
                <c:pt idx="67">
                  <c:v>15553654.723300757</c:v>
                </c:pt>
                <c:pt idx="68">
                  <c:v>15488003.303288059</c:v>
                </c:pt>
                <c:pt idx="69">
                  <c:v>14136513.320189355</c:v>
                </c:pt>
                <c:pt idx="70">
                  <c:v>14316064.015974456</c:v>
                </c:pt>
                <c:pt idx="71">
                  <c:v>14393324.346090155</c:v>
                </c:pt>
                <c:pt idx="72">
                  <c:v>15177771.982996177</c:v>
                </c:pt>
                <c:pt idx="73">
                  <c:v>13603697.950717775</c:v>
                </c:pt>
                <c:pt idx="74">
                  <c:v>14133898.267234076</c:v>
                </c:pt>
                <c:pt idx="75">
                  <c:v>13435674.575831477</c:v>
                </c:pt>
                <c:pt idx="76">
                  <c:v>14011800.138445877</c:v>
                </c:pt>
                <c:pt idx="77">
                  <c:v>14704464.368572976</c:v>
                </c:pt>
                <c:pt idx="78">
                  <c:v>17048932.617466077</c:v>
                </c:pt>
                <c:pt idx="79">
                  <c:v>17102513.859410278</c:v>
                </c:pt>
                <c:pt idx="80">
                  <c:v>17704161.987049073</c:v>
                </c:pt>
                <c:pt idx="81">
                  <c:v>15731209.866388276</c:v>
                </c:pt>
                <c:pt idx="82">
                  <c:v>15114579.494740076</c:v>
                </c:pt>
                <c:pt idx="83">
                  <c:v>14249803.554450776</c:v>
                </c:pt>
                <c:pt idx="84">
                  <c:v>15169746.811950468</c:v>
                </c:pt>
                <c:pt idx="85">
                  <c:v>14769186.220313367</c:v>
                </c:pt>
                <c:pt idx="86">
                  <c:v>14860679.595221367</c:v>
                </c:pt>
                <c:pt idx="87">
                  <c:v>14541974.589204766</c:v>
                </c:pt>
                <c:pt idx="88">
                  <c:v>15021598.285015468</c:v>
                </c:pt>
                <c:pt idx="89">
                  <c:v>16752273.439745067</c:v>
                </c:pt>
                <c:pt idx="90">
                  <c:v>18719740.134575665</c:v>
                </c:pt>
                <c:pt idx="91">
                  <c:v>20897368.232487865</c:v>
                </c:pt>
                <c:pt idx="92">
                  <c:v>20018808.978007965</c:v>
                </c:pt>
                <c:pt idx="93">
                  <c:v>17604410.628520165</c:v>
                </c:pt>
                <c:pt idx="94">
                  <c:v>16645874.179800866</c:v>
                </c:pt>
                <c:pt idx="95">
                  <c:v>16217008.323777767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1-4E69-89A1-E1BFD368D3D0}"/>
            </c:ext>
          </c:extLst>
        </c:ser>
        <c:ser>
          <c:idx val="1"/>
          <c:order val="1"/>
          <c:tx>
            <c:strRef>
              <c:f>'GS &gt; 50 Normalized Monthly'!$Z$1</c:f>
              <c:strCache>
                <c:ptCount val="1"/>
                <c:pt idx="0">
                  <c:v>Normalized kWh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'GS &gt; 50 Normalized Monthly'!$Z$2:$Z$121</c:f>
              <c:numCache>
                <c:formatCode>_(* #,##0_);_(* \(#,##0\);_(* "-"??_);_(@_)</c:formatCode>
                <c:ptCount val="120"/>
                <c:pt idx="0">
                  <c:v>14192716.302433945</c:v>
                </c:pt>
                <c:pt idx="1">
                  <c:v>13511781.147443101</c:v>
                </c:pt>
                <c:pt idx="2">
                  <c:v>12339740.64906073</c:v>
                </c:pt>
                <c:pt idx="3">
                  <c:v>12172823.613324899</c:v>
                </c:pt>
                <c:pt idx="4">
                  <c:v>12102647.767719815</c:v>
                </c:pt>
                <c:pt idx="5">
                  <c:v>13556668.307521423</c:v>
                </c:pt>
                <c:pt idx="6">
                  <c:v>14247408.272489142</c:v>
                </c:pt>
                <c:pt idx="7">
                  <c:v>15876605.367133832</c:v>
                </c:pt>
                <c:pt idx="8">
                  <c:v>13110392.269426478</c:v>
                </c:pt>
                <c:pt idx="9">
                  <c:v>12358107.269206656</c:v>
                </c:pt>
                <c:pt idx="10">
                  <c:v>13915217.59294348</c:v>
                </c:pt>
                <c:pt idx="11">
                  <c:v>13325104.134190623</c:v>
                </c:pt>
                <c:pt idx="12">
                  <c:v>13344939.032053584</c:v>
                </c:pt>
                <c:pt idx="13">
                  <c:v>12282161.402680388</c:v>
                </c:pt>
                <c:pt idx="14">
                  <c:v>12527594.173445681</c:v>
                </c:pt>
                <c:pt idx="15">
                  <c:v>12376664.789974818</c:v>
                </c:pt>
                <c:pt idx="16">
                  <c:v>12643705.383159023</c:v>
                </c:pt>
                <c:pt idx="17">
                  <c:v>13708277.697856683</c:v>
                </c:pt>
                <c:pt idx="18">
                  <c:v>14635651.283093231</c:v>
                </c:pt>
                <c:pt idx="19">
                  <c:v>15496662.281538716</c:v>
                </c:pt>
                <c:pt idx="20">
                  <c:v>12967858.954921965</c:v>
                </c:pt>
                <c:pt idx="21">
                  <c:v>12697999.247604951</c:v>
                </c:pt>
                <c:pt idx="22">
                  <c:v>12955370.999212198</c:v>
                </c:pt>
                <c:pt idx="23">
                  <c:v>13354089.604662409</c:v>
                </c:pt>
                <c:pt idx="24">
                  <c:v>13962597.98761579</c:v>
                </c:pt>
                <c:pt idx="25">
                  <c:v>12891826.532110112</c:v>
                </c:pt>
                <c:pt idx="26">
                  <c:v>13263375.90143686</c:v>
                </c:pt>
                <c:pt idx="27">
                  <c:v>12718497.145427549</c:v>
                </c:pt>
                <c:pt idx="28">
                  <c:v>12935246.329351522</c:v>
                </c:pt>
                <c:pt idx="29">
                  <c:v>13991824.817916701</c:v>
                </c:pt>
                <c:pt idx="30">
                  <c:v>15238098.737212241</c:v>
                </c:pt>
                <c:pt idx="31">
                  <c:v>16284287.720433669</c:v>
                </c:pt>
                <c:pt idx="32">
                  <c:v>13680047.279926579</c:v>
                </c:pt>
                <c:pt idx="33">
                  <c:v>13114492.56612625</c:v>
                </c:pt>
                <c:pt idx="34">
                  <c:v>13370312.016089948</c:v>
                </c:pt>
                <c:pt idx="35">
                  <c:v>14147768.492635414</c:v>
                </c:pt>
                <c:pt idx="36">
                  <c:v>14133299.633503113</c:v>
                </c:pt>
                <c:pt idx="37">
                  <c:v>13137965.291887773</c:v>
                </c:pt>
                <c:pt idx="38">
                  <c:v>13018707.466768343</c:v>
                </c:pt>
                <c:pt idx="39">
                  <c:v>12615156.810763683</c:v>
                </c:pt>
                <c:pt idx="40">
                  <c:v>12924883.062486513</c:v>
                </c:pt>
                <c:pt idx="41">
                  <c:v>13804277.392408233</c:v>
                </c:pt>
                <c:pt idx="42">
                  <c:v>14915664.736188062</c:v>
                </c:pt>
                <c:pt idx="43">
                  <c:v>15953083.742455233</c:v>
                </c:pt>
                <c:pt idx="44">
                  <c:v>13507711.355861308</c:v>
                </c:pt>
                <c:pt idx="45">
                  <c:v>13060667.489900839</c:v>
                </c:pt>
                <c:pt idx="46">
                  <c:v>13537132.907868396</c:v>
                </c:pt>
                <c:pt idx="47">
                  <c:v>13776207.308583668</c:v>
                </c:pt>
                <c:pt idx="48">
                  <c:v>13661543.706341799</c:v>
                </c:pt>
                <c:pt idx="49">
                  <c:v>12682973.167813201</c:v>
                </c:pt>
                <c:pt idx="50">
                  <c:v>13096432.044856805</c:v>
                </c:pt>
                <c:pt idx="51">
                  <c:v>13089159.213855915</c:v>
                </c:pt>
                <c:pt idx="52">
                  <c:v>13170245.671442403</c:v>
                </c:pt>
                <c:pt idx="53">
                  <c:v>14370092.637066668</c:v>
                </c:pt>
                <c:pt idx="54">
                  <c:v>15388890.988458524</c:v>
                </c:pt>
                <c:pt idx="55">
                  <c:v>16283817.668488381</c:v>
                </c:pt>
                <c:pt idx="56">
                  <c:v>13824009.931273038</c:v>
                </c:pt>
                <c:pt idx="57">
                  <c:v>13325898.505230566</c:v>
                </c:pt>
                <c:pt idx="58">
                  <c:v>13869419.135545094</c:v>
                </c:pt>
                <c:pt idx="59">
                  <c:v>14747458.430611016</c:v>
                </c:pt>
                <c:pt idx="60">
                  <c:v>14724219.594524458</c:v>
                </c:pt>
                <c:pt idx="61">
                  <c:v>13518561.563503062</c:v>
                </c:pt>
                <c:pt idx="62">
                  <c:v>13907650.886738326</c:v>
                </c:pt>
                <c:pt idx="63">
                  <c:v>13219115.57825904</c:v>
                </c:pt>
                <c:pt idx="64">
                  <c:v>13495314.223808389</c:v>
                </c:pt>
                <c:pt idx="65">
                  <c:v>14409400.38613626</c:v>
                </c:pt>
                <c:pt idx="66">
                  <c:v>15545157.283724425</c:v>
                </c:pt>
                <c:pt idx="67">
                  <c:v>16523902.979187995</c:v>
                </c:pt>
                <c:pt idx="68">
                  <c:v>14247332.849694159</c:v>
                </c:pt>
                <c:pt idx="69">
                  <c:v>13943169.385381889</c:v>
                </c:pt>
                <c:pt idx="70">
                  <c:v>13836238.616515297</c:v>
                </c:pt>
                <c:pt idx="71">
                  <c:v>14706284.085448733</c:v>
                </c:pt>
                <c:pt idx="72">
                  <c:v>15012267.862018978</c:v>
                </c:pt>
                <c:pt idx="73">
                  <c:v>13991011.664951749</c:v>
                </c:pt>
                <c:pt idx="74">
                  <c:v>14169389.22337007</c:v>
                </c:pt>
                <c:pt idx="75">
                  <c:v>13716323.308926957</c:v>
                </c:pt>
                <c:pt idx="76">
                  <c:v>14109092.425261728</c:v>
                </c:pt>
                <c:pt idx="77">
                  <c:v>15450655.56630153</c:v>
                </c:pt>
                <c:pt idx="78">
                  <c:v>16486217.720780129</c:v>
                </c:pt>
                <c:pt idx="79">
                  <c:v>17206288.694631852</c:v>
                </c:pt>
                <c:pt idx="80">
                  <c:v>14764797.062146798</c:v>
                </c:pt>
                <c:pt idx="81">
                  <c:v>13727915.484863242</c:v>
                </c:pt>
                <c:pt idx="82">
                  <c:v>14204380.902830802</c:v>
                </c:pt>
                <c:pt idx="83">
                  <c:v>14822193.174641326</c:v>
                </c:pt>
                <c:pt idx="84">
                  <c:v>14958210.467878822</c:v>
                </c:pt>
                <c:pt idx="85">
                  <c:v>14088216.574003164</c:v>
                </c:pt>
                <c:pt idx="86">
                  <c:v>14635785.875740711</c:v>
                </c:pt>
                <c:pt idx="87">
                  <c:v>14569839.73393622</c:v>
                </c:pt>
                <c:pt idx="88">
                  <c:v>15072349.721156593</c:v>
                </c:pt>
                <c:pt idx="89">
                  <c:v>16397149.059109651</c:v>
                </c:pt>
                <c:pt idx="90">
                  <c:v>18892482.065863661</c:v>
                </c:pt>
                <c:pt idx="91">
                  <c:v>18527639.304426357</c:v>
                </c:pt>
                <c:pt idx="92">
                  <c:v>15923786.939330155</c:v>
                </c:pt>
                <c:pt idx="93">
                  <c:v>15317486.944045629</c:v>
                </c:pt>
                <c:pt idx="94">
                  <c:v>15424760.618693966</c:v>
                </c:pt>
                <c:pt idx="95">
                  <c:v>15689756.874861125</c:v>
                </c:pt>
                <c:pt idx="96">
                  <c:v>15608357.36871884</c:v>
                </c:pt>
                <c:pt idx="97">
                  <c:v>14739495.031551536</c:v>
                </c:pt>
                <c:pt idx="98">
                  <c:v>15237290.09398465</c:v>
                </c:pt>
                <c:pt idx="99">
                  <c:v>14971454.905266592</c:v>
                </c:pt>
                <c:pt idx="100">
                  <c:v>15375774.281928129</c:v>
                </c:pt>
                <c:pt idx="101">
                  <c:v>16655099.296068506</c:v>
                </c:pt>
                <c:pt idx="102">
                  <c:v>17836386.682840265</c:v>
                </c:pt>
                <c:pt idx="103">
                  <c:v>18943285.778940335</c:v>
                </c:pt>
                <c:pt idx="104">
                  <c:v>16338075.545794103</c:v>
                </c:pt>
                <c:pt idx="105">
                  <c:v>15780984.011459829</c:v>
                </c:pt>
                <c:pt idx="106">
                  <c:v>15833391.441616138</c:v>
                </c:pt>
                <c:pt idx="107">
                  <c:v>16094993.027658232</c:v>
                </c:pt>
                <c:pt idx="108">
                  <c:v>15864702.93408001</c:v>
                </c:pt>
                <c:pt idx="109">
                  <c:v>14996583.914418953</c:v>
                </c:pt>
                <c:pt idx="110">
                  <c:v>15494973.630857062</c:v>
                </c:pt>
                <c:pt idx="111">
                  <c:v>15230996.73590461</c:v>
                </c:pt>
                <c:pt idx="112">
                  <c:v>15637397.401583629</c:v>
                </c:pt>
                <c:pt idx="113">
                  <c:v>16920141.676252723</c:v>
                </c:pt>
                <c:pt idx="114">
                  <c:v>18103807.679044463</c:v>
                </c:pt>
                <c:pt idx="115">
                  <c:v>19212044.746655766</c:v>
                </c:pt>
                <c:pt idx="116">
                  <c:v>16605942.532502044</c:v>
                </c:pt>
                <c:pt idx="117">
                  <c:v>16047884.685409652</c:v>
                </c:pt>
                <c:pt idx="118">
                  <c:v>16097541.840792861</c:v>
                </c:pt>
                <c:pt idx="119">
                  <c:v>16356913.474316228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1-4E69-89A1-E1BFD368D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971168"/>
        <c:axId val="810427984"/>
      </c:lineChart>
      <c:dateAx>
        <c:axId val="6669711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810427984"/>
        <c:crosses val="autoZero"/>
        <c:auto val="1"/>
        <c:lblOffset val="100"/>
        <c:baseTimeUnit val="months"/>
      </c:dateAx>
      <c:valAx>
        <c:axId val="810427984"/>
        <c:scaling>
          <c:orientation val="minMax"/>
          <c:min val="1000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66697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447675</xdr:colOff>
      <xdr:row>7</xdr:row>
      <xdr:rowOff>114300</xdr:rowOff>
    </xdr:from>
    <xdr:to>
      <xdr:col>28</xdr:col>
      <xdr:colOff>219075</xdr:colOff>
      <xdr:row>24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6771E3-B9F8-4BCD-93BD-12D092DD4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514350</xdr:colOff>
      <xdr:row>13</xdr:row>
      <xdr:rowOff>28575</xdr:rowOff>
    </xdr:from>
    <xdr:to>
      <xdr:col>31</xdr:col>
      <xdr:colOff>285750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3695CB-A20C-4F37-B2A8-193F0F347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110490</xdr:colOff>
      <xdr:row>8</xdr:row>
      <xdr:rowOff>17145</xdr:rowOff>
    </xdr:from>
    <xdr:to>
      <xdr:col>35</xdr:col>
      <xdr:colOff>415290</xdr:colOff>
      <xdr:row>25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6C3E56-910D-493B-9A08-559BA557A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15</xdr:row>
      <xdr:rowOff>133350</xdr:rowOff>
    </xdr:from>
    <xdr:to>
      <xdr:col>9</xdr:col>
      <xdr:colOff>400050</xdr:colOff>
      <xdr:row>32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1136AF-A434-4FC2-A730-128CDD34E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600075</xdr:colOff>
      <xdr:row>34</xdr:row>
      <xdr:rowOff>38100</xdr:rowOff>
    </xdr:from>
    <xdr:to>
      <xdr:col>13</xdr:col>
      <xdr:colOff>190500</xdr:colOff>
      <xdr:row>51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36768-9065-48CD-991B-D3F63F876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160020</xdr:colOff>
      <xdr:row>15</xdr:row>
      <xdr:rowOff>91440</xdr:rowOff>
    </xdr:from>
    <xdr:to>
      <xdr:col>18</xdr:col>
      <xdr:colOff>180976</xdr:colOff>
      <xdr:row>32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3849CD-8F68-4467-BD98-187DBBC25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485775</xdr:colOff>
      <xdr:row>7</xdr:row>
      <xdr:rowOff>95250</xdr:rowOff>
    </xdr:from>
    <xdr:to>
      <xdr:col>29</xdr:col>
      <xdr:colOff>352425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B76ABC-C9EB-423F-AD1B-31557569B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514349</xdr:colOff>
      <xdr:row>13</xdr:row>
      <xdr:rowOff>28574</xdr:rowOff>
    </xdr:from>
    <xdr:to>
      <xdr:col>33</xdr:col>
      <xdr:colOff>447674</xdr:colOff>
      <xdr:row>33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5B7C40-7DCC-42DD-BBAE-B4E50BEB8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209550</xdr:colOff>
      <xdr:row>8</xdr:row>
      <xdr:rowOff>85725</xdr:rowOff>
    </xdr:from>
    <xdr:to>
      <xdr:col>36</xdr:col>
      <xdr:colOff>514350</xdr:colOff>
      <xdr:row>25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E0302A-4C0A-42DD-95BD-8B91D0EF8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7</xdr:col>
      <xdr:colOff>508636</xdr:colOff>
      <xdr:row>32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2E04DF-36A2-468C-A8F1-5BD6E68BA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16</xdr:col>
      <xdr:colOff>22860</xdr:colOff>
      <xdr:row>32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6C5AA33-B91A-485F-8B6B-2FEB52DFF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23</xdr:col>
      <xdr:colOff>419100</xdr:colOff>
      <xdr:row>32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1BCB638-7CCD-4431-9E5D-6396B455B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01"/>
  <sheetViews>
    <sheetView topLeftCell="H1" workbookViewId="0">
      <selection activeCell="P7" sqref="P7"/>
    </sheetView>
  </sheetViews>
  <sheetFormatPr defaultRowHeight="14.4" x14ac:dyDescent="0.3"/>
  <cols>
    <col min="1" max="2" width="13.5546875" style="86" customWidth="1"/>
    <col min="3" max="3" width="20" style="87" customWidth="1"/>
    <col min="4" max="7" width="14.33203125" style="87" customWidth="1"/>
    <col min="8" max="11" width="13.33203125" style="87" customWidth="1"/>
    <col min="12" max="12" width="12.5546875" style="87" customWidth="1"/>
    <col min="13" max="14" width="12.5546875" style="108" customWidth="1"/>
    <col min="15" max="15" width="10.5546875" style="108" customWidth="1"/>
    <col min="16" max="16" width="12.33203125" style="88" customWidth="1"/>
    <col min="17" max="17" width="12.5546875" style="87" customWidth="1"/>
    <col min="18" max="18" width="9.5546875" style="108" customWidth="1"/>
    <col min="19" max="19" width="12" style="88" customWidth="1"/>
    <col min="20" max="20" width="11.5546875" style="87" customWidth="1"/>
    <col min="21" max="21" width="9.5546875" style="108" customWidth="1"/>
    <col min="22" max="22" width="11.88671875" style="88" customWidth="1"/>
    <col min="23" max="23" width="10.109375" style="87" customWidth="1"/>
    <col min="24" max="24" width="8.88671875" style="108"/>
    <col min="25" max="25" width="12.33203125" style="88" customWidth="1"/>
    <col min="26" max="26" width="11.5546875" style="87" customWidth="1"/>
    <col min="27" max="27" width="12.109375" style="88" customWidth="1"/>
    <col min="28" max="28" width="14.33203125" style="87" customWidth="1"/>
    <col min="29" max="29" width="12.33203125" style="88" customWidth="1"/>
    <col min="30" max="30" width="10.5546875" style="87" customWidth="1"/>
    <col min="31" max="31" width="10.6640625" style="108" customWidth="1"/>
    <col min="32" max="32" width="12.44140625" style="88" customWidth="1"/>
    <col min="33" max="16384" width="8.88671875" style="90"/>
  </cols>
  <sheetData>
    <row r="1" spans="1:55" x14ac:dyDescent="0.3">
      <c r="A1" s="86" t="s">
        <v>27</v>
      </c>
      <c r="B1" s="86" t="s">
        <v>164</v>
      </c>
      <c r="C1" s="87" t="s">
        <v>0</v>
      </c>
      <c r="D1" s="87" t="s">
        <v>7</v>
      </c>
      <c r="E1" s="87" t="s">
        <v>146</v>
      </c>
      <c r="F1" s="87" t="s">
        <v>145</v>
      </c>
      <c r="G1" s="88" t="s">
        <v>151</v>
      </c>
      <c r="H1" s="87" t="s">
        <v>9</v>
      </c>
      <c r="I1" s="87" t="s">
        <v>147</v>
      </c>
      <c r="J1" s="87" t="s">
        <v>150</v>
      </c>
      <c r="K1" s="88" t="s">
        <v>154</v>
      </c>
      <c r="L1" s="87" t="s">
        <v>10</v>
      </c>
      <c r="M1" s="87" t="s">
        <v>148</v>
      </c>
      <c r="N1" s="110" t="s">
        <v>149</v>
      </c>
      <c r="O1" s="87" t="s">
        <v>11</v>
      </c>
      <c r="P1" s="88" t="s">
        <v>8</v>
      </c>
      <c r="Q1" s="87" t="s">
        <v>12</v>
      </c>
      <c r="R1" s="89" t="s">
        <v>13</v>
      </c>
      <c r="S1" s="88" t="s">
        <v>14</v>
      </c>
      <c r="T1" s="87" t="s">
        <v>15</v>
      </c>
      <c r="U1" s="89" t="s">
        <v>16</v>
      </c>
      <c r="V1" s="88" t="s">
        <v>17</v>
      </c>
      <c r="W1" s="87" t="s">
        <v>18</v>
      </c>
      <c r="X1" s="89" t="s">
        <v>19</v>
      </c>
      <c r="Y1" s="88" t="s">
        <v>20</v>
      </c>
      <c r="Z1" s="87" t="s">
        <v>21</v>
      </c>
      <c r="AA1" s="88" t="s">
        <v>22</v>
      </c>
      <c r="AB1" s="87" t="s">
        <v>23</v>
      </c>
      <c r="AC1" s="88" t="s">
        <v>142</v>
      </c>
      <c r="AD1" s="87" t="s">
        <v>24</v>
      </c>
      <c r="AE1" s="87" t="s">
        <v>25</v>
      </c>
      <c r="AF1" s="88" t="s">
        <v>26</v>
      </c>
      <c r="AG1" s="89" t="s">
        <v>28</v>
      </c>
      <c r="AH1" s="89" t="s">
        <v>29</v>
      </c>
      <c r="AI1" s="89" t="s">
        <v>127</v>
      </c>
      <c r="AJ1" s="89" t="s">
        <v>57</v>
      </c>
      <c r="AK1" s="129" t="s">
        <v>198</v>
      </c>
      <c r="AL1" s="90" t="s">
        <v>152</v>
      </c>
      <c r="AM1" s="90" t="s">
        <v>153</v>
      </c>
      <c r="AN1" s="90" t="s">
        <v>68</v>
      </c>
      <c r="AO1" s="89" t="s">
        <v>48</v>
      </c>
      <c r="AP1" s="89" t="s">
        <v>49</v>
      </c>
      <c r="AQ1" s="89" t="s">
        <v>50</v>
      </c>
      <c r="AR1" s="89" t="s">
        <v>51</v>
      </c>
      <c r="AS1" s="89" t="s">
        <v>34</v>
      </c>
      <c r="AT1" s="89" t="s">
        <v>35</v>
      </c>
      <c r="AU1" s="89" t="s">
        <v>36</v>
      </c>
      <c r="AV1" s="89" t="s">
        <v>37</v>
      </c>
      <c r="AW1" s="89" t="s">
        <v>52</v>
      </c>
      <c r="AX1" s="89" t="s">
        <v>53</v>
      </c>
      <c r="AY1" s="89" t="s">
        <v>54</v>
      </c>
      <c r="AZ1" s="89" t="s">
        <v>55</v>
      </c>
      <c r="BA1" s="89" t="s">
        <v>69</v>
      </c>
      <c r="BB1" s="89" t="s">
        <v>128</v>
      </c>
      <c r="BC1" s="89" t="s">
        <v>129</v>
      </c>
    </row>
    <row r="2" spans="1:55" x14ac:dyDescent="0.3">
      <c r="A2" s="91">
        <v>39814</v>
      </c>
      <c r="B2" s="92">
        <f>YEAR(A2)</f>
        <v>2009</v>
      </c>
      <c r="C2" s="93">
        <v>47165542.899999984</v>
      </c>
      <c r="D2" s="93">
        <v>22882790.014304265</v>
      </c>
      <c r="E2" s="93">
        <f ca="1">OFFSET('Historic CDM'!$C$64,0,(ROW()-ROW(E$2))/12)/12</f>
        <v>70738.169513998277</v>
      </c>
      <c r="F2" s="93">
        <f ca="1">D2+E2</f>
        <v>22953528.183818262</v>
      </c>
      <c r="G2" s="94">
        <v>25903</v>
      </c>
      <c r="H2" s="93">
        <v>6161944.602354954</v>
      </c>
      <c r="I2" s="93">
        <f ca="1">OFFSET('Historic CDM'!$C$76,0,(ROW()-ROW(E$2))/12)/12</f>
        <v>18655.339531500493</v>
      </c>
      <c r="J2" s="93">
        <f ca="1">H2+I2</f>
        <v>6180599.9418864548</v>
      </c>
      <c r="K2" s="88">
        <v>1878</v>
      </c>
      <c r="L2" s="93">
        <f>14205703.6065481-Q2</f>
        <v>14127567.5815481</v>
      </c>
      <c r="M2" s="95">
        <f ca="1">OFFSET('Historic CDM'!$C$88,0,(ROW()-ROW(E$2))/12)/12</f>
        <v>47601.455914117883</v>
      </c>
      <c r="N2" s="1">
        <f ca="1">L2+M2-Q2</f>
        <v>14097033.012462217</v>
      </c>
      <c r="O2" s="3">
        <f>36752.02-R2</f>
        <v>34519.119999999995</v>
      </c>
      <c r="P2" s="2">
        <f>226-S2</f>
        <v>225</v>
      </c>
      <c r="Q2" s="93">
        <v>78136.024999999994</v>
      </c>
      <c r="R2" s="95">
        <v>2232.9</v>
      </c>
      <c r="S2" s="94">
        <v>1</v>
      </c>
      <c r="T2" s="93">
        <v>611903.9270967741</v>
      </c>
      <c r="U2" s="96">
        <v>1461.74</v>
      </c>
      <c r="V2" s="97">
        <f>1091+2976+1882+1633</f>
        <v>7582</v>
      </c>
      <c r="W2" s="93">
        <v>33568.28</v>
      </c>
      <c r="X2" s="95">
        <v>73.575999999999993</v>
      </c>
      <c r="Y2" s="88">
        <v>174</v>
      </c>
      <c r="Z2" s="93">
        <v>129846</v>
      </c>
      <c r="AA2" s="88">
        <v>141</v>
      </c>
      <c r="AB2" s="93">
        <v>3225532</v>
      </c>
      <c r="AC2" s="94">
        <v>1</v>
      </c>
      <c r="AD2" s="93">
        <v>4183868.0474193553</v>
      </c>
      <c r="AE2" s="95">
        <v>8756.07</v>
      </c>
      <c r="AF2" s="94">
        <v>6</v>
      </c>
      <c r="AG2" s="90">
        <f>Weather!B170</f>
        <v>768.79999999999973</v>
      </c>
      <c r="AH2" s="90">
        <f>Weather!C170</f>
        <v>0</v>
      </c>
      <c r="AI2" s="90">
        <f>Employment!B2</f>
        <v>6506.5</v>
      </c>
      <c r="AJ2" s="90">
        <f>Employment!C2</f>
        <v>151.5</v>
      </c>
      <c r="AK2" s="130">
        <v>539388</v>
      </c>
      <c r="AL2" s="98">
        <v>31</v>
      </c>
      <c r="AM2" s="90">
        <v>21</v>
      </c>
      <c r="AN2" s="90">
        <v>1</v>
      </c>
      <c r="AO2" s="90">
        <v>1</v>
      </c>
      <c r="AP2" s="90">
        <v>0</v>
      </c>
      <c r="AQ2" s="90">
        <v>0</v>
      </c>
      <c r="AR2" s="90">
        <v>0</v>
      </c>
      <c r="AS2" s="90">
        <v>0</v>
      </c>
      <c r="AT2" s="90">
        <v>0</v>
      </c>
      <c r="AU2" s="90">
        <v>0</v>
      </c>
      <c r="AV2" s="90">
        <v>0</v>
      </c>
      <c r="AW2" s="90">
        <v>0</v>
      </c>
      <c r="AX2" s="90">
        <v>0</v>
      </c>
      <c r="AY2" s="90">
        <v>0</v>
      </c>
      <c r="AZ2" s="90">
        <v>0</v>
      </c>
      <c r="BA2" s="90">
        <v>0</v>
      </c>
      <c r="BB2" s="90">
        <v>0</v>
      </c>
      <c r="BC2" s="90">
        <f>BA2+BB2</f>
        <v>0</v>
      </c>
    </row>
    <row r="3" spans="1:55" x14ac:dyDescent="0.3">
      <c r="A3" s="91">
        <v>39845</v>
      </c>
      <c r="B3" s="92">
        <f t="shared" ref="B3:B66" si="0">YEAR(A3)</f>
        <v>2009</v>
      </c>
      <c r="C3" s="93">
        <v>40422798.900000013</v>
      </c>
      <c r="D3" s="93">
        <v>19102194.603531875</v>
      </c>
      <c r="E3" s="93">
        <f ca="1">OFFSET('Historic CDM'!$C$64,0,(ROW()-ROW(E$2))/12)/12</f>
        <v>70738.169513998277</v>
      </c>
      <c r="F3" s="93">
        <f t="shared" ref="F3:F66" ca="1" si="1">D3+E3</f>
        <v>19172932.773045871</v>
      </c>
      <c r="G3" s="94">
        <v>25877</v>
      </c>
      <c r="H3" s="93">
        <v>5512592.1429945808</v>
      </c>
      <c r="I3" s="93">
        <f ca="1">OFFSET('Historic CDM'!$C$76,0,(ROW()-ROW(E$2))/12)/12</f>
        <v>18655.339531500493</v>
      </c>
      <c r="J3" s="93">
        <f t="shared" ref="J3:J66" ca="1" si="2">H3+I3</f>
        <v>5531247.4825260816</v>
      </c>
      <c r="K3" s="88">
        <v>1869</v>
      </c>
      <c r="L3" s="93">
        <f>12667056.6185433-Q3</f>
        <v>12613496.777543301</v>
      </c>
      <c r="M3" s="95">
        <f ca="1">OFFSET('Historic CDM'!$C$88,0,(ROW()-ROW(E$2))/12)/12</f>
        <v>47601.455914117883</v>
      </c>
      <c r="N3" s="1">
        <f ca="1">L3+M3-Q3</f>
        <v>12607538.392457418</v>
      </c>
      <c r="O3" s="3">
        <f>34022.73-R3</f>
        <v>33720.33</v>
      </c>
      <c r="P3" s="2">
        <f>238-S3</f>
        <v>237</v>
      </c>
      <c r="Q3" s="93">
        <v>53559.841</v>
      </c>
      <c r="R3" s="95">
        <v>302.39999999999998</v>
      </c>
      <c r="S3" s="94">
        <v>1</v>
      </c>
      <c r="T3" s="93">
        <v>552560.07999999996</v>
      </c>
      <c r="U3" s="96">
        <v>1461.82</v>
      </c>
      <c r="V3" s="97">
        <f>1092+2976+1882+1633</f>
        <v>7583</v>
      </c>
      <c r="W3" s="93">
        <v>34392.92</v>
      </c>
      <c r="X3" s="95">
        <v>73.575999999999993</v>
      </c>
      <c r="Y3" s="88">
        <v>174</v>
      </c>
      <c r="Z3" s="93">
        <v>129846</v>
      </c>
      <c r="AA3" s="88">
        <v>141</v>
      </c>
      <c r="AB3" s="93">
        <v>2535868</v>
      </c>
      <c r="AC3" s="94">
        <v>1</v>
      </c>
      <c r="AD3" s="93">
        <v>3596867.0031451606</v>
      </c>
      <c r="AE3" s="95">
        <v>8283.2199999999993</v>
      </c>
      <c r="AF3" s="94">
        <v>6</v>
      </c>
      <c r="AG3" s="90">
        <f>Weather!B171</f>
        <v>540</v>
      </c>
      <c r="AH3" s="90">
        <f>Weather!C171</f>
        <v>0</v>
      </c>
      <c r="AI3" s="90">
        <f>Employment!B3</f>
        <v>6436.2</v>
      </c>
      <c r="AJ3" s="90">
        <f>Employment!C3</f>
        <v>147.5</v>
      </c>
      <c r="AK3" s="130">
        <v>539388</v>
      </c>
      <c r="AL3" s="98">
        <v>28</v>
      </c>
      <c r="AM3" s="90">
        <v>19</v>
      </c>
      <c r="AN3" s="90">
        <v>2</v>
      </c>
      <c r="AO3" s="90">
        <v>0</v>
      </c>
      <c r="AP3" s="90">
        <v>1</v>
      </c>
      <c r="AQ3" s="90">
        <v>0</v>
      </c>
      <c r="AR3" s="90">
        <v>0</v>
      </c>
      <c r="AS3" s="90">
        <v>0</v>
      </c>
      <c r="AT3" s="90">
        <v>0</v>
      </c>
      <c r="AU3" s="90">
        <v>0</v>
      </c>
      <c r="AV3" s="90">
        <v>0</v>
      </c>
      <c r="AW3" s="90">
        <v>0</v>
      </c>
      <c r="AX3" s="90">
        <v>0</v>
      </c>
      <c r="AY3" s="90">
        <v>0</v>
      </c>
      <c r="AZ3" s="90">
        <v>0</v>
      </c>
      <c r="BA3" s="90">
        <v>0</v>
      </c>
      <c r="BB3" s="90">
        <v>0</v>
      </c>
      <c r="BC3" s="90">
        <f t="shared" ref="BC3:BC13" si="3">BA3+BB3</f>
        <v>0</v>
      </c>
    </row>
    <row r="4" spans="1:55" x14ac:dyDescent="0.3">
      <c r="A4" s="91">
        <v>39873</v>
      </c>
      <c r="B4" s="92">
        <f t="shared" si="0"/>
        <v>2009</v>
      </c>
      <c r="C4" s="93">
        <v>41655409.874999985</v>
      </c>
      <c r="D4" s="93">
        <v>18968326.196491014</v>
      </c>
      <c r="E4" s="93">
        <f ca="1">OFFSET('Historic CDM'!$C$64,0,(ROW()-ROW(E$2))/12)/12</f>
        <v>70738.169513998277</v>
      </c>
      <c r="F4" s="93">
        <f t="shared" ca="1" si="1"/>
        <v>19039064.366005011</v>
      </c>
      <c r="G4" s="94">
        <v>25892</v>
      </c>
      <c r="H4" s="93">
        <v>5659381.096828483</v>
      </c>
      <c r="I4" s="93">
        <f ca="1">OFFSET('Historic CDM'!$C$76,0,(ROW()-ROW(E$2))/12)/12</f>
        <v>18655.339531500493</v>
      </c>
      <c r="J4" s="93">
        <f t="shared" ca="1" si="2"/>
        <v>5678036.4363599839</v>
      </c>
      <c r="K4" s="88">
        <v>1877</v>
      </c>
      <c r="L4" s="93">
        <f>13381420.6606432-Q4</f>
        <v>13381420.660643199</v>
      </c>
      <c r="M4" s="95">
        <f ca="1">OFFSET('Historic CDM'!$C$88,0,(ROW()-ROW(E$2))/12)/12</f>
        <v>47601.455914117883</v>
      </c>
      <c r="N4" s="1">
        <f ca="1">L4+M4-Q4</f>
        <v>13429022.116557317</v>
      </c>
      <c r="O4" s="3">
        <f>33526.71-R4</f>
        <v>33526.71</v>
      </c>
      <c r="P4" s="2">
        <f>214-S4</f>
        <v>213</v>
      </c>
      <c r="Q4" s="93">
        <v>0</v>
      </c>
      <c r="R4" s="95">
        <v>0</v>
      </c>
      <c r="S4" s="94">
        <v>1</v>
      </c>
      <c r="T4" s="93">
        <v>515831.90064516128</v>
      </c>
      <c r="U4" s="96">
        <v>1464.67</v>
      </c>
      <c r="V4" s="97">
        <f>1094+2996+1882+1633</f>
        <v>7605</v>
      </c>
      <c r="W4" s="93">
        <v>33432.79</v>
      </c>
      <c r="X4" s="95">
        <v>73.575999999999993</v>
      </c>
      <c r="Y4" s="88">
        <v>174</v>
      </c>
      <c r="Z4" s="93">
        <v>129846</v>
      </c>
      <c r="AA4" s="88">
        <v>141</v>
      </c>
      <c r="AB4" s="93">
        <v>2739260</v>
      </c>
      <c r="AC4" s="94">
        <v>1</v>
      </c>
      <c r="AD4" s="93">
        <v>4022162.7087903237</v>
      </c>
      <c r="AE4" s="95">
        <v>8681.51</v>
      </c>
      <c r="AF4" s="94">
        <v>6</v>
      </c>
      <c r="AG4" s="90">
        <f>Weather!B172</f>
        <v>456.7999999999999</v>
      </c>
      <c r="AH4" s="90">
        <f>Weather!C172</f>
        <v>0</v>
      </c>
      <c r="AI4" s="90">
        <f>Employment!B4</f>
        <v>6363.8</v>
      </c>
      <c r="AJ4" s="90">
        <f>Employment!C4</f>
        <v>142.9</v>
      </c>
      <c r="AK4" s="130">
        <v>539388</v>
      </c>
      <c r="AL4" s="98">
        <v>31</v>
      </c>
      <c r="AM4" s="90">
        <v>22</v>
      </c>
      <c r="AN4" s="90">
        <v>3</v>
      </c>
      <c r="AO4" s="90">
        <v>0</v>
      </c>
      <c r="AP4" s="90">
        <v>0</v>
      </c>
      <c r="AQ4" s="90">
        <v>1</v>
      </c>
      <c r="AR4" s="90">
        <v>0</v>
      </c>
      <c r="AS4" s="90">
        <v>0</v>
      </c>
      <c r="AT4" s="90">
        <v>0</v>
      </c>
      <c r="AU4" s="90">
        <v>0</v>
      </c>
      <c r="AV4" s="90">
        <v>0</v>
      </c>
      <c r="AW4" s="90">
        <v>0</v>
      </c>
      <c r="AX4" s="90">
        <v>0</v>
      </c>
      <c r="AY4" s="90">
        <v>0</v>
      </c>
      <c r="AZ4" s="90">
        <v>0</v>
      </c>
      <c r="BA4" s="90">
        <v>1</v>
      </c>
      <c r="BB4" s="90">
        <v>0</v>
      </c>
      <c r="BC4" s="90">
        <f t="shared" si="3"/>
        <v>1</v>
      </c>
    </row>
    <row r="5" spans="1:55" x14ac:dyDescent="0.3">
      <c r="A5" s="91">
        <v>39904</v>
      </c>
      <c r="B5" s="92">
        <f t="shared" si="0"/>
        <v>2009</v>
      </c>
      <c r="C5" s="93">
        <v>37844275.075000003</v>
      </c>
      <c r="D5" s="93">
        <v>16932454.920298114</v>
      </c>
      <c r="E5" s="93">
        <f ca="1">OFFSET('Historic CDM'!$C$64,0,(ROW()-ROW(E$2))/12)/12</f>
        <v>70738.169513998277</v>
      </c>
      <c r="F5" s="93">
        <f t="shared" ca="1" si="1"/>
        <v>17003193.089812111</v>
      </c>
      <c r="G5" s="94">
        <v>25952</v>
      </c>
      <c r="H5" s="93">
        <v>5147100.9353178861</v>
      </c>
      <c r="I5" s="93">
        <f ca="1">OFFSET('Historic CDM'!$C$76,0,(ROW()-ROW(E$2))/12)/12</f>
        <v>18655.339531500493</v>
      </c>
      <c r="J5" s="93">
        <f t="shared" ca="1" si="2"/>
        <v>5165756.2748493869</v>
      </c>
      <c r="K5" s="88">
        <v>1876</v>
      </c>
      <c r="L5" s="93">
        <f>12233955.8251975-Q5</f>
        <v>12233952.1131975</v>
      </c>
      <c r="M5" s="95">
        <f ca="1">OFFSET('Historic CDM'!$C$88,0,(ROW()-ROW(E$2))/12)/12</f>
        <v>47601.455914117883</v>
      </c>
      <c r="N5" s="1">
        <f ca="1">L5+M5-Q5</f>
        <v>12281549.857111618</v>
      </c>
      <c r="O5" s="3">
        <f>33623.85-R5</f>
        <v>33620.01</v>
      </c>
      <c r="P5" s="2">
        <f>217-S5</f>
        <v>216</v>
      </c>
      <c r="Q5" s="93">
        <v>3.7120000000000002</v>
      </c>
      <c r="R5" s="99">
        <v>3.84</v>
      </c>
      <c r="S5" s="94">
        <v>1</v>
      </c>
      <c r="T5" s="93">
        <v>432795.42602150532</v>
      </c>
      <c r="U5" s="96">
        <v>1464.67</v>
      </c>
      <c r="V5" s="97">
        <f>1094+2996+1882+1633</f>
        <v>7605</v>
      </c>
      <c r="W5" s="93">
        <v>33697.360000000001</v>
      </c>
      <c r="X5" s="95">
        <v>73.575999999999993</v>
      </c>
      <c r="Y5" s="88">
        <v>174</v>
      </c>
      <c r="Z5" s="93">
        <v>129846</v>
      </c>
      <c r="AA5" s="88">
        <v>141</v>
      </c>
      <c r="AB5" s="93">
        <v>1899752</v>
      </c>
      <c r="AC5" s="94">
        <v>1</v>
      </c>
      <c r="AD5" s="93">
        <v>3483280.0257096775</v>
      </c>
      <c r="AE5" s="95">
        <v>7996.76</v>
      </c>
      <c r="AF5" s="94">
        <v>6</v>
      </c>
      <c r="AG5" s="90">
        <f>Weather!B173</f>
        <v>263.29999999999995</v>
      </c>
      <c r="AH5" s="90">
        <f>Weather!C173</f>
        <v>10.399999999999999</v>
      </c>
      <c r="AI5" s="90">
        <f>Employment!B5</f>
        <v>6359.6</v>
      </c>
      <c r="AJ5" s="90">
        <f>Employment!C5</f>
        <v>144.80000000000001</v>
      </c>
      <c r="AK5" s="130">
        <v>539388</v>
      </c>
      <c r="AL5" s="98">
        <v>30</v>
      </c>
      <c r="AM5" s="90">
        <v>20</v>
      </c>
      <c r="AN5" s="90">
        <v>4</v>
      </c>
      <c r="AO5" s="90">
        <v>0</v>
      </c>
      <c r="AP5" s="90">
        <v>0</v>
      </c>
      <c r="AQ5" s="90">
        <v>0</v>
      </c>
      <c r="AR5" s="90">
        <v>1</v>
      </c>
      <c r="AS5" s="90">
        <v>0</v>
      </c>
      <c r="AT5" s="90">
        <v>0</v>
      </c>
      <c r="AU5" s="90">
        <v>0</v>
      </c>
      <c r="AV5" s="90">
        <v>0</v>
      </c>
      <c r="AW5" s="90">
        <v>0</v>
      </c>
      <c r="AX5" s="90">
        <v>0</v>
      </c>
      <c r="AY5" s="90">
        <v>0</v>
      </c>
      <c r="AZ5" s="90">
        <v>0</v>
      </c>
      <c r="BA5" s="90">
        <v>1</v>
      </c>
      <c r="BB5" s="90">
        <v>0</v>
      </c>
      <c r="BC5" s="90">
        <f t="shared" si="3"/>
        <v>1</v>
      </c>
    </row>
    <row r="6" spans="1:55" x14ac:dyDescent="0.3">
      <c r="A6" s="91">
        <v>39934</v>
      </c>
      <c r="B6" s="92">
        <f t="shared" si="0"/>
        <v>2009</v>
      </c>
      <c r="C6" s="93">
        <v>38497480.175000019</v>
      </c>
      <c r="D6" s="93">
        <v>17320559.785263643</v>
      </c>
      <c r="E6" s="93">
        <f ca="1">OFFSET('Historic CDM'!$C$64,0,(ROW()-ROW(E$2))/12)/12</f>
        <v>70738.169513998277</v>
      </c>
      <c r="F6" s="93">
        <f t="shared" ca="1" si="1"/>
        <v>17391297.954777639</v>
      </c>
      <c r="G6" s="94">
        <v>25978</v>
      </c>
      <c r="H6" s="93">
        <v>5340104.6797970459</v>
      </c>
      <c r="I6" s="93">
        <f ca="1">OFFSET('Historic CDM'!$C$76,0,(ROW()-ROW(E$2))/12)/12</f>
        <v>18655.339531500493</v>
      </c>
      <c r="J6" s="93">
        <f t="shared" ca="1" si="2"/>
        <v>5358760.0193285467</v>
      </c>
      <c r="K6" s="88">
        <v>1878</v>
      </c>
      <c r="L6" s="93">
        <f>12552706.8851427-Q6</f>
        <v>12552345.645142701</v>
      </c>
      <c r="M6" s="95">
        <f ca="1">OFFSET('Historic CDM'!$C$88,0,(ROW()-ROW(E$2))/12)/12</f>
        <v>47601.455914117883</v>
      </c>
      <c r="N6" s="1">
        <f ca="1">L6+M6-Q6</f>
        <v>12599585.861056818</v>
      </c>
      <c r="O6" s="3">
        <f>34011.18-R6</f>
        <v>33723.46</v>
      </c>
      <c r="P6" s="2">
        <f>212-S6</f>
        <v>211</v>
      </c>
      <c r="Q6" s="93">
        <v>361.24</v>
      </c>
      <c r="R6" s="99">
        <v>287.72000000000003</v>
      </c>
      <c r="S6" s="94">
        <v>1</v>
      </c>
      <c r="T6" s="93">
        <v>389616.22430107533</v>
      </c>
      <c r="U6" s="96">
        <v>1464.67</v>
      </c>
      <c r="V6" s="97">
        <f>1094+2996+1882+1633</f>
        <v>7605</v>
      </c>
      <c r="W6" s="93">
        <v>33333.410000000003</v>
      </c>
      <c r="X6" s="95">
        <v>73.575999999999993</v>
      </c>
      <c r="Y6" s="88">
        <v>174</v>
      </c>
      <c r="Z6" s="93">
        <v>129546</v>
      </c>
      <c r="AA6" s="88">
        <v>140</v>
      </c>
      <c r="AB6" s="93">
        <v>1435850</v>
      </c>
      <c r="AC6" s="94">
        <v>1</v>
      </c>
      <c r="AD6" s="93">
        <v>3184771.9903449137</v>
      </c>
      <c r="AE6" s="95">
        <v>7393.07</v>
      </c>
      <c r="AF6" s="94">
        <v>7</v>
      </c>
      <c r="AG6" s="90">
        <f>Weather!B174</f>
        <v>83.40000000000002</v>
      </c>
      <c r="AH6" s="90">
        <f>Weather!C174</f>
        <v>12.899999999999999</v>
      </c>
      <c r="AI6" s="90">
        <f>Employment!B6</f>
        <v>6382.1</v>
      </c>
      <c r="AJ6" s="90">
        <f>Employment!C6</f>
        <v>145</v>
      </c>
      <c r="AK6" s="130">
        <v>539388</v>
      </c>
      <c r="AL6" s="98">
        <v>31</v>
      </c>
      <c r="AM6" s="90">
        <v>20</v>
      </c>
      <c r="AN6" s="90">
        <v>5</v>
      </c>
      <c r="AO6" s="90">
        <v>0</v>
      </c>
      <c r="AP6" s="90">
        <v>0</v>
      </c>
      <c r="AQ6" s="90">
        <v>0</v>
      </c>
      <c r="AR6" s="90">
        <v>0</v>
      </c>
      <c r="AS6" s="90">
        <v>1</v>
      </c>
      <c r="AT6" s="90">
        <v>0</v>
      </c>
      <c r="AU6" s="90">
        <v>0</v>
      </c>
      <c r="AV6" s="90">
        <v>0</v>
      </c>
      <c r="AW6" s="90">
        <v>0</v>
      </c>
      <c r="AX6" s="90">
        <v>0</v>
      </c>
      <c r="AY6" s="90">
        <v>0</v>
      </c>
      <c r="AZ6" s="90">
        <v>0</v>
      </c>
      <c r="BA6" s="90">
        <v>1</v>
      </c>
      <c r="BB6" s="90">
        <v>0</v>
      </c>
      <c r="BC6" s="90">
        <f t="shared" si="3"/>
        <v>1</v>
      </c>
    </row>
    <row r="7" spans="1:55" x14ac:dyDescent="0.3">
      <c r="A7" s="91">
        <v>39965</v>
      </c>
      <c r="B7" s="92">
        <f t="shared" si="0"/>
        <v>2009</v>
      </c>
      <c r="C7" s="93">
        <v>46427862.100000046</v>
      </c>
      <c r="D7" s="93">
        <v>21202855.807698611</v>
      </c>
      <c r="E7" s="93">
        <f ca="1">OFFSET('Historic CDM'!$C$64,0,(ROW()-ROW(E$2))/12)/12</f>
        <v>70738.169513998277</v>
      </c>
      <c r="F7" s="93">
        <f t="shared" ca="1" si="1"/>
        <v>21273593.977212608</v>
      </c>
      <c r="G7" s="94">
        <v>25987</v>
      </c>
      <c r="H7" s="93">
        <v>5644670.9179128064</v>
      </c>
      <c r="I7" s="93">
        <f ca="1">OFFSET('Historic CDM'!$C$76,0,(ROW()-ROW(E$2))/12)/12</f>
        <v>18655.339531500493</v>
      </c>
      <c r="J7" s="93">
        <f t="shared" ca="1" si="2"/>
        <v>5663326.2574443072</v>
      </c>
      <c r="K7" s="88">
        <v>1876</v>
      </c>
      <c r="L7" s="93">
        <f>13522337.0676316-Q7</f>
        <v>13521027.4836316</v>
      </c>
      <c r="M7" s="95">
        <f ca="1">OFFSET('Historic CDM'!$C$88,0,(ROW()-ROW(E$2))/12)/12</f>
        <v>47601.455914117883</v>
      </c>
      <c r="N7" s="1">
        <f ca="1">L7+M7-Q7</f>
        <v>13567319.355545716</v>
      </c>
      <c r="O7" s="3">
        <f>39991.12-R7</f>
        <v>39587.300000000003</v>
      </c>
      <c r="P7" s="2">
        <f>222-S7</f>
        <v>221</v>
      </c>
      <c r="Q7" s="93">
        <v>1309.5840000000001</v>
      </c>
      <c r="R7" s="99">
        <v>403.82</v>
      </c>
      <c r="S7" s="94">
        <v>1</v>
      </c>
      <c r="T7" s="93">
        <v>343746.95203225815</v>
      </c>
      <c r="U7" s="96">
        <v>1469.1</v>
      </c>
      <c r="V7" s="97">
        <f>1094+3029+1882+1633</f>
        <v>7638</v>
      </c>
      <c r="W7" s="93">
        <v>33289.120000000003</v>
      </c>
      <c r="X7" s="95">
        <v>73.575999999999993</v>
      </c>
      <c r="Y7" s="88">
        <v>174</v>
      </c>
      <c r="Z7" s="93">
        <v>129546</v>
      </c>
      <c r="AA7" s="88">
        <v>140</v>
      </c>
      <c r="AB7" s="93">
        <v>1285303</v>
      </c>
      <c r="AC7" s="94">
        <v>1</v>
      </c>
      <c r="AD7" s="93">
        <v>3784645.3403217532</v>
      </c>
      <c r="AE7" s="95">
        <v>11210.91</v>
      </c>
      <c r="AF7" s="94">
        <v>7</v>
      </c>
      <c r="AG7" s="90">
        <f>Weather!B175</f>
        <v>25.299999999999997</v>
      </c>
      <c r="AH7" s="90">
        <f>Weather!C175</f>
        <v>79.399999999999991</v>
      </c>
      <c r="AI7" s="90">
        <f>Employment!B7</f>
        <v>6429.4</v>
      </c>
      <c r="AJ7" s="90">
        <f>Employment!C7</f>
        <v>145.69999999999999</v>
      </c>
      <c r="AK7" s="130">
        <v>539388</v>
      </c>
      <c r="AL7" s="98">
        <v>30</v>
      </c>
      <c r="AM7" s="90">
        <v>22</v>
      </c>
      <c r="AN7" s="90">
        <v>6</v>
      </c>
      <c r="AO7" s="90">
        <v>0</v>
      </c>
      <c r="AP7" s="90">
        <v>0</v>
      </c>
      <c r="AQ7" s="90">
        <v>0</v>
      </c>
      <c r="AR7" s="90">
        <v>0</v>
      </c>
      <c r="AS7" s="90">
        <v>0</v>
      </c>
      <c r="AT7" s="90">
        <v>1</v>
      </c>
      <c r="AU7" s="90">
        <v>0</v>
      </c>
      <c r="AV7" s="90">
        <v>0</v>
      </c>
      <c r="AW7" s="90">
        <v>0</v>
      </c>
      <c r="AX7" s="90">
        <v>0</v>
      </c>
      <c r="AY7" s="90">
        <v>0</v>
      </c>
      <c r="AZ7" s="90">
        <v>0</v>
      </c>
      <c r="BA7" s="90">
        <v>0</v>
      </c>
      <c r="BB7" s="90">
        <v>0</v>
      </c>
      <c r="BC7" s="90">
        <f t="shared" si="3"/>
        <v>0</v>
      </c>
    </row>
    <row r="8" spans="1:55" x14ac:dyDescent="0.3">
      <c r="A8" s="91">
        <v>39995</v>
      </c>
      <c r="B8" s="92">
        <f t="shared" si="0"/>
        <v>2009</v>
      </c>
      <c r="C8" s="93">
        <v>52905408.79999996</v>
      </c>
      <c r="D8" s="93">
        <v>25716678.648095943</v>
      </c>
      <c r="E8" s="93">
        <f ca="1">OFFSET('Historic CDM'!$C$64,0,(ROW()-ROW(E$2))/12)/12</f>
        <v>70738.169513998277</v>
      </c>
      <c r="F8" s="93">
        <f t="shared" ca="1" si="1"/>
        <v>25787416.81760994</v>
      </c>
      <c r="G8" s="94">
        <v>25968</v>
      </c>
      <c r="H8" s="93">
        <v>6181679.812459439</v>
      </c>
      <c r="I8" s="93">
        <f ca="1">OFFSET('Historic CDM'!$C$76,0,(ROW()-ROW(E$2))/12)/12</f>
        <v>18655.339531500493</v>
      </c>
      <c r="J8" s="93">
        <f t="shared" ca="1" si="2"/>
        <v>6200335.1519909399</v>
      </c>
      <c r="K8" s="88">
        <v>1858</v>
      </c>
      <c r="L8" s="93">
        <f>15465664.0188743-Q8</f>
        <v>14884231.2178743</v>
      </c>
      <c r="M8" s="95">
        <f ca="1">OFFSET('Historic CDM'!$C$88,0,(ROW()-ROW(E$2))/12)/12</f>
        <v>47601.455914117883</v>
      </c>
      <c r="N8" s="1">
        <f ca="1">L8+M8-Q8</f>
        <v>14350399.872788418</v>
      </c>
      <c r="O8" s="3">
        <f>40363.36-R8</f>
        <v>37555.949999999997</v>
      </c>
      <c r="P8" s="2">
        <f>220-S8</f>
        <v>219</v>
      </c>
      <c r="Q8" s="93">
        <v>581432.80099999998</v>
      </c>
      <c r="R8" s="99">
        <v>2807.41</v>
      </c>
      <c r="S8" s="94">
        <v>1</v>
      </c>
      <c r="T8" s="93">
        <v>363642.79409677419</v>
      </c>
      <c r="U8" s="96">
        <v>1469.0700000000002</v>
      </c>
      <c r="V8" s="97">
        <f>1094+3029+1882+1633</f>
        <v>7638</v>
      </c>
      <c r="W8" s="93">
        <v>33479.1</v>
      </c>
      <c r="X8" s="95">
        <v>73.575999999999993</v>
      </c>
      <c r="Y8" s="88">
        <v>174</v>
      </c>
      <c r="Z8" s="93">
        <v>129546</v>
      </c>
      <c r="AA8" s="88">
        <v>140</v>
      </c>
      <c r="AB8" s="93">
        <v>514303</v>
      </c>
      <c r="AC8" s="94">
        <v>1</v>
      </c>
      <c r="AD8" s="93">
        <v>4303434.1997526884</v>
      </c>
      <c r="AE8" s="95">
        <v>10797.320000000002</v>
      </c>
      <c r="AF8" s="94">
        <v>7</v>
      </c>
      <c r="AG8" s="90">
        <f>Weather!B176</f>
        <v>0.5</v>
      </c>
      <c r="AH8" s="90">
        <f>Weather!C176</f>
        <v>100.19999999999999</v>
      </c>
      <c r="AI8" s="90">
        <f>Employment!B8</f>
        <v>6467</v>
      </c>
      <c r="AJ8" s="90">
        <f>Employment!C8</f>
        <v>144.30000000000001</v>
      </c>
      <c r="AK8" s="130">
        <v>539388</v>
      </c>
      <c r="AL8" s="98">
        <v>31</v>
      </c>
      <c r="AM8" s="90">
        <v>22</v>
      </c>
      <c r="AN8" s="90">
        <v>7</v>
      </c>
      <c r="AO8" s="90">
        <v>0</v>
      </c>
      <c r="AP8" s="90">
        <v>0</v>
      </c>
      <c r="AQ8" s="90">
        <v>0</v>
      </c>
      <c r="AR8" s="90">
        <v>0</v>
      </c>
      <c r="AS8" s="90">
        <v>0</v>
      </c>
      <c r="AT8" s="90">
        <v>0</v>
      </c>
      <c r="AU8" s="90">
        <v>1</v>
      </c>
      <c r="AV8" s="90">
        <v>0</v>
      </c>
      <c r="AW8" s="90">
        <v>0</v>
      </c>
      <c r="AX8" s="90">
        <v>0</v>
      </c>
      <c r="AY8" s="90">
        <v>0</v>
      </c>
      <c r="AZ8" s="90">
        <v>0</v>
      </c>
      <c r="BA8" s="90">
        <v>0</v>
      </c>
      <c r="BB8" s="90">
        <v>0</v>
      </c>
      <c r="BC8" s="90">
        <f t="shared" si="3"/>
        <v>0</v>
      </c>
    </row>
    <row r="9" spans="1:55" x14ac:dyDescent="0.3">
      <c r="A9" s="91">
        <v>40026</v>
      </c>
      <c r="B9" s="92">
        <f t="shared" si="0"/>
        <v>2009</v>
      </c>
      <c r="C9" s="93">
        <v>55267047.75</v>
      </c>
      <c r="D9" s="93">
        <v>27425635.865056019</v>
      </c>
      <c r="E9" s="93">
        <f ca="1">OFFSET('Historic CDM'!$C$64,0,(ROW()-ROW(E$2))/12)/12</f>
        <v>70738.169513998277</v>
      </c>
      <c r="F9" s="93">
        <f t="shared" ca="1" si="1"/>
        <v>27496374.034570016</v>
      </c>
      <c r="G9" s="94">
        <v>25983</v>
      </c>
      <c r="H9" s="93">
        <v>6242208.7844351763</v>
      </c>
      <c r="I9" s="93">
        <f ca="1">OFFSET('Historic CDM'!$C$76,0,(ROW()-ROW(E$2))/12)/12</f>
        <v>18655.339531500493</v>
      </c>
      <c r="J9" s="93">
        <f t="shared" ca="1" si="2"/>
        <v>6260864.1239666771</v>
      </c>
      <c r="K9" s="88">
        <v>1863</v>
      </c>
      <c r="L9" s="93">
        <f>16317841.564895-Q9</f>
        <v>16058554.672894999</v>
      </c>
      <c r="M9" s="95">
        <f ca="1">OFFSET('Historic CDM'!$C$88,0,(ROW()-ROW(E$2))/12)/12</f>
        <v>47601.455914117883</v>
      </c>
      <c r="N9" s="1">
        <f ca="1">L9+M9-Q9</f>
        <v>15846869.236809116</v>
      </c>
      <c r="O9" s="3">
        <f>44094.04-R9</f>
        <v>41451.520000000004</v>
      </c>
      <c r="P9" s="2">
        <f>232-S9</f>
        <v>231</v>
      </c>
      <c r="Q9" s="93">
        <v>259286.89199999999</v>
      </c>
      <c r="R9" s="99">
        <v>2642.52</v>
      </c>
      <c r="S9" s="94">
        <v>1</v>
      </c>
      <c r="T9" s="93">
        <v>407405.83483870962</v>
      </c>
      <c r="U9" s="96">
        <v>1470.6999999999998</v>
      </c>
      <c r="V9" s="97">
        <f>1110+3029+1882+1633</f>
        <v>7654</v>
      </c>
      <c r="W9" s="93">
        <v>32955.839999999997</v>
      </c>
      <c r="X9" s="95">
        <v>73.575999999999993</v>
      </c>
      <c r="Y9" s="88">
        <v>174</v>
      </c>
      <c r="Z9" s="93">
        <v>129546</v>
      </c>
      <c r="AA9" s="88">
        <v>140</v>
      </c>
      <c r="AB9" s="93">
        <v>639948</v>
      </c>
      <c r="AC9" s="94">
        <v>1</v>
      </c>
      <c r="AD9" s="93">
        <v>3566483.6616129037</v>
      </c>
      <c r="AE9" s="95">
        <v>12251.599999999999</v>
      </c>
      <c r="AF9" s="94">
        <v>7</v>
      </c>
      <c r="AG9" s="90">
        <f>Weather!B177</f>
        <v>5.9</v>
      </c>
      <c r="AH9" s="90">
        <f>Weather!C177</f>
        <v>133.4</v>
      </c>
      <c r="AI9" s="90">
        <f>Employment!B9</f>
        <v>6487.6</v>
      </c>
      <c r="AJ9" s="90">
        <f>Employment!C9</f>
        <v>145.1</v>
      </c>
      <c r="AK9" s="130">
        <v>539388</v>
      </c>
      <c r="AL9" s="98">
        <v>31</v>
      </c>
      <c r="AM9" s="90">
        <v>20</v>
      </c>
      <c r="AN9" s="90">
        <v>8</v>
      </c>
      <c r="AO9" s="90">
        <v>0</v>
      </c>
      <c r="AP9" s="90">
        <v>0</v>
      </c>
      <c r="AQ9" s="90">
        <v>0</v>
      </c>
      <c r="AR9" s="90">
        <v>0</v>
      </c>
      <c r="AS9" s="90">
        <v>0</v>
      </c>
      <c r="AT9" s="90">
        <v>0</v>
      </c>
      <c r="AU9" s="90">
        <v>0</v>
      </c>
      <c r="AV9" s="90">
        <v>1</v>
      </c>
      <c r="AW9" s="90">
        <v>0</v>
      </c>
      <c r="AX9" s="90">
        <v>0</v>
      </c>
      <c r="AY9" s="90">
        <v>0</v>
      </c>
      <c r="AZ9" s="90">
        <v>0</v>
      </c>
      <c r="BA9" s="90">
        <v>0</v>
      </c>
      <c r="BB9" s="90">
        <v>0</v>
      </c>
      <c r="BC9" s="90">
        <f t="shared" si="3"/>
        <v>0</v>
      </c>
    </row>
    <row r="10" spans="1:55" x14ac:dyDescent="0.3">
      <c r="A10" s="91">
        <v>40057</v>
      </c>
      <c r="B10" s="92">
        <f t="shared" si="0"/>
        <v>2009</v>
      </c>
      <c r="C10" s="93">
        <v>46205978.524999976</v>
      </c>
      <c r="D10" s="93">
        <v>20684613.852784179</v>
      </c>
      <c r="E10" s="93">
        <f ca="1">OFFSET('Historic CDM'!$C$64,0,(ROW()-ROW(E$2))/12)/12</f>
        <v>70738.169513998277</v>
      </c>
      <c r="F10" s="93">
        <f t="shared" ca="1" si="1"/>
        <v>20755352.022298176</v>
      </c>
      <c r="G10" s="94">
        <v>25989</v>
      </c>
      <c r="H10" s="93">
        <v>5572266.0349646118</v>
      </c>
      <c r="I10" s="93">
        <f ca="1">OFFSET('Historic CDM'!$C$76,0,(ROW()-ROW(E$2))/12)/12</f>
        <v>18655.339531500493</v>
      </c>
      <c r="J10" s="93">
        <f t="shared" ca="1" si="2"/>
        <v>5590921.3744961126</v>
      </c>
      <c r="K10" s="88">
        <v>1861</v>
      </c>
      <c r="L10" s="93">
        <f>16518553.0795783-Q10</f>
        <v>15405668.5725783</v>
      </c>
      <c r="M10" s="95">
        <f ca="1">OFFSET('Historic CDM'!$C$88,0,(ROW()-ROW(E$2))/12)/12</f>
        <v>47601.455914117883</v>
      </c>
      <c r="N10" s="1">
        <f ca="1">L10+M10-Q10</f>
        <v>14340385.521492418</v>
      </c>
      <c r="O10" s="3">
        <f>41677.33-R10</f>
        <v>38520.25</v>
      </c>
      <c r="P10" s="2">
        <f>224-S10</f>
        <v>223</v>
      </c>
      <c r="Q10" s="93">
        <v>1112884.507</v>
      </c>
      <c r="R10" s="95">
        <v>3157.08</v>
      </c>
      <c r="S10" s="94">
        <v>1</v>
      </c>
      <c r="T10" s="93">
        <v>458942.18306451605</v>
      </c>
      <c r="U10" s="96">
        <v>1470.8899999999999</v>
      </c>
      <c r="V10" s="97">
        <f>1110+3029+1902+1633</f>
        <v>7674</v>
      </c>
      <c r="W10" s="93">
        <v>33858.5</v>
      </c>
      <c r="X10" s="95">
        <v>73.575999999999993</v>
      </c>
      <c r="Y10" s="88">
        <v>174</v>
      </c>
      <c r="Z10" s="93">
        <v>128898</v>
      </c>
      <c r="AA10" s="88">
        <v>138</v>
      </c>
      <c r="AB10" s="93">
        <v>5315</v>
      </c>
      <c r="AC10" s="94">
        <v>1</v>
      </c>
      <c r="AD10" s="93">
        <v>2721768.368301075</v>
      </c>
      <c r="AE10" s="95">
        <v>9905.7999999999993</v>
      </c>
      <c r="AF10" s="94">
        <v>7</v>
      </c>
      <c r="AG10" s="90">
        <f>Weather!B178</f>
        <v>26.2</v>
      </c>
      <c r="AH10" s="90">
        <f>Weather!C178</f>
        <v>54.699999999999989</v>
      </c>
      <c r="AI10" s="90">
        <f>Employment!B10</f>
        <v>6470.2</v>
      </c>
      <c r="AJ10" s="90">
        <f>Employment!C10</f>
        <v>146.80000000000001</v>
      </c>
      <c r="AK10" s="130">
        <v>539388</v>
      </c>
      <c r="AL10" s="98">
        <v>30</v>
      </c>
      <c r="AM10" s="90">
        <v>21</v>
      </c>
      <c r="AN10" s="90">
        <v>9</v>
      </c>
      <c r="AO10" s="90">
        <v>0</v>
      </c>
      <c r="AP10" s="90">
        <v>0</v>
      </c>
      <c r="AQ10" s="90">
        <v>0</v>
      </c>
      <c r="AR10" s="90">
        <v>0</v>
      </c>
      <c r="AS10" s="90">
        <v>0</v>
      </c>
      <c r="AT10" s="90">
        <v>0</v>
      </c>
      <c r="AU10" s="90">
        <v>0</v>
      </c>
      <c r="AV10" s="90">
        <v>0</v>
      </c>
      <c r="AW10" s="90">
        <v>1</v>
      </c>
      <c r="AX10" s="90">
        <v>0</v>
      </c>
      <c r="AY10" s="90">
        <v>0</v>
      </c>
      <c r="AZ10" s="90">
        <v>0</v>
      </c>
      <c r="BA10" s="90">
        <v>0</v>
      </c>
      <c r="BB10" s="90">
        <v>0</v>
      </c>
      <c r="BC10" s="90">
        <v>0</v>
      </c>
    </row>
    <row r="11" spans="1:55" x14ac:dyDescent="0.3">
      <c r="A11" s="91">
        <v>40087</v>
      </c>
      <c r="B11" s="92">
        <f t="shared" si="0"/>
        <v>2009</v>
      </c>
      <c r="C11" s="93">
        <v>42040717.625000015</v>
      </c>
      <c r="D11" s="93">
        <v>18011354.818074532</v>
      </c>
      <c r="E11" s="93">
        <f ca="1">OFFSET('Historic CDM'!$C$64,0,(ROW()-ROW(E$2))/12)/12</f>
        <v>70738.169513998277</v>
      </c>
      <c r="F11" s="93">
        <f t="shared" ca="1" si="1"/>
        <v>18082092.987588529</v>
      </c>
      <c r="G11" s="94">
        <v>26007</v>
      </c>
      <c r="H11" s="93">
        <v>5167043.6648753025</v>
      </c>
      <c r="I11" s="93">
        <f ca="1">OFFSET('Historic CDM'!$C$76,0,(ROW()-ROW(E$2))/12)/12</f>
        <v>18655.339531500493</v>
      </c>
      <c r="J11" s="93">
        <f t="shared" ca="1" si="2"/>
        <v>5185699.0044068033</v>
      </c>
      <c r="K11" s="88">
        <v>1863</v>
      </c>
      <c r="L11" s="93">
        <f>14805841.5438479-Q11</f>
        <v>14646666.9748479</v>
      </c>
      <c r="M11" s="95">
        <f ca="1">OFFSET('Historic CDM'!$C$88,0,(ROW()-ROW(E$2))/12)/12</f>
        <v>47601.455914117883</v>
      </c>
      <c r="N11" s="1">
        <f ca="1">L11+M11-Q11</f>
        <v>14535093.861762017</v>
      </c>
      <c r="O11" s="3">
        <f>36846.19-R11</f>
        <v>35365.54</v>
      </c>
      <c r="P11" s="2">
        <f>214-S11</f>
        <v>213</v>
      </c>
      <c r="Q11" s="93">
        <v>159174.56899999999</v>
      </c>
      <c r="R11" s="95">
        <v>1480.65</v>
      </c>
      <c r="S11" s="94">
        <v>1</v>
      </c>
      <c r="T11" s="93">
        <v>542756.33725806454</v>
      </c>
      <c r="U11" s="100">
        <v>1470.8899999999999</v>
      </c>
      <c r="V11" s="97">
        <f>1110+3029+1902+1633</f>
        <v>7674</v>
      </c>
      <c r="W11" s="93">
        <v>33331.050000000003</v>
      </c>
      <c r="X11" s="95">
        <v>73.575999999999993</v>
      </c>
      <c r="Y11" s="88">
        <v>174</v>
      </c>
      <c r="Z11" s="93">
        <v>128898</v>
      </c>
      <c r="AA11" s="88">
        <v>138</v>
      </c>
      <c r="AB11" s="93">
        <v>1313738</v>
      </c>
      <c r="AC11" s="94">
        <v>1</v>
      </c>
      <c r="AD11" s="93">
        <v>3691302.8216989255</v>
      </c>
      <c r="AE11" s="95">
        <v>8167.94</v>
      </c>
      <c r="AF11" s="94">
        <v>7</v>
      </c>
      <c r="AG11" s="90">
        <f>Weather!B179</f>
        <v>230.79999999999995</v>
      </c>
      <c r="AH11" s="90">
        <f>Weather!C179</f>
        <v>0</v>
      </c>
      <c r="AI11" s="90">
        <f>Employment!B11</f>
        <v>6472.1</v>
      </c>
      <c r="AJ11" s="90">
        <f>Employment!C11</f>
        <v>149.19999999999999</v>
      </c>
      <c r="AK11" s="130">
        <v>539388</v>
      </c>
      <c r="AL11" s="98">
        <v>31</v>
      </c>
      <c r="AM11" s="90">
        <v>21</v>
      </c>
      <c r="AN11" s="90">
        <v>10</v>
      </c>
      <c r="AO11" s="90">
        <v>0</v>
      </c>
      <c r="AP11" s="90">
        <v>0</v>
      </c>
      <c r="AQ11" s="90">
        <v>0</v>
      </c>
      <c r="AR11" s="90">
        <v>0</v>
      </c>
      <c r="AS11" s="90">
        <v>0</v>
      </c>
      <c r="AT11" s="90">
        <v>0</v>
      </c>
      <c r="AU11" s="90">
        <v>0</v>
      </c>
      <c r="AV11" s="90">
        <v>0</v>
      </c>
      <c r="AW11" s="90">
        <v>0</v>
      </c>
      <c r="AX11" s="90">
        <v>1</v>
      </c>
      <c r="AY11" s="90">
        <v>0</v>
      </c>
      <c r="AZ11" s="90">
        <v>0</v>
      </c>
      <c r="BA11" s="90">
        <v>0</v>
      </c>
      <c r="BB11" s="90">
        <v>1</v>
      </c>
      <c r="BC11" s="90">
        <f t="shared" si="3"/>
        <v>1</v>
      </c>
    </row>
    <row r="12" spans="1:55" x14ac:dyDescent="0.3">
      <c r="A12" s="91">
        <v>40118</v>
      </c>
      <c r="B12" s="92">
        <f t="shared" si="0"/>
        <v>2009</v>
      </c>
      <c r="C12" s="93">
        <v>40433149.474999957</v>
      </c>
      <c r="D12" s="93">
        <v>18003855.724451404</v>
      </c>
      <c r="E12" s="93">
        <f ca="1">OFFSET('Historic CDM'!$C$64,0,(ROW()-ROW(E$2))/12)/12</f>
        <v>70738.169513998277</v>
      </c>
      <c r="F12" s="93">
        <f t="shared" ca="1" si="1"/>
        <v>18074593.893965401</v>
      </c>
      <c r="G12" s="94">
        <v>26005</v>
      </c>
      <c r="H12" s="93">
        <v>5112549.4677349431</v>
      </c>
      <c r="I12" s="93">
        <f ca="1">OFFSET('Historic CDM'!$C$76,0,(ROW()-ROW(E$2))/12)/12</f>
        <v>18655.339531500493</v>
      </c>
      <c r="J12" s="93">
        <f t="shared" ca="1" si="2"/>
        <v>5131204.807266444</v>
      </c>
      <c r="K12" s="88">
        <v>1870</v>
      </c>
      <c r="L12" s="93">
        <f>13894238.5857699-Q12</f>
        <v>13890202.752769899</v>
      </c>
      <c r="M12" s="95">
        <f ca="1">OFFSET('Historic CDM'!$C$88,0,(ROW()-ROW(E$2))/12)/12</f>
        <v>47601.455914117883</v>
      </c>
      <c r="N12" s="1">
        <f ca="1">L12+M12-Q12</f>
        <v>13933768.375684015</v>
      </c>
      <c r="O12" s="3">
        <f>38415.47-R12</f>
        <v>38415.47</v>
      </c>
      <c r="P12" s="2">
        <f>236-S12</f>
        <v>235</v>
      </c>
      <c r="Q12" s="93">
        <v>4035.8330000000001</v>
      </c>
      <c r="R12" s="101">
        <v>0</v>
      </c>
      <c r="S12" s="94">
        <v>1</v>
      </c>
      <c r="T12" s="93">
        <v>570709.50974193553</v>
      </c>
      <c r="U12" s="100">
        <v>1471.06</v>
      </c>
      <c r="V12" s="97">
        <f>1109+3029+1903+1633</f>
        <v>7674</v>
      </c>
      <c r="W12" s="93">
        <v>30819.47</v>
      </c>
      <c r="X12" s="99">
        <v>73.245000000000005</v>
      </c>
      <c r="Y12" s="88">
        <v>173</v>
      </c>
      <c r="Z12" s="93">
        <v>128898</v>
      </c>
      <c r="AA12" s="88">
        <v>138</v>
      </c>
      <c r="AB12" s="93">
        <v>2378965</v>
      </c>
      <c r="AC12" s="94">
        <v>1</v>
      </c>
      <c r="AD12" s="93">
        <v>4008230.4736344088</v>
      </c>
      <c r="AE12" s="95">
        <v>12206.990000000002</v>
      </c>
      <c r="AF12" s="94">
        <v>7</v>
      </c>
      <c r="AG12" s="90">
        <f>Weather!B180</f>
        <v>305.49999999999989</v>
      </c>
      <c r="AH12" s="90">
        <f>Weather!C180</f>
        <v>0</v>
      </c>
      <c r="AI12" s="90">
        <f>Employment!B12</f>
        <v>6465.6</v>
      </c>
      <c r="AJ12" s="90">
        <f>Employment!C12</f>
        <v>150.1</v>
      </c>
      <c r="AK12" s="130">
        <v>539388</v>
      </c>
      <c r="AL12" s="98">
        <v>30</v>
      </c>
      <c r="AM12" s="90">
        <v>21</v>
      </c>
      <c r="AN12" s="90">
        <v>11</v>
      </c>
      <c r="AO12" s="90">
        <v>0</v>
      </c>
      <c r="AP12" s="90">
        <v>0</v>
      </c>
      <c r="AQ12" s="90">
        <v>0</v>
      </c>
      <c r="AR12" s="90">
        <v>0</v>
      </c>
      <c r="AS12" s="90">
        <v>0</v>
      </c>
      <c r="AT12" s="90">
        <v>0</v>
      </c>
      <c r="AU12" s="90">
        <v>0</v>
      </c>
      <c r="AV12" s="90">
        <v>0</v>
      </c>
      <c r="AW12" s="90">
        <v>0</v>
      </c>
      <c r="AX12" s="90">
        <v>0</v>
      </c>
      <c r="AY12" s="90">
        <v>1</v>
      </c>
      <c r="AZ12" s="90">
        <v>0</v>
      </c>
      <c r="BA12" s="90">
        <v>0</v>
      </c>
      <c r="BB12" s="90">
        <v>1</v>
      </c>
      <c r="BC12" s="90">
        <f t="shared" si="3"/>
        <v>1</v>
      </c>
    </row>
    <row r="13" spans="1:55" x14ac:dyDescent="0.3">
      <c r="A13" s="91">
        <v>40148</v>
      </c>
      <c r="B13" s="92">
        <f t="shared" si="0"/>
        <v>2009</v>
      </c>
      <c r="C13" s="93">
        <v>46143592.099999994</v>
      </c>
      <c r="D13" s="93">
        <v>22148566.256091919</v>
      </c>
      <c r="E13" s="93">
        <f ca="1">OFFSET('Historic CDM'!$C$64,0,(ROW()-ROW(E$2))/12)/12</f>
        <v>70738.169513998277</v>
      </c>
      <c r="F13" s="93">
        <f t="shared" ca="1" si="1"/>
        <v>22219304.425605915</v>
      </c>
      <c r="G13" s="94">
        <v>25938</v>
      </c>
      <c r="H13" s="93">
        <v>5669860.1098781722</v>
      </c>
      <c r="I13" s="93">
        <f ca="1">OFFSET('Historic CDM'!$C$76,0,(ROW()-ROW(E$2))/12)/12</f>
        <v>18655.339531500493</v>
      </c>
      <c r="J13" s="93">
        <f t="shared" ca="1" si="2"/>
        <v>5688515.449409673</v>
      </c>
      <c r="K13" s="88">
        <v>1867</v>
      </c>
      <c r="L13" s="93">
        <f>13814082.2871934-Q13</f>
        <v>13814082.287193401</v>
      </c>
      <c r="M13" s="95">
        <f ca="1">OFFSET('Historic CDM'!$C$88,0,(ROW()-ROW(E$2))/12)/12</f>
        <v>47601.455914117883</v>
      </c>
      <c r="N13" s="1">
        <f ca="1">L13+M13-Q13</f>
        <v>13861683.743107518</v>
      </c>
      <c r="O13" s="3">
        <f>34797.11-R13</f>
        <v>34797.11</v>
      </c>
      <c r="P13" s="2">
        <f>214-S13</f>
        <v>213</v>
      </c>
      <c r="Q13" s="93">
        <v>0</v>
      </c>
      <c r="R13" s="95">
        <v>0</v>
      </c>
      <c r="S13" s="94">
        <v>1</v>
      </c>
      <c r="T13" s="93">
        <v>624776.5254193549</v>
      </c>
      <c r="U13" s="100">
        <v>1470.96</v>
      </c>
      <c r="V13" s="97">
        <f>1109+3029+1903+1633</f>
        <v>7674</v>
      </c>
      <c r="W13" s="93">
        <v>32012.720000000001</v>
      </c>
      <c r="X13" s="99">
        <v>73.245000000000005</v>
      </c>
      <c r="Y13" s="88">
        <v>173</v>
      </c>
      <c r="Z13" s="93">
        <v>128898</v>
      </c>
      <c r="AA13" s="88">
        <v>138</v>
      </c>
      <c r="AB13" s="93">
        <v>2773436</v>
      </c>
      <c r="AC13" s="94">
        <v>1</v>
      </c>
      <c r="AD13" s="93">
        <v>4161075.2657204298</v>
      </c>
      <c r="AE13" s="95">
        <v>9134.23</v>
      </c>
      <c r="AF13" s="94">
        <v>7</v>
      </c>
      <c r="AG13" s="90">
        <f>Weather!B181</f>
        <v>582</v>
      </c>
      <c r="AH13" s="90">
        <f>Weather!C181</f>
        <v>0</v>
      </c>
      <c r="AI13" s="90">
        <f>Employment!B13</f>
        <v>6467.5</v>
      </c>
      <c r="AJ13" s="90">
        <f>Employment!C13</f>
        <v>150.19999999999999</v>
      </c>
      <c r="AK13" s="130">
        <v>539388</v>
      </c>
      <c r="AL13" s="98">
        <v>31</v>
      </c>
      <c r="AM13" s="90">
        <v>21</v>
      </c>
      <c r="AN13" s="90">
        <v>12</v>
      </c>
      <c r="AO13" s="90">
        <v>0</v>
      </c>
      <c r="AP13" s="90">
        <v>0</v>
      </c>
      <c r="AQ13" s="90">
        <v>0</v>
      </c>
      <c r="AR13" s="90">
        <v>0</v>
      </c>
      <c r="AS13" s="90">
        <v>0</v>
      </c>
      <c r="AT13" s="90">
        <v>0</v>
      </c>
      <c r="AU13" s="90">
        <v>0</v>
      </c>
      <c r="AV13" s="90">
        <v>0</v>
      </c>
      <c r="AW13" s="90">
        <v>0</v>
      </c>
      <c r="AX13" s="90">
        <v>0</v>
      </c>
      <c r="AY13" s="90">
        <v>0</v>
      </c>
      <c r="AZ13" s="90">
        <v>1</v>
      </c>
      <c r="BA13" s="90">
        <v>0</v>
      </c>
      <c r="BB13" s="90">
        <v>0</v>
      </c>
      <c r="BC13" s="90">
        <f t="shared" si="3"/>
        <v>0</v>
      </c>
    </row>
    <row r="14" spans="1:55" x14ac:dyDescent="0.3">
      <c r="A14" s="91">
        <v>40179</v>
      </c>
      <c r="B14" s="92">
        <f t="shared" si="0"/>
        <v>2010</v>
      </c>
      <c r="C14" s="93">
        <v>45690204.725000039</v>
      </c>
      <c r="D14" s="93">
        <v>22191707.905780409</v>
      </c>
      <c r="E14" s="93">
        <f ca="1">OFFSET('Historic CDM'!$C$64,0,(ROW()-ROW(E$2))/12)/12</f>
        <v>166752.34519664638</v>
      </c>
      <c r="F14" s="93">
        <f t="shared" ca="1" si="1"/>
        <v>22358460.250977054</v>
      </c>
      <c r="G14" s="94">
        <v>25980</v>
      </c>
      <c r="H14" s="93">
        <v>5836407.2059232816</v>
      </c>
      <c r="I14" s="93">
        <f ca="1">OFFSET('Historic CDM'!$C$76,0,(ROW()-ROW(E$2))/12)/12</f>
        <v>60094.695249036537</v>
      </c>
      <c r="J14" s="93">
        <f t="shared" ca="1" si="2"/>
        <v>5896501.9011723185</v>
      </c>
      <c r="K14" s="88">
        <v>1885</v>
      </c>
      <c r="L14" s="93">
        <f>14067754.180007-Q14</f>
        <v>14067754.180007</v>
      </c>
      <c r="M14" s="95">
        <f ca="1">OFFSET('Historic CDM'!$C$88,0,(ROW()-ROW(E$2))/12)/12</f>
        <v>112211.7587009819</v>
      </c>
      <c r="N14" s="1">
        <f ca="1">L14+M14-Q14</f>
        <v>14179965.938707981</v>
      </c>
      <c r="O14" s="3">
        <f>32940.94-R14</f>
        <v>32940.94</v>
      </c>
      <c r="P14" s="2">
        <f>214-S14</f>
        <v>213</v>
      </c>
      <c r="Q14" s="93">
        <v>0</v>
      </c>
      <c r="R14" s="95">
        <v>0</v>
      </c>
      <c r="S14" s="94">
        <v>1</v>
      </c>
      <c r="T14" s="93">
        <v>615928.30258064519</v>
      </c>
      <c r="U14" s="96">
        <v>1470.96</v>
      </c>
      <c r="V14" s="97">
        <f>1109+3029+1903+1633</f>
        <v>7674</v>
      </c>
      <c r="W14" s="93">
        <v>35989.480000000003</v>
      </c>
      <c r="X14" s="95">
        <v>73.575999999999993</v>
      </c>
      <c r="Y14" s="88">
        <v>174</v>
      </c>
      <c r="Z14" s="93">
        <v>129846</v>
      </c>
      <c r="AA14" s="88">
        <v>141</v>
      </c>
      <c r="AB14" s="93">
        <v>3226087</v>
      </c>
      <c r="AC14" s="94">
        <v>1</v>
      </c>
      <c r="AD14" s="93">
        <v>4287365.1832258087</v>
      </c>
      <c r="AE14" s="95">
        <v>8844.07</v>
      </c>
      <c r="AF14" s="94">
        <v>7</v>
      </c>
      <c r="AG14" s="90">
        <f>Weather!B182</f>
        <v>663.29999999999984</v>
      </c>
      <c r="AH14" s="90">
        <f>Weather!C182</f>
        <v>0</v>
      </c>
      <c r="AI14" s="90">
        <f>Employment!B14</f>
        <v>6434.5</v>
      </c>
      <c r="AJ14" s="90">
        <f>Employment!C14</f>
        <v>146.80000000000001</v>
      </c>
      <c r="AK14" s="130">
        <v>555907.5</v>
      </c>
      <c r="AL14" s="98">
        <f>AL2</f>
        <v>31</v>
      </c>
      <c r="AM14" s="90">
        <v>20</v>
      </c>
      <c r="AN14" s="90">
        <v>13</v>
      </c>
      <c r="AO14" s="90">
        <f>AO2</f>
        <v>1</v>
      </c>
      <c r="AP14" s="90">
        <f t="shared" ref="AP14:BC14" si="4">AP2</f>
        <v>0</v>
      </c>
      <c r="AQ14" s="90">
        <f t="shared" si="4"/>
        <v>0</v>
      </c>
      <c r="AR14" s="90">
        <f t="shared" si="4"/>
        <v>0</v>
      </c>
      <c r="AS14" s="90">
        <f t="shared" si="4"/>
        <v>0</v>
      </c>
      <c r="AT14" s="90">
        <f t="shared" si="4"/>
        <v>0</v>
      </c>
      <c r="AU14" s="90">
        <f t="shared" si="4"/>
        <v>0</v>
      </c>
      <c r="AV14" s="90">
        <f t="shared" si="4"/>
        <v>0</v>
      </c>
      <c r="AW14" s="90">
        <f t="shared" si="4"/>
        <v>0</v>
      </c>
      <c r="AX14" s="90">
        <f t="shared" si="4"/>
        <v>0</v>
      </c>
      <c r="AY14" s="90">
        <f t="shared" si="4"/>
        <v>0</v>
      </c>
      <c r="AZ14" s="90">
        <f t="shared" si="4"/>
        <v>0</v>
      </c>
      <c r="BA14" s="90">
        <f t="shared" si="4"/>
        <v>0</v>
      </c>
      <c r="BB14" s="90">
        <f t="shared" si="4"/>
        <v>0</v>
      </c>
      <c r="BC14" s="90">
        <f t="shared" si="4"/>
        <v>0</v>
      </c>
    </row>
    <row r="15" spans="1:55" x14ac:dyDescent="0.3">
      <c r="A15" s="91">
        <v>40210</v>
      </c>
      <c r="B15" s="92">
        <f t="shared" si="0"/>
        <v>2010</v>
      </c>
      <c r="C15" s="93">
        <v>39898826.150000006</v>
      </c>
      <c r="D15" s="93">
        <v>18569246.569947626</v>
      </c>
      <c r="E15" s="93">
        <f ca="1">OFFSET('Historic CDM'!$C$64,0,(ROW()-ROW(E$2))/12)/12</f>
        <v>166752.34519664638</v>
      </c>
      <c r="F15" s="93">
        <f t="shared" ca="1" si="1"/>
        <v>18735998.915144272</v>
      </c>
      <c r="G15" s="94">
        <v>25992</v>
      </c>
      <c r="H15" s="93">
        <v>5222365.7454162072</v>
      </c>
      <c r="I15" s="93">
        <f ca="1">OFFSET('Historic CDM'!$C$76,0,(ROW()-ROW(E$2))/12)/12</f>
        <v>60094.695249036537</v>
      </c>
      <c r="J15" s="93">
        <f t="shared" ca="1" si="2"/>
        <v>5282460.4406652441</v>
      </c>
      <c r="K15" s="88">
        <v>1889</v>
      </c>
      <c r="L15" s="93">
        <f>12660175.9279844-Q15</f>
        <v>12660175.9279844</v>
      </c>
      <c r="M15" s="95">
        <f ca="1">OFFSET('Historic CDM'!$C$88,0,(ROW()-ROW(E$2))/12)/12</f>
        <v>112211.7587009819</v>
      </c>
      <c r="N15" s="1">
        <f ca="1">L15+M15-Q15</f>
        <v>12772387.686685381</v>
      </c>
      <c r="O15" s="3">
        <f>29202.21-R15</f>
        <v>29202.21</v>
      </c>
      <c r="P15" s="2">
        <f>214-S15</f>
        <v>213</v>
      </c>
      <c r="Q15" s="93">
        <v>0</v>
      </c>
      <c r="R15" s="95">
        <v>0</v>
      </c>
      <c r="S15" s="94">
        <v>1</v>
      </c>
      <c r="T15" s="93">
        <v>576846.34000000008</v>
      </c>
      <c r="U15" s="96">
        <v>1528.0900000000001</v>
      </c>
      <c r="V15" s="97">
        <f>1525+3029+1903+1633</f>
        <v>8090</v>
      </c>
      <c r="W15" s="93">
        <v>32797.29</v>
      </c>
      <c r="X15" s="99">
        <v>73.771000000000001</v>
      </c>
      <c r="Y15" s="88">
        <v>175</v>
      </c>
      <c r="Z15" s="93">
        <v>129846</v>
      </c>
      <c r="AA15" s="88">
        <v>141</v>
      </c>
      <c r="AB15" s="93">
        <v>2864661</v>
      </c>
      <c r="AC15" s="94">
        <v>1</v>
      </c>
      <c r="AD15" s="93">
        <v>3864101.6362442398</v>
      </c>
      <c r="AE15" s="95">
        <v>8659.25</v>
      </c>
      <c r="AF15" s="94">
        <v>7</v>
      </c>
      <c r="AG15" s="90">
        <f>Weather!B183</f>
        <v>557.29999999999995</v>
      </c>
      <c r="AH15" s="90">
        <f>Weather!C183</f>
        <v>0</v>
      </c>
      <c r="AI15" s="90">
        <f>Employment!B15</f>
        <v>6404.1</v>
      </c>
      <c r="AJ15" s="90">
        <f>Employment!C15</f>
        <v>145.5</v>
      </c>
      <c r="AK15" s="130">
        <v>555907.5</v>
      </c>
      <c r="AL15" s="98">
        <v>28</v>
      </c>
      <c r="AM15" s="90">
        <v>19</v>
      </c>
      <c r="AN15" s="90">
        <v>14</v>
      </c>
      <c r="AO15" s="90">
        <f t="shared" ref="AO15:BC15" si="5">AO3</f>
        <v>0</v>
      </c>
      <c r="AP15" s="90">
        <f t="shared" si="5"/>
        <v>1</v>
      </c>
      <c r="AQ15" s="90">
        <f t="shared" si="5"/>
        <v>0</v>
      </c>
      <c r="AR15" s="90">
        <f t="shared" si="5"/>
        <v>0</v>
      </c>
      <c r="AS15" s="90">
        <f t="shared" si="5"/>
        <v>0</v>
      </c>
      <c r="AT15" s="90">
        <f t="shared" si="5"/>
        <v>0</v>
      </c>
      <c r="AU15" s="90">
        <f t="shared" si="5"/>
        <v>0</v>
      </c>
      <c r="AV15" s="90">
        <f t="shared" si="5"/>
        <v>0</v>
      </c>
      <c r="AW15" s="90">
        <f t="shared" si="5"/>
        <v>0</v>
      </c>
      <c r="AX15" s="90">
        <f t="shared" si="5"/>
        <v>0</v>
      </c>
      <c r="AY15" s="90">
        <f t="shared" si="5"/>
        <v>0</v>
      </c>
      <c r="AZ15" s="90">
        <f t="shared" si="5"/>
        <v>0</v>
      </c>
      <c r="BA15" s="90">
        <f t="shared" si="5"/>
        <v>0</v>
      </c>
      <c r="BB15" s="90">
        <f t="shared" si="5"/>
        <v>0</v>
      </c>
      <c r="BC15" s="90">
        <f t="shared" si="5"/>
        <v>0</v>
      </c>
    </row>
    <row r="16" spans="1:55" x14ac:dyDescent="0.3">
      <c r="A16" s="91">
        <v>40238</v>
      </c>
      <c r="B16" s="92">
        <f t="shared" si="0"/>
        <v>2010</v>
      </c>
      <c r="C16" s="93">
        <v>40682638.524999999</v>
      </c>
      <c r="D16" s="93">
        <v>18172162.141447738</v>
      </c>
      <c r="E16" s="93">
        <f ca="1">OFFSET('Historic CDM'!$C$64,0,(ROW()-ROW(E$2))/12)/12</f>
        <v>166752.34519664638</v>
      </c>
      <c r="F16" s="93">
        <f t="shared" ca="1" si="1"/>
        <v>18338914.486644384</v>
      </c>
      <c r="G16" s="94">
        <v>26054</v>
      </c>
      <c r="H16" s="93">
        <v>5307171.0830371259</v>
      </c>
      <c r="I16" s="93">
        <f ca="1">OFFSET('Historic CDM'!$C$76,0,(ROW()-ROW(E$2))/12)/12</f>
        <v>60094.695249036537</v>
      </c>
      <c r="J16" s="93">
        <f t="shared" ca="1" si="2"/>
        <v>5367265.7782861628</v>
      </c>
      <c r="K16" s="88">
        <v>1886</v>
      </c>
      <c r="L16" s="93">
        <f>13665209.3340902-Q16</f>
        <v>13665209.334090199</v>
      </c>
      <c r="M16" s="95">
        <f ca="1">OFFSET('Historic CDM'!$C$88,0,(ROW()-ROW(E$2))/12)/12</f>
        <v>112211.7587009819</v>
      </c>
      <c r="N16" s="1">
        <f ca="1">L16+M16-Q16</f>
        <v>13777421.092791181</v>
      </c>
      <c r="O16" s="3">
        <f>32096.2199999999-R16</f>
        <v>32096.219999999899</v>
      </c>
      <c r="P16" s="2">
        <f>214-S16</f>
        <v>213</v>
      </c>
      <c r="Q16" s="93">
        <v>0</v>
      </c>
      <c r="R16" s="95">
        <v>0</v>
      </c>
      <c r="S16" s="94">
        <v>1</v>
      </c>
      <c r="T16" s="93">
        <v>538207.99354838696</v>
      </c>
      <c r="U16" s="96">
        <v>1528.0900000000001</v>
      </c>
      <c r="V16" s="97">
        <f>1525+3029+1903+1633</f>
        <v>8090</v>
      </c>
      <c r="W16" s="93">
        <v>32902.07</v>
      </c>
      <c r="X16" s="99">
        <v>73.771000000000001</v>
      </c>
      <c r="Y16" s="88">
        <v>175</v>
      </c>
      <c r="Z16" s="93">
        <v>129846</v>
      </c>
      <c r="AA16" s="88">
        <v>141</v>
      </c>
      <c r="AB16" s="93">
        <v>2659856</v>
      </c>
      <c r="AC16" s="94">
        <v>2</v>
      </c>
      <c r="AD16" s="93">
        <v>4021188.7327880189</v>
      </c>
      <c r="AE16" s="95">
        <v>8271.92</v>
      </c>
      <c r="AF16" s="94">
        <v>7</v>
      </c>
      <c r="AG16" s="90">
        <f>Weather!B184</f>
        <v>393.39999999999986</v>
      </c>
      <c r="AH16" s="90">
        <f>Weather!C184</f>
        <v>0</v>
      </c>
      <c r="AI16" s="90">
        <f>Employment!B16</f>
        <v>6377.2</v>
      </c>
      <c r="AJ16" s="90">
        <f>Employment!C16</f>
        <v>143.30000000000001</v>
      </c>
      <c r="AK16" s="130">
        <v>555907.5</v>
      </c>
      <c r="AL16" s="98">
        <f t="shared" ref="AL16:AL49" si="6">AL4</f>
        <v>31</v>
      </c>
      <c r="AM16" s="90">
        <v>23</v>
      </c>
      <c r="AN16" s="90">
        <v>15</v>
      </c>
      <c r="AO16" s="90">
        <f t="shared" ref="AO16:BC16" si="7">AO4</f>
        <v>0</v>
      </c>
      <c r="AP16" s="90">
        <f t="shared" si="7"/>
        <v>0</v>
      </c>
      <c r="AQ16" s="90">
        <f t="shared" si="7"/>
        <v>1</v>
      </c>
      <c r="AR16" s="90">
        <f t="shared" si="7"/>
        <v>0</v>
      </c>
      <c r="AS16" s="90">
        <f t="shared" si="7"/>
        <v>0</v>
      </c>
      <c r="AT16" s="90">
        <f t="shared" si="7"/>
        <v>0</v>
      </c>
      <c r="AU16" s="90">
        <f t="shared" si="7"/>
        <v>0</v>
      </c>
      <c r="AV16" s="90">
        <f t="shared" si="7"/>
        <v>0</v>
      </c>
      <c r="AW16" s="90">
        <f t="shared" si="7"/>
        <v>0</v>
      </c>
      <c r="AX16" s="90">
        <f t="shared" si="7"/>
        <v>0</v>
      </c>
      <c r="AY16" s="90">
        <f t="shared" si="7"/>
        <v>0</v>
      </c>
      <c r="AZ16" s="90">
        <f t="shared" si="7"/>
        <v>0</v>
      </c>
      <c r="BA16" s="90">
        <f t="shared" si="7"/>
        <v>1</v>
      </c>
      <c r="BB16" s="90">
        <f t="shared" si="7"/>
        <v>0</v>
      </c>
      <c r="BC16" s="90">
        <f t="shared" si="7"/>
        <v>1</v>
      </c>
    </row>
    <row r="17" spans="1:55" x14ac:dyDescent="0.3">
      <c r="A17" s="91">
        <v>40269</v>
      </c>
      <c r="B17" s="92">
        <f t="shared" si="0"/>
        <v>2010</v>
      </c>
      <c r="C17" s="93">
        <v>35985685.375000015</v>
      </c>
      <c r="D17" s="93">
        <v>16291039.206810821</v>
      </c>
      <c r="E17" s="93">
        <f ca="1">OFFSET('Historic CDM'!$C$64,0,(ROW()-ROW(E$2))/12)/12</f>
        <v>166752.34519664638</v>
      </c>
      <c r="F17" s="93">
        <f t="shared" ca="1" si="1"/>
        <v>16457791.552007467</v>
      </c>
      <c r="G17" s="94">
        <v>26018</v>
      </c>
      <c r="H17" s="93">
        <v>4988559.8853533743</v>
      </c>
      <c r="I17" s="93">
        <f ca="1">OFFSET('Historic CDM'!$C$76,0,(ROW()-ROW(E$2))/12)/12</f>
        <v>60094.695249036537</v>
      </c>
      <c r="J17" s="93">
        <f t="shared" ca="1" si="2"/>
        <v>5048654.5806024112</v>
      </c>
      <c r="K17" s="88">
        <v>1885</v>
      </c>
      <c r="L17" s="93">
        <f>12071109.0475889-Q17</f>
        <v>12044975.6975889</v>
      </c>
      <c r="M17" s="95">
        <f ca="1">OFFSET('Historic CDM'!$C$88,0,(ROW()-ROW(E$2))/12)/12</f>
        <v>112211.7587009819</v>
      </c>
      <c r="N17" s="1">
        <f ca="1">L17+M17-Q17</f>
        <v>12131054.106289882</v>
      </c>
      <c r="O17" s="3">
        <f>33678.08-R17</f>
        <v>32477.34</v>
      </c>
      <c r="P17" s="2">
        <f>215-S17</f>
        <v>214</v>
      </c>
      <c r="Q17" s="93">
        <v>26133.35</v>
      </c>
      <c r="R17" s="95">
        <v>1200.74</v>
      </c>
      <c r="S17" s="94">
        <v>1</v>
      </c>
      <c r="T17" s="93">
        <v>426159.58645161288</v>
      </c>
      <c r="U17" s="96">
        <v>1505.77</v>
      </c>
      <c r="V17" s="97">
        <f>1071+3029+1903+1633</f>
        <v>7636</v>
      </c>
      <c r="W17" s="93">
        <v>29402.61</v>
      </c>
      <c r="X17" s="99">
        <v>73.771000000000001</v>
      </c>
      <c r="Y17" s="88">
        <v>175</v>
      </c>
      <c r="Z17" s="93">
        <v>129846</v>
      </c>
      <c r="AA17" s="88">
        <v>141</v>
      </c>
      <c r="AB17" s="93">
        <v>1011729</v>
      </c>
      <c r="AC17" s="94">
        <v>2</v>
      </c>
      <c r="AD17" s="93">
        <v>3597797.5060215048</v>
      </c>
      <c r="AE17" s="95">
        <v>8677.7000000000007</v>
      </c>
      <c r="AF17" s="94">
        <v>7</v>
      </c>
      <c r="AG17" s="90">
        <f>Weather!B185</f>
        <v>174.9</v>
      </c>
      <c r="AH17" s="90">
        <f>Weather!C185</f>
        <v>5</v>
      </c>
      <c r="AI17" s="90">
        <f>Employment!B17</f>
        <v>6401.7</v>
      </c>
      <c r="AJ17" s="90">
        <f>Employment!C17</f>
        <v>146.6</v>
      </c>
      <c r="AK17" s="130">
        <v>555907.5</v>
      </c>
      <c r="AL17" s="98">
        <f t="shared" si="6"/>
        <v>30</v>
      </c>
      <c r="AM17" s="90">
        <v>20</v>
      </c>
      <c r="AN17" s="90">
        <v>16</v>
      </c>
      <c r="AO17" s="90">
        <f t="shared" ref="AO17:BC17" si="8">AO5</f>
        <v>0</v>
      </c>
      <c r="AP17" s="90">
        <f t="shared" si="8"/>
        <v>0</v>
      </c>
      <c r="AQ17" s="90">
        <f t="shared" si="8"/>
        <v>0</v>
      </c>
      <c r="AR17" s="90">
        <f t="shared" si="8"/>
        <v>1</v>
      </c>
      <c r="AS17" s="90">
        <f t="shared" si="8"/>
        <v>0</v>
      </c>
      <c r="AT17" s="90">
        <f t="shared" si="8"/>
        <v>0</v>
      </c>
      <c r="AU17" s="90">
        <f t="shared" si="8"/>
        <v>0</v>
      </c>
      <c r="AV17" s="90">
        <f t="shared" si="8"/>
        <v>0</v>
      </c>
      <c r="AW17" s="90">
        <f t="shared" si="8"/>
        <v>0</v>
      </c>
      <c r="AX17" s="90">
        <f t="shared" si="8"/>
        <v>0</v>
      </c>
      <c r="AY17" s="90">
        <f t="shared" si="8"/>
        <v>0</v>
      </c>
      <c r="AZ17" s="90">
        <f t="shared" si="8"/>
        <v>0</v>
      </c>
      <c r="BA17" s="90">
        <f t="shared" si="8"/>
        <v>1</v>
      </c>
      <c r="BB17" s="90">
        <f t="shared" si="8"/>
        <v>0</v>
      </c>
      <c r="BC17" s="90">
        <f t="shared" si="8"/>
        <v>1</v>
      </c>
    </row>
    <row r="18" spans="1:55" x14ac:dyDescent="0.3">
      <c r="A18" s="91">
        <v>40299</v>
      </c>
      <c r="B18" s="92">
        <f t="shared" si="0"/>
        <v>2010</v>
      </c>
      <c r="C18" s="93">
        <v>42022764.574999988</v>
      </c>
      <c r="D18" s="93">
        <v>19711136.233361259</v>
      </c>
      <c r="E18" s="93">
        <f ca="1">OFFSET('Historic CDM'!$C$64,0,(ROW()-ROW(E$2))/12)/12</f>
        <v>166752.34519664638</v>
      </c>
      <c r="F18" s="93">
        <f t="shared" ca="1" si="1"/>
        <v>19877888.578557905</v>
      </c>
      <c r="G18" s="94">
        <v>26025</v>
      </c>
      <c r="H18" s="93">
        <v>5569353.2683670642</v>
      </c>
      <c r="I18" s="93">
        <f ca="1">OFFSET('Historic CDM'!$C$76,0,(ROW()-ROW(E$2))/12)/12</f>
        <v>60094.695249036537</v>
      </c>
      <c r="J18" s="93">
        <f t="shared" ca="1" si="2"/>
        <v>5629447.9636161011</v>
      </c>
      <c r="K18" s="88">
        <v>1879</v>
      </c>
      <c r="L18" s="93">
        <f>12877781.3401059-Q18</f>
        <v>12863167.636105901</v>
      </c>
      <c r="M18" s="95">
        <f ca="1">OFFSET('Historic CDM'!$C$88,0,(ROW()-ROW(E$2))/12)/12</f>
        <v>112211.7587009819</v>
      </c>
      <c r="N18" s="1">
        <f ca="1">L18+M18-Q18</f>
        <v>12960765.690806882</v>
      </c>
      <c r="O18" s="3">
        <f>36729.71-R18</f>
        <v>34861.42</v>
      </c>
      <c r="P18" s="2">
        <f>215-S18</f>
        <v>214</v>
      </c>
      <c r="Q18" s="93">
        <v>14613.704</v>
      </c>
      <c r="R18" s="95">
        <v>1868.29</v>
      </c>
      <c r="S18" s="94">
        <v>1</v>
      </c>
      <c r="T18" s="93">
        <v>382734.72387096786</v>
      </c>
      <c r="U18" s="96">
        <v>1438.79</v>
      </c>
      <c r="V18" s="97">
        <f>342+3029+1903+1633</f>
        <v>6907</v>
      </c>
      <c r="W18" s="93">
        <v>32763.46</v>
      </c>
      <c r="X18" s="99">
        <v>73.575999999999993</v>
      </c>
      <c r="Y18" s="88">
        <v>174</v>
      </c>
      <c r="Z18" s="93">
        <v>129846</v>
      </c>
      <c r="AA18" s="88">
        <v>141</v>
      </c>
      <c r="AB18" s="93">
        <v>3065134</v>
      </c>
      <c r="AC18" s="94">
        <v>4</v>
      </c>
      <c r="AD18" s="93">
        <v>4005543.8236559154</v>
      </c>
      <c r="AE18" s="95">
        <v>20409.11</v>
      </c>
      <c r="AF18" s="94">
        <v>7</v>
      </c>
      <c r="AG18" s="90">
        <f>Weather!B186</f>
        <v>84.300000000000011</v>
      </c>
      <c r="AH18" s="90">
        <f>Weather!C186</f>
        <v>59.699999999999989</v>
      </c>
      <c r="AI18" s="90">
        <f>Employment!B18</f>
        <v>6468.9</v>
      </c>
      <c r="AJ18" s="90">
        <f>Employment!C18</f>
        <v>147.80000000000001</v>
      </c>
      <c r="AK18" s="130">
        <v>555907.5</v>
      </c>
      <c r="AL18" s="98">
        <f t="shared" si="6"/>
        <v>31</v>
      </c>
      <c r="AM18" s="90">
        <v>20</v>
      </c>
      <c r="AN18" s="90">
        <v>17</v>
      </c>
      <c r="AO18" s="90">
        <f t="shared" ref="AO18:BC18" si="9">AO6</f>
        <v>0</v>
      </c>
      <c r="AP18" s="90">
        <f t="shared" si="9"/>
        <v>0</v>
      </c>
      <c r="AQ18" s="90">
        <f t="shared" si="9"/>
        <v>0</v>
      </c>
      <c r="AR18" s="90">
        <f t="shared" si="9"/>
        <v>0</v>
      </c>
      <c r="AS18" s="90">
        <f t="shared" si="9"/>
        <v>1</v>
      </c>
      <c r="AT18" s="90">
        <f t="shared" si="9"/>
        <v>0</v>
      </c>
      <c r="AU18" s="90">
        <f t="shared" si="9"/>
        <v>0</v>
      </c>
      <c r="AV18" s="90">
        <f t="shared" si="9"/>
        <v>0</v>
      </c>
      <c r="AW18" s="90">
        <f t="shared" si="9"/>
        <v>0</v>
      </c>
      <c r="AX18" s="90">
        <f t="shared" si="9"/>
        <v>0</v>
      </c>
      <c r="AY18" s="90">
        <f t="shared" si="9"/>
        <v>0</v>
      </c>
      <c r="AZ18" s="90">
        <f t="shared" si="9"/>
        <v>0</v>
      </c>
      <c r="BA18" s="90">
        <f t="shared" si="9"/>
        <v>1</v>
      </c>
      <c r="BB18" s="90">
        <f t="shared" si="9"/>
        <v>0</v>
      </c>
      <c r="BC18" s="90">
        <f t="shared" si="9"/>
        <v>1</v>
      </c>
    </row>
    <row r="19" spans="1:55" x14ac:dyDescent="0.3">
      <c r="A19" s="91">
        <v>40330</v>
      </c>
      <c r="B19" s="92">
        <f t="shared" si="0"/>
        <v>2010</v>
      </c>
      <c r="C19" s="93">
        <v>53346932.100000001</v>
      </c>
      <c r="D19" s="93">
        <v>27578432.420346603</v>
      </c>
      <c r="E19" s="93">
        <f ca="1">OFFSET('Historic CDM'!$C$64,0,(ROW()-ROW(E$2))/12)/12</f>
        <v>166752.34519664638</v>
      </c>
      <c r="F19" s="93">
        <f t="shared" ca="1" si="1"/>
        <v>27745184.765543249</v>
      </c>
      <c r="G19" s="94">
        <v>26076</v>
      </c>
      <c r="H19" s="93">
        <v>6232422.9831939405</v>
      </c>
      <c r="I19" s="93">
        <f ca="1">OFFSET('Historic CDM'!$C$76,0,(ROW()-ROW(E$2))/12)/12</f>
        <v>60094.695249036537</v>
      </c>
      <c r="J19" s="93">
        <f t="shared" ca="1" si="2"/>
        <v>6292517.6784429774</v>
      </c>
      <c r="K19" s="88">
        <v>1884</v>
      </c>
      <c r="L19" s="93">
        <f>14967314.5358568-Q19</f>
        <v>14872255.178856799</v>
      </c>
      <c r="M19" s="95">
        <f ca="1">OFFSET('Historic CDM'!$C$88,0,(ROW()-ROW(E$2))/12)/12</f>
        <v>112211.7587009819</v>
      </c>
      <c r="N19" s="1">
        <f ca="1">L19+M19-Q19</f>
        <v>14889407.58055778</v>
      </c>
      <c r="O19" s="3">
        <f>42395.98-R19</f>
        <v>39626.9</v>
      </c>
      <c r="P19" s="2">
        <f>215-S19</f>
        <v>214</v>
      </c>
      <c r="Q19" s="93">
        <v>95059.357000000004</v>
      </c>
      <c r="R19" s="95">
        <v>2769.08</v>
      </c>
      <c r="S19" s="94">
        <v>1</v>
      </c>
      <c r="T19" s="93">
        <v>336701.24612903234</v>
      </c>
      <c r="U19" s="96">
        <v>1438.8</v>
      </c>
      <c r="V19" s="97">
        <f>342+3029+1903+1633</f>
        <v>6907</v>
      </c>
      <c r="W19" s="93">
        <v>33573.79</v>
      </c>
      <c r="X19" s="99">
        <v>73.575999999999993</v>
      </c>
      <c r="Y19" s="88">
        <v>174</v>
      </c>
      <c r="Z19" s="93">
        <v>129846</v>
      </c>
      <c r="AA19" s="88">
        <v>141</v>
      </c>
      <c r="AB19" s="93">
        <v>1943362</v>
      </c>
      <c r="AC19" s="94">
        <v>4</v>
      </c>
      <c r="AD19" s="93">
        <v>4623646.4586774185</v>
      </c>
      <c r="AE19" s="95">
        <v>11897.8</v>
      </c>
      <c r="AF19" s="94">
        <v>7</v>
      </c>
      <c r="AG19" s="90">
        <f>Weather!B187</f>
        <v>3.9000000000000004</v>
      </c>
      <c r="AH19" s="90">
        <f>Weather!C187</f>
        <v>135.89999999999998</v>
      </c>
      <c r="AI19" s="90">
        <f>Employment!B19</f>
        <v>6578.9</v>
      </c>
      <c r="AJ19" s="90">
        <f>Employment!C19</f>
        <v>149.9</v>
      </c>
      <c r="AK19" s="130">
        <v>555907.5</v>
      </c>
      <c r="AL19" s="98">
        <f t="shared" si="6"/>
        <v>30</v>
      </c>
      <c r="AM19" s="90">
        <v>22</v>
      </c>
      <c r="AN19" s="90">
        <v>18</v>
      </c>
      <c r="AO19" s="90">
        <f t="shared" ref="AO19:BC19" si="10">AO7</f>
        <v>0</v>
      </c>
      <c r="AP19" s="90">
        <f t="shared" si="10"/>
        <v>0</v>
      </c>
      <c r="AQ19" s="90">
        <f t="shared" si="10"/>
        <v>0</v>
      </c>
      <c r="AR19" s="90">
        <f t="shared" si="10"/>
        <v>0</v>
      </c>
      <c r="AS19" s="90">
        <f t="shared" si="10"/>
        <v>0</v>
      </c>
      <c r="AT19" s="90">
        <f t="shared" si="10"/>
        <v>1</v>
      </c>
      <c r="AU19" s="90">
        <f t="shared" si="10"/>
        <v>0</v>
      </c>
      <c r="AV19" s="90">
        <f t="shared" si="10"/>
        <v>0</v>
      </c>
      <c r="AW19" s="90">
        <f t="shared" si="10"/>
        <v>0</v>
      </c>
      <c r="AX19" s="90">
        <f t="shared" si="10"/>
        <v>0</v>
      </c>
      <c r="AY19" s="90">
        <f t="shared" si="10"/>
        <v>0</v>
      </c>
      <c r="AZ19" s="90">
        <f t="shared" si="10"/>
        <v>0</v>
      </c>
      <c r="BA19" s="90">
        <f t="shared" si="10"/>
        <v>0</v>
      </c>
      <c r="BB19" s="90">
        <f t="shared" si="10"/>
        <v>0</v>
      </c>
      <c r="BC19" s="90">
        <f t="shared" si="10"/>
        <v>0</v>
      </c>
    </row>
    <row r="20" spans="1:55" x14ac:dyDescent="0.3">
      <c r="A20" s="91">
        <v>40360</v>
      </c>
      <c r="B20" s="92">
        <f t="shared" si="0"/>
        <v>2010</v>
      </c>
      <c r="C20" s="93">
        <v>65592011.975000016</v>
      </c>
      <c r="D20" s="93">
        <v>33984761.023435831</v>
      </c>
      <c r="E20" s="93">
        <f ca="1">OFFSET('Historic CDM'!$C$64,0,(ROW()-ROW(E$2))/12)/12</f>
        <v>166752.34519664638</v>
      </c>
      <c r="F20" s="93">
        <f t="shared" ca="1" si="1"/>
        <v>34151513.368632481</v>
      </c>
      <c r="G20" s="94">
        <v>26109</v>
      </c>
      <c r="H20" s="93">
        <v>6991681.9826721018</v>
      </c>
      <c r="I20" s="93">
        <f ca="1">OFFSET('Historic CDM'!$C$76,0,(ROW()-ROW(E$2))/12)/12</f>
        <v>60094.695249036537</v>
      </c>
      <c r="J20" s="93">
        <f t="shared" ca="1" si="2"/>
        <v>7051776.6779211387</v>
      </c>
      <c r="K20" s="88">
        <v>1908</v>
      </c>
      <c r="L20" s="93">
        <f>16763382.2586417-Q20</f>
        <v>16247820.901641699</v>
      </c>
      <c r="M20" s="95">
        <f ca="1">OFFSET('Historic CDM'!$C$88,0,(ROW()-ROW(E$2))/12)/12</f>
        <v>112211.7587009819</v>
      </c>
      <c r="N20" s="1">
        <f ca="1">L20+M20-Q20</f>
        <v>15844471.30334268</v>
      </c>
      <c r="O20" s="3">
        <f>43203.89-R20</f>
        <v>40169.64</v>
      </c>
      <c r="P20" s="2">
        <f>218-S20</f>
        <v>217</v>
      </c>
      <c r="Q20" s="93">
        <v>515561.35700000002</v>
      </c>
      <c r="R20" s="95">
        <v>3034.25</v>
      </c>
      <c r="S20" s="94">
        <v>1</v>
      </c>
      <c r="T20" s="93">
        <v>356150.57322580647</v>
      </c>
      <c r="U20" s="96">
        <v>1438.8</v>
      </c>
      <c r="V20" s="97">
        <f>342+3029+1903+1633</f>
        <v>6907</v>
      </c>
      <c r="W20" s="93">
        <v>32030.16</v>
      </c>
      <c r="X20" s="99">
        <v>73.575999999999993</v>
      </c>
      <c r="Y20" s="88">
        <v>174</v>
      </c>
      <c r="Z20" s="93">
        <v>129846</v>
      </c>
      <c r="AA20" s="88">
        <v>141</v>
      </c>
      <c r="AB20" s="93">
        <v>1677982</v>
      </c>
      <c r="AC20" s="94">
        <v>4</v>
      </c>
      <c r="AD20" s="93">
        <v>5419427.2648709696</v>
      </c>
      <c r="AE20" s="95">
        <v>13333.060000000001</v>
      </c>
      <c r="AF20" s="94">
        <v>7</v>
      </c>
      <c r="AG20" s="90">
        <f>Weather!B188</f>
        <v>0</v>
      </c>
      <c r="AH20" s="90">
        <f>Weather!C188</f>
        <v>227.00000000000006</v>
      </c>
      <c r="AI20" s="90">
        <f>Employment!B20</f>
        <v>6640.9</v>
      </c>
      <c r="AJ20" s="90">
        <f>Employment!C20</f>
        <v>148.30000000000001</v>
      </c>
      <c r="AK20" s="130">
        <v>555907.5</v>
      </c>
      <c r="AL20" s="98">
        <f t="shared" si="6"/>
        <v>31</v>
      </c>
      <c r="AM20" s="90">
        <v>21</v>
      </c>
      <c r="AN20" s="90">
        <v>19</v>
      </c>
      <c r="AO20" s="90">
        <f t="shared" ref="AO20:BC20" si="11">AO8</f>
        <v>0</v>
      </c>
      <c r="AP20" s="90">
        <f t="shared" si="11"/>
        <v>0</v>
      </c>
      <c r="AQ20" s="90">
        <f t="shared" si="11"/>
        <v>0</v>
      </c>
      <c r="AR20" s="90">
        <f t="shared" si="11"/>
        <v>0</v>
      </c>
      <c r="AS20" s="90">
        <f t="shared" si="11"/>
        <v>0</v>
      </c>
      <c r="AT20" s="90">
        <f t="shared" si="11"/>
        <v>0</v>
      </c>
      <c r="AU20" s="90">
        <f t="shared" si="11"/>
        <v>1</v>
      </c>
      <c r="AV20" s="90">
        <f t="shared" si="11"/>
        <v>0</v>
      </c>
      <c r="AW20" s="90">
        <f t="shared" si="11"/>
        <v>0</v>
      </c>
      <c r="AX20" s="90">
        <f t="shared" si="11"/>
        <v>0</v>
      </c>
      <c r="AY20" s="90">
        <f t="shared" si="11"/>
        <v>0</v>
      </c>
      <c r="AZ20" s="90">
        <f t="shared" si="11"/>
        <v>0</v>
      </c>
      <c r="BA20" s="90">
        <f t="shared" si="11"/>
        <v>0</v>
      </c>
      <c r="BB20" s="90">
        <f t="shared" si="11"/>
        <v>0</v>
      </c>
      <c r="BC20" s="90">
        <f t="shared" si="11"/>
        <v>0</v>
      </c>
    </row>
    <row r="21" spans="1:55" x14ac:dyDescent="0.3">
      <c r="A21" s="91">
        <v>40391</v>
      </c>
      <c r="B21" s="92">
        <f t="shared" si="0"/>
        <v>2010</v>
      </c>
      <c r="C21" s="93">
        <v>64580657.375000007</v>
      </c>
      <c r="D21" s="93">
        <v>31353990.845391963</v>
      </c>
      <c r="E21" s="93">
        <f ca="1">OFFSET('Historic CDM'!$C$64,0,(ROW()-ROW(E$2))/12)/12</f>
        <v>166752.34519664638</v>
      </c>
      <c r="F21" s="93">
        <f t="shared" ca="1" si="1"/>
        <v>31520743.190588608</v>
      </c>
      <c r="G21" s="94">
        <v>26117</v>
      </c>
      <c r="H21" s="93">
        <v>6831475.6482498832</v>
      </c>
      <c r="I21" s="93">
        <f ca="1">OFFSET('Historic CDM'!$C$76,0,(ROW()-ROW(E$2))/12)/12</f>
        <v>60094.695249036537</v>
      </c>
      <c r="J21" s="93">
        <f t="shared" ca="1" si="2"/>
        <v>6891570.3434989201</v>
      </c>
      <c r="K21" s="88">
        <v>1898</v>
      </c>
      <c r="L21" s="93">
        <f>18038978.53121-Q21</f>
        <v>17192288.336210001</v>
      </c>
      <c r="M21" s="95">
        <f ca="1">OFFSET('Historic CDM'!$C$88,0,(ROW()-ROW(E$2))/12)/12</f>
        <v>112211.7587009819</v>
      </c>
      <c r="N21" s="1">
        <f ca="1">L21+M21-Q21</f>
        <v>16457809.899910983</v>
      </c>
      <c r="O21" s="3">
        <f>43008.91-R21</f>
        <v>39342.58</v>
      </c>
      <c r="P21" s="2">
        <f>216-S21</f>
        <v>215</v>
      </c>
      <c r="Q21" s="93">
        <v>846690.19499999995</v>
      </c>
      <c r="R21" s="95">
        <v>3666.33</v>
      </c>
      <c r="S21" s="94">
        <v>1</v>
      </c>
      <c r="T21" s="93">
        <v>398582.40967741929</v>
      </c>
      <c r="U21" s="96">
        <v>1438.8</v>
      </c>
      <c r="V21" s="97">
        <f>342+3029+1903+1633</f>
        <v>6907</v>
      </c>
      <c r="W21" s="93">
        <v>32866.910000000003</v>
      </c>
      <c r="X21" s="99">
        <v>73.575999999999993</v>
      </c>
      <c r="Y21" s="88">
        <v>174</v>
      </c>
      <c r="Z21" s="93">
        <v>129846</v>
      </c>
      <c r="AA21" s="88">
        <v>141</v>
      </c>
      <c r="AB21" s="93">
        <v>1474893</v>
      </c>
      <c r="AC21" s="94">
        <v>6</v>
      </c>
      <c r="AD21" s="93">
        <v>5368699.861612903</v>
      </c>
      <c r="AE21" s="95">
        <v>15605.869999999999</v>
      </c>
      <c r="AF21" s="94">
        <v>7</v>
      </c>
      <c r="AG21" s="90">
        <f>Weather!B189</f>
        <v>0</v>
      </c>
      <c r="AH21" s="90">
        <f>Weather!C189</f>
        <v>211.80000000000004</v>
      </c>
      <c r="AI21" s="90">
        <f>Employment!B21</f>
        <v>6662.6</v>
      </c>
      <c r="AJ21" s="90">
        <f>Employment!C21</f>
        <v>148.4</v>
      </c>
      <c r="AK21" s="130">
        <v>555907.5</v>
      </c>
      <c r="AL21" s="98">
        <f t="shared" si="6"/>
        <v>31</v>
      </c>
      <c r="AM21" s="90">
        <v>21</v>
      </c>
      <c r="AN21" s="90">
        <v>20</v>
      </c>
      <c r="AO21" s="90">
        <f t="shared" ref="AO21:BC21" si="12">AO9</f>
        <v>0</v>
      </c>
      <c r="AP21" s="90">
        <f t="shared" si="12"/>
        <v>0</v>
      </c>
      <c r="AQ21" s="90">
        <f t="shared" si="12"/>
        <v>0</v>
      </c>
      <c r="AR21" s="90">
        <f t="shared" si="12"/>
        <v>0</v>
      </c>
      <c r="AS21" s="90">
        <f t="shared" si="12"/>
        <v>0</v>
      </c>
      <c r="AT21" s="90">
        <f t="shared" si="12"/>
        <v>0</v>
      </c>
      <c r="AU21" s="90">
        <f t="shared" si="12"/>
        <v>0</v>
      </c>
      <c r="AV21" s="90">
        <f t="shared" si="12"/>
        <v>1</v>
      </c>
      <c r="AW21" s="90">
        <f t="shared" si="12"/>
        <v>0</v>
      </c>
      <c r="AX21" s="90">
        <f t="shared" si="12"/>
        <v>0</v>
      </c>
      <c r="AY21" s="90">
        <f t="shared" si="12"/>
        <v>0</v>
      </c>
      <c r="AZ21" s="90">
        <f t="shared" si="12"/>
        <v>0</v>
      </c>
      <c r="BA21" s="90">
        <f t="shared" si="12"/>
        <v>0</v>
      </c>
      <c r="BB21" s="90">
        <f t="shared" si="12"/>
        <v>0</v>
      </c>
      <c r="BC21" s="90">
        <f t="shared" si="12"/>
        <v>0</v>
      </c>
    </row>
    <row r="22" spans="1:55" x14ac:dyDescent="0.3">
      <c r="A22" s="91">
        <v>40422</v>
      </c>
      <c r="B22" s="92">
        <f t="shared" si="0"/>
        <v>2010</v>
      </c>
      <c r="C22" s="93">
        <v>44342415.074999914</v>
      </c>
      <c r="D22" s="93">
        <v>20904657.3231517</v>
      </c>
      <c r="E22" s="93">
        <f ca="1">OFFSET('Historic CDM'!$C$64,0,(ROW()-ROW(E$2))/12)/12</f>
        <v>166752.34519664638</v>
      </c>
      <c r="F22" s="93">
        <f t="shared" ca="1" si="1"/>
        <v>21071409.668348346</v>
      </c>
      <c r="G22" s="94">
        <v>26151</v>
      </c>
      <c r="H22" s="93">
        <v>5591687.662346825</v>
      </c>
      <c r="I22" s="93">
        <f ca="1">OFFSET('Historic CDM'!$C$76,0,(ROW()-ROW(E$2))/12)/12</f>
        <v>60094.695249036537</v>
      </c>
      <c r="J22" s="93">
        <f t="shared" ca="1" si="2"/>
        <v>5651782.3575958619</v>
      </c>
      <c r="K22" s="88">
        <v>1899</v>
      </c>
      <c r="L22" s="93">
        <f>16667342.0433216-Q22</f>
        <v>15250362.048321601</v>
      </c>
      <c r="M22" s="95">
        <f ca="1">OFFSET('Historic CDM'!$C$88,0,(ROW()-ROW(E$2))/12)/12</f>
        <v>112211.7587009819</v>
      </c>
      <c r="N22" s="1">
        <f ca="1">L22+M22-Q22</f>
        <v>13945593.812022582</v>
      </c>
      <c r="O22" s="3">
        <f>43189.9-R22</f>
        <v>39392.730000000003</v>
      </c>
      <c r="P22" s="2">
        <f>215-S22</f>
        <v>214</v>
      </c>
      <c r="Q22" s="93">
        <v>1416979.9950000001</v>
      </c>
      <c r="R22" s="95">
        <v>3797.17</v>
      </c>
      <c r="S22" s="94">
        <v>1</v>
      </c>
      <c r="T22" s="93">
        <v>448931.12709677423</v>
      </c>
      <c r="U22" s="96">
        <v>1438.8</v>
      </c>
      <c r="V22" s="97">
        <f>342+3029+577+1633</f>
        <v>5581</v>
      </c>
      <c r="W22" s="93">
        <v>36207.71</v>
      </c>
      <c r="X22" s="99">
        <v>73.575999999999993</v>
      </c>
      <c r="Y22" s="88">
        <v>174</v>
      </c>
      <c r="Z22" s="93">
        <v>129846</v>
      </c>
      <c r="AA22" s="88">
        <v>141</v>
      </c>
      <c r="AB22" s="93">
        <v>3401723</v>
      </c>
      <c r="AC22" s="94">
        <v>7</v>
      </c>
      <c r="AD22" s="93">
        <v>3865573.1158494628</v>
      </c>
      <c r="AE22" s="95">
        <v>16187.3</v>
      </c>
      <c r="AF22" s="94">
        <v>7</v>
      </c>
      <c r="AG22" s="90">
        <f>Weather!B190</f>
        <v>38</v>
      </c>
      <c r="AH22" s="90">
        <f>Weather!C190</f>
        <v>59.699999999999989</v>
      </c>
      <c r="AI22" s="90">
        <f>Employment!B22</f>
        <v>6611.2</v>
      </c>
      <c r="AJ22" s="90">
        <f>Employment!C22</f>
        <v>148.69999999999999</v>
      </c>
      <c r="AK22" s="130">
        <v>555907.5</v>
      </c>
      <c r="AL22" s="98">
        <f t="shared" si="6"/>
        <v>30</v>
      </c>
      <c r="AM22" s="90">
        <v>21</v>
      </c>
      <c r="AN22" s="90">
        <v>21</v>
      </c>
      <c r="AO22" s="90">
        <f t="shared" ref="AO22:BC22" si="13">AO10</f>
        <v>0</v>
      </c>
      <c r="AP22" s="90">
        <f t="shared" si="13"/>
        <v>0</v>
      </c>
      <c r="AQ22" s="90">
        <f t="shared" si="13"/>
        <v>0</v>
      </c>
      <c r="AR22" s="90">
        <f t="shared" si="13"/>
        <v>0</v>
      </c>
      <c r="AS22" s="90">
        <f t="shared" si="13"/>
        <v>0</v>
      </c>
      <c r="AT22" s="90">
        <f t="shared" si="13"/>
        <v>0</v>
      </c>
      <c r="AU22" s="90">
        <f t="shared" si="13"/>
        <v>0</v>
      </c>
      <c r="AV22" s="90">
        <f t="shared" si="13"/>
        <v>0</v>
      </c>
      <c r="AW22" s="90">
        <f t="shared" si="13"/>
        <v>1</v>
      </c>
      <c r="AX22" s="90">
        <f t="shared" si="13"/>
        <v>0</v>
      </c>
      <c r="AY22" s="90">
        <f t="shared" si="13"/>
        <v>0</v>
      </c>
      <c r="AZ22" s="90">
        <f t="shared" si="13"/>
        <v>0</v>
      </c>
      <c r="BA22" s="90">
        <f t="shared" si="13"/>
        <v>0</v>
      </c>
      <c r="BB22" s="90">
        <f t="shared" si="13"/>
        <v>0</v>
      </c>
      <c r="BC22" s="90">
        <f t="shared" si="13"/>
        <v>0</v>
      </c>
    </row>
    <row r="23" spans="1:55" x14ac:dyDescent="0.3">
      <c r="A23" s="91">
        <v>40452</v>
      </c>
      <c r="B23" s="92">
        <f t="shared" si="0"/>
        <v>2010</v>
      </c>
      <c r="C23" s="93">
        <v>34443862.375</v>
      </c>
      <c r="D23" s="93">
        <v>17041706.67025207</v>
      </c>
      <c r="E23" s="93">
        <f ca="1">OFFSET('Historic CDM'!$C$64,0,(ROW()-ROW(E$2))/12)/12</f>
        <v>166752.34519664638</v>
      </c>
      <c r="F23" s="93">
        <f t="shared" ca="1" si="1"/>
        <v>17208459.015448716</v>
      </c>
      <c r="G23" s="94">
        <v>26166</v>
      </c>
      <c r="H23" s="93">
        <v>5195062.2213637773</v>
      </c>
      <c r="I23" s="93">
        <f ca="1">OFFSET('Historic CDM'!$C$76,0,(ROW()-ROW(E$2))/12)/12</f>
        <v>60094.695249036537</v>
      </c>
      <c r="J23" s="93">
        <f t="shared" ca="1" si="2"/>
        <v>5255156.9166128142</v>
      </c>
      <c r="K23" s="88">
        <v>1911</v>
      </c>
      <c r="L23" s="93">
        <f>13664471.1908002-Q23</f>
        <v>13616308.371800199</v>
      </c>
      <c r="M23" s="95">
        <f ca="1">OFFSET('Historic CDM'!$C$88,0,(ROW()-ROW(E$2))/12)/12</f>
        <v>112211.7587009819</v>
      </c>
      <c r="N23" s="1">
        <f ca="1">L23+M23-Q23</f>
        <v>13680357.311501181</v>
      </c>
      <c r="O23" s="3">
        <f>35299.37-R23</f>
        <v>34736.870000000003</v>
      </c>
      <c r="P23" s="2">
        <f>217-S23</f>
        <v>216</v>
      </c>
      <c r="Q23" s="93">
        <v>48162.819000000003</v>
      </c>
      <c r="R23" s="95">
        <v>562.5</v>
      </c>
      <c r="S23" s="94">
        <v>1</v>
      </c>
      <c r="T23" s="93">
        <v>530914.87935483875</v>
      </c>
      <c r="U23" s="96">
        <v>1438.8</v>
      </c>
      <c r="V23" s="97">
        <f>342+3029+577+1633</f>
        <v>5581</v>
      </c>
      <c r="W23" s="93">
        <v>29947.08</v>
      </c>
      <c r="X23" s="99">
        <v>73.575999999999993</v>
      </c>
      <c r="Y23" s="88">
        <v>174</v>
      </c>
      <c r="Z23" s="93">
        <v>129846</v>
      </c>
      <c r="AA23" s="88">
        <v>141</v>
      </c>
      <c r="AB23" s="93">
        <v>6000758</v>
      </c>
      <c r="AC23" s="94">
        <v>12</v>
      </c>
      <c r="AD23" s="93">
        <v>3338217.166731182</v>
      </c>
      <c r="AE23" s="95">
        <v>9398.09</v>
      </c>
      <c r="AF23" s="94">
        <v>7</v>
      </c>
      <c r="AG23" s="90">
        <f>Weather!B191</f>
        <v>157.6</v>
      </c>
      <c r="AH23" s="90">
        <f>Weather!C191</f>
        <v>1.4000000000000001</v>
      </c>
      <c r="AI23" s="90">
        <f>Employment!B23</f>
        <v>6587.1</v>
      </c>
      <c r="AJ23" s="90">
        <f>Employment!C23</f>
        <v>149.6</v>
      </c>
      <c r="AK23" s="130">
        <v>555907.5</v>
      </c>
      <c r="AL23" s="98">
        <f t="shared" si="6"/>
        <v>31</v>
      </c>
      <c r="AM23" s="90">
        <v>20</v>
      </c>
      <c r="AN23" s="90">
        <v>22</v>
      </c>
      <c r="AO23" s="90">
        <f t="shared" ref="AO23:BC23" si="14">AO11</f>
        <v>0</v>
      </c>
      <c r="AP23" s="90">
        <f t="shared" si="14"/>
        <v>0</v>
      </c>
      <c r="AQ23" s="90">
        <f t="shared" si="14"/>
        <v>0</v>
      </c>
      <c r="AR23" s="90">
        <f t="shared" si="14"/>
        <v>0</v>
      </c>
      <c r="AS23" s="90">
        <f t="shared" si="14"/>
        <v>0</v>
      </c>
      <c r="AT23" s="90">
        <f t="shared" si="14"/>
        <v>0</v>
      </c>
      <c r="AU23" s="90">
        <f t="shared" si="14"/>
        <v>0</v>
      </c>
      <c r="AV23" s="90">
        <f t="shared" si="14"/>
        <v>0</v>
      </c>
      <c r="AW23" s="90">
        <f t="shared" si="14"/>
        <v>0</v>
      </c>
      <c r="AX23" s="90">
        <f t="shared" si="14"/>
        <v>1</v>
      </c>
      <c r="AY23" s="90">
        <f t="shared" si="14"/>
        <v>0</v>
      </c>
      <c r="AZ23" s="90">
        <f t="shared" si="14"/>
        <v>0</v>
      </c>
      <c r="BA23" s="90">
        <f t="shared" si="14"/>
        <v>0</v>
      </c>
      <c r="BB23" s="90">
        <f t="shared" si="14"/>
        <v>1</v>
      </c>
      <c r="BC23" s="90">
        <f t="shared" si="14"/>
        <v>1</v>
      </c>
    </row>
    <row r="24" spans="1:55" x14ac:dyDescent="0.3">
      <c r="A24" s="91">
        <v>40483</v>
      </c>
      <c r="B24" s="92">
        <f t="shared" si="0"/>
        <v>2010</v>
      </c>
      <c r="C24" s="93">
        <v>35875503.25000003</v>
      </c>
      <c r="D24" s="93">
        <v>17817977.680912178</v>
      </c>
      <c r="E24" s="93">
        <f ca="1">OFFSET('Historic CDM'!$C$64,0,(ROW()-ROW(E$2))/12)/12</f>
        <v>166752.34519664638</v>
      </c>
      <c r="F24" s="93">
        <f t="shared" ca="1" si="1"/>
        <v>17984730.026108824</v>
      </c>
      <c r="G24" s="94">
        <v>26109</v>
      </c>
      <c r="H24" s="93">
        <v>5191431.2842909098</v>
      </c>
      <c r="I24" s="93">
        <f ca="1">OFFSET('Historic CDM'!$C$76,0,(ROW()-ROW(E$2))/12)/12</f>
        <v>60094.695249036537</v>
      </c>
      <c r="J24" s="93">
        <f t="shared" ca="1" si="2"/>
        <v>5251525.9795399467</v>
      </c>
      <c r="K24" s="88">
        <v>1904</v>
      </c>
      <c r="L24" s="93">
        <f>13832330.638668-Q24</f>
        <v>13831941.880668001</v>
      </c>
      <c r="M24" s="95">
        <f ca="1">OFFSET('Historic CDM'!$C$88,0,(ROW()-ROW(E$2))/12)/12</f>
        <v>112211.7587009819</v>
      </c>
      <c r="N24" s="1">
        <f ca="1">L24+M24-Q24</f>
        <v>13943764.881368984</v>
      </c>
      <c r="O24" s="3">
        <f>34324.84-R24</f>
        <v>34108.129999999997</v>
      </c>
      <c r="P24" s="2">
        <f>216-S24</f>
        <v>215</v>
      </c>
      <c r="Q24" s="93">
        <v>388.75799999999998</v>
      </c>
      <c r="R24" s="95">
        <v>216.71</v>
      </c>
      <c r="S24" s="94">
        <v>1</v>
      </c>
      <c r="T24" s="93">
        <v>558232.74064516125</v>
      </c>
      <c r="U24" s="96">
        <v>1438.8</v>
      </c>
      <c r="V24" s="97">
        <f>342+3029+577+1633</f>
        <v>5581</v>
      </c>
      <c r="W24" s="93">
        <v>34572.42</v>
      </c>
      <c r="X24" s="99">
        <v>73.381</v>
      </c>
      <c r="Y24" s="88">
        <v>173</v>
      </c>
      <c r="Z24" s="93">
        <v>129846</v>
      </c>
      <c r="AA24" s="88">
        <v>141</v>
      </c>
      <c r="AB24" s="93">
        <v>6628502</v>
      </c>
      <c r="AC24" s="94">
        <v>12</v>
      </c>
      <c r="AD24" s="93">
        <v>3501660.6422688155</v>
      </c>
      <c r="AE24" s="95">
        <v>8304.34</v>
      </c>
      <c r="AF24" s="94">
        <v>7</v>
      </c>
      <c r="AG24" s="90">
        <f>Weather!B192</f>
        <v>376.59999999999991</v>
      </c>
      <c r="AH24" s="90">
        <f>Weather!C192</f>
        <v>0</v>
      </c>
      <c r="AI24" s="90">
        <f>Employment!B24</f>
        <v>6566.6</v>
      </c>
      <c r="AJ24" s="90">
        <f>Employment!C24</f>
        <v>148.9</v>
      </c>
      <c r="AK24" s="130">
        <v>555907.5</v>
      </c>
      <c r="AL24" s="98">
        <f t="shared" si="6"/>
        <v>30</v>
      </c>
      <c r="AM24" s="90">
        <v>22</v>
      </c>
      <c r="AN24" s="90">
        <v>23</v>
      </c>
      <c r="AO24" s="90">
        <f t="shared" ref="AO24:BC24" si="15">AO12</f>
        <v>0</v>
      </c>
      <c r="AP24" s="90">
        <f t="shared" si="15"/>
        <v>0</v>
      </c>
      <c r="AQ24" s="90">
        <f t="shared" si="15"/>
        <v>0</v>
      </c>
      <c r="AR24" s="90">
        <f t="shared" si="15"/>
        <v>0</v>
      </c>
      <c r="AS24" s="90">
        <f t="shared" si="15"/>
        <v>0</v>
      </c>
      <c r="AT24" s="90">
        <f t="shared" si="15"/>
        <v>0</v>
      </c>
      <c r="AU24" s="90">
        <f t="shared" si="15"/>
        <v>0</v>
      </c>
      <c r="AV24" s="90">
        <f t="shared" si="15"/>
        <v>0</v>
      </c>
      <c r="AW24" s="90">
        <f t="shared" si="15"/>
        <v>0</v>
      </c>
      <c r="AX24" s="90">
        <f t="shared" si="15"/>
        <v>0</v>
      </c>
      <c r="AY24" s="90">
        <f t="shared" si="15"/>
        <v>1</v>
      </c>
      <c r="AZ24" s="90">
        <f t="shared" si="15"/>
        <v>0</v>
      </c>
      <c r="BA24" s="90">
        <f t="shared" si="15"/>
        <v>0</v>
      </c>
      <c r="BB24" s="90">
        <f t="shared" si="15"/>
        <v>1</v>
      </c>
      <c r="BC24" s="90">
        <f t="shared" si="15"/>
        <v>1</v>
      </c>
    </row>
    <row r="25" spans="1:55" x14ac:dyDescent="0.3">
      <c r="A25" s="91">
        <v>40513</v>
      </c>
      <c r="B25" s="92">
        <f t="shared" si="0"/>
        <v>2010</v>
      </c>
      <c r="C25" s="93">
        <v>40162022.824999973</v>
      </c>
      <c r="D25" s="93">
        <v>21599750.119087789</v>
      </c>
      <c r="E25" s="93">
        <f ca="1">OFFSET('Historic CDM'!$C$64,0,(ROW()-ROW(E$2))/12)/12</f>
        <v>166752.34519664638</v>
      </c>
      <c r="F25" s="93">
        <f t="shared" ca="1" si="1"/>
        <v>21766502.464284435</v>
      </c>
      <c r="G25" s="94">
        <v>26107</v>
      </c>
      <c r="H25" s="93">
        <v>5784810.6940108137</v>
      </c>
      <c r="I25" s="93">
        <f ca="1">OFFSET('Historic CDM'!$C$76,0,(ROW()-ROW(E$2))/12)/12</f>
        <v>60094.695249036537</v>
      </c>
      <c r="J25" s="93">
        <f t="shared" ca="1" si="2"/>
        <v>5844905.3892598506</v>
      </c>
      <c r="K25" s="88">
        <v>1915</v>
      </c>
      <c r="L25" s="93">
        <f>13703958.7830311-Q25</f>
        <v>13703945.671031101</v>
      </c>
      <c r="M25" s="95">
        <f ca="1">OFFSET('Historic CDM'!$C$88,0,(ROW()-ROW(E$2))/12)/12</f>
        <v>112211.7587009819</v>
      </c>
      <c r="N25" s="1">
        <f ca="1">L25+M25-Q25</f>
        <v>13816144.317732083</v>
      </c>
      <c r="O25" s="3">
        <f>34445.49-R25</f>
        <v>34445.49</v>
      </c>
      <c r="P25" s="2">
        <f>215-S25</f>
        <v>214</v>
      </c>
      <c r="Q25" s="93">
        <v>13.112</v>
      </c>
      <c r="R25" s="101">
        <v>0</v>
      </c>
      <c r="S25" s="94">
        <v>1</v>
      </c>
      <c r="T25" s="93">
        <v>611117.14967741934</v>
      </c>
      <c r="U25" s="96">
        <v>1438.8</v>
      </c>
      <c r="V25" s="97">
        <f>342+3029+577+1633</f>
        <v>5581</v>
      </c>
      <c r="W25" s="93">
        <v>30088.5</v>
      </c>
      <c r="X25" s="99">
        <v>73.186000000000007</v>
      </c>
      <c r="Y25" s="88">
        <v>173</v>
      </c>
      <c r="Z25" s="93">
        <v>129846</v>
      </c>
      <c r="AA25" s="88">
        <v>141</v>
      </c>
      <c r="AB25" s="93">
        <v>8553494</v>
      </c>
      <c r="AC25" s="94">
        <v>13</v>
      </c>
      <c r="AD25" s="93">
        <v>3745630.697731182</v>
      </c>
      <c r="AE25" s="95">
        <v>9167.3100000000013</v>
      </c>
      <c r="AF25" s="94">
        <v>7</v>
      </c>
      <c r="AG25" s="90">
        <f>Weather!B193</f>
        <v>645.59999999999991</v>
      </c>
      <c r="AH25" s="90">
        <f>Weather!C193</f>
        <v>0</v>
      </c>
      <c r="AI25" s="90">
        <f>Employment!B25</f>
        <v>6584.1</v>
      </c>
      <c r="AJ25" s="90">
        <f>Employment!C25</f>
        <v>148.1</v>
      </c>
      <c r="AK25" s="130">
        <v>555907.5</v>
      </c>
      <c r="AL25" s="98">
        <f t="shared" si="6"/>
        <v>31</v>
      </c>
      <c r="AM25" s="90">
        <v>21</v>
      </c>
      <c r="AN25" s="90">
        <v>24</v>
      </c>
      <c r="AO25" s="90">
        <f t="shared" ref="AO25:BC25" si="16">AO13</f>
        <v>0</v>
      </c>
      <c r="AP25" s="90">
        <f t="shared" si="16"/>
        <v>0</v>
      </c>
      <c r="AQ25" s="90">
        <f t="shared" si="16"/>
        <v>0</v>
      </c>
      <c r="AR25" s="90">
        <f t="shared" si="16"/>
        <v>0</v>
      </c>
      <c r="AS25" s="90">
        <f t="shared" si="16"/>
        <v>0</v>
      </c>
      <c r="AT25" s="90">
        <f t="shared" si="16"/>
        <v>0</v>
      </c>
      <c r="AU25" s="90">
        <f t="shared" si="16"/>
        <v>0</v>
      </c>
      <c r="AV25" s="90">
        <f t="shared" si="16"/>
        <v>0</v>
      </c>
      <c r="AW25" s="90">
        <f t="shared" si="16"/>
        <v>0</v>
      </c>
      <c r="AX25" s="90">
        <f t="shared" si="16"/>
        <v>0</v>
      </c>
      <c r="AY25" s="90">
        <f t="shared" si="16"/>
        <v>0</v>
      </c>
      <c r="AZ25" s="90">
        <f t="shared" si="16"/>
        <v>1</v>
      </c>
      <c r="BA25" s="90">
        <f t="shared" si="16"/>
        <v>0</v>
      </c>
      <c r="BB25" s="90">
        <f t="shared" si="16"/>
        <v>0</v>
      </c>
      <c r="BC25" s="90">
        <f t="shared" si="16"/>
        <v>0</v>
      </c>
    </row>
    <row r="26" spans="1:55" x14ac:dyDescent="0.3">
      <c r="A26" s="91">
        <v>40544</v>
      </c>
      <c r="B26" s="92">
        <f t="shared" si="0"/>
        <v>2011</v>
      </c>
      <c r="C26" s="93">
        <v>40687722.750000075</v>
      </c>
      <c r="D26" s="93">
        <v>21967473.690274052</v>
      </c>
      <c r="E26" s="93">
        <f ca="1">OFFSET('Historic CDM'!$C$64,0,(ROW()-ROW(E$2))/12)/12</f>
        <v>210840.46827130773</v>
      </c>
      <c r="F26" s="93">
        <f t="shared" ca="1" si="1"/>
        <v>22178314.15854536</v>
      </c>
      <c r="G26" s="94">
        <v>26070</v>
      </c>
      <c r="H26" s="93">
        <v>5941401.3905487824</v>
      </c>
      <c r="I26" s="93">
        <f ca="1">OFFSET('Historic CDM'!$C$76,0,(ROW()-ROW(E$2))/12)/12</f>
        <v>85186.973011121721</v>
      </c>
      <c r="J26" s="93">
        <f t="shared" ca="1" si="2"/>
        <v>6026588.3635599045</v>
      </c>
      <c r="K26" s="88">
        <v>1923</v>
      </c>
      <c r="L26" s="93">
        <f>14138537.2899139-Q26</f>
        <v>14138537.2899139</v>
      </c>
      <c r="M26" s="95">
        <f ca="1">OFFSET('Historic CDM'!$C$88,0,(ROW()-ROW(E$2))/12)/12</f>
        <v>161583.24168736048</v>
      </c>
      <c r="N26" s="1">
        <f ca="1">L26+M26-Q26</f>
        <v>14300120.531601261</v>
      </c>
      <c r="O26" s="3">
        <f>32128.55-R26</f>
        <v>32128.55</v>
      </c>
      <c r="P26" s="2">
        <f>220-S26</f>
        <v>219</v>
      </c>
      <c r="Q26" s="93">
        <v>0</v>
      </c>
      <c r="R26" s="95">
        <v>0</v>
      </c>
      <c r="S26" s="94">
        <v>1</v>
      </c>
      <c r="T26" s="93">
        <v>603394.49032258068</v>
      </c>
      <c r="U26" s="96">
        <v>1441.1</v>
      </c>
      <c r="V26" s="97">
        <f>342+3029+577+1633</f>
        <v>5581</v>
      </c>
      <c r="W26" s="93">
        <v>32730.2</v>
      </c>
      <c r="X26" s="99">
        <v>73.771000000000001</v>
      </c>
      <c r="Y26" s="88">
        <v>175</v>
      </c>
      <c r="Z26" s="93">
        <v>129846</v>
      </c>
      <c r="AA26" s="88">
        <v>141</v>
      </c>
      <c r="AB26" s="93">
        <v>7350247</v>
      </c>
      <c r="AC26" s="94">
        <v>14</v>
      </c>
      <c r="AD26" s="93">
        <v>3929246.8658064529</v>
      </c>
      <c r="AE26" s="95">
        <v>8447.74</v>
      </c>
      <c r="AF26" s="94">
        <v>7</v>
      </c>
      <c r="AG26" s="90">
        <f>Weather!B194</f>
        <v>703.59999999999991</v>
      </c>
      <c r="AH26" s="90">
        <f>Weather!C194</f>
        <v>0</v>
      </c>
      <c r="AI26" s="90">
        <f>Employment!B26</f>
        <v>6571.2</v>
      </c>
      <c r="AJ26" s="90">
        <f>Employment!C26</f>
        <v>148.69999999999999</v>
      </c>
      <c r="AK26" s="130">
        <v>570633.30000000005</v>
      </c>
      <c r="AL26" s="98">
        <f t="shared" si="6"/>
        <v>31</v>
      </c>
      <c r="AM26" s="90">
        <v>20</v>
      </c>
      <c r="AN26" s="90">
        <v>25</v>
      </c>
      <c r="AO26" s="90">
        <f t="shared" ref="AO26:BC26" si="17">AO14</f>
        <v>1</v>
      </c>
      <c r="AP26" s="90">
        <f t="shared" si="17"/>
        <v>0</v>
      </c>
      <c r="AQ26" s="90">
        <f t="shared" si="17"/>
        <v>0</v>
      </c>
      <c r="AR26" s="90">
        <f t="shared" si="17"/>
        <v>0</v>
      </c>
      <c r="AS26" s="90">
        <f t="shared" si="17"/>
        <v>0</v>
      </c>
      <c r="AT26" s="90">
        <f t="shared" si="17"/>
        <v>0</v>
      </c>
      <c r="AU26" s="90">
        <f t="shared" si="17"/>
        <v>0</v>
      </c>
      <c r="AV26" s="90">
        <f t="shared" si="17"/>
        <v>0</v>
      </c>
      <c r="AW26" s="90">
        <f t="shared" si="17"/>
        <v>0</v>
      </c>
      <c r="AX26" s="90">
        <f t="shared" si="17"/>
        <v>0</v>
      </c>
      <c r="AY26" s="90">
        <f t="shared" si="17"/>
        <v>0</v>
      </c>
      <c r="AZ26" s="90">
        <f t="shared" si="17"/>
        <v>0</v>
      </c>
      <c r="BA26" s="90">
        <f t="shared" si="17"/>
        <v>0</v>
      </c>
      <c r="BB26" s="90">
        <f t="shared" si="17"/>
        <v>0</v>
      </c>
      <c r="BC26" s="90">
        <f t="shared" si="17"/>
        <v>0</v>
      </c>
    </row>
    <row r="27" spans="1:55" x14ac:dyDescent="0.3">
      <c r="A27" s="91">
        <v>40575</v>
      </c>
      <c r="B27" s="92">
        <f t="shared" si="0"/>
        <v>2011</v>
      </c>
      <c r="C27" s="93">
        <v>33708364.824999988</v>
      </c>
      <c r="D27" s="93">
        <v>18744690.584864158</v>
      </c>
      <c r="E27" s="93">
        <f ca="1">OFFSET('Historic CDM'!$C$64,0,(ROW()-ROW(E$2))/12)/12</f>
        <v>210840.46827130773</v>
      </c>
      <c r="F27" s="93">
        <f t="shared" ca="1" si="1"/>
        <v>18955531.053135466</v>
      </c>
      <c r="G27" s="94">
        <v>26066</v>
      </c>
      <c r="H27" s="93">
        <v>5277783.5714566214</v>
      </c>
      <c r="I27" s="93">
        <f ca="1">OFFSET('Historic CDM'!$C$76,0,(ROW()-ROW(E$2))/12)/12</f>
        <v>85186.973011121721</v>
      </c>
      <c r="J27" s="93">
        <f t="shared" ca="1" si="2"/>
        <v>5362970.5444677435</v>
      </c>
      <c r="K27" s="88">
        <v>1914</v>
      </c>
      <c r="L27" s="93">
        <f>12662403.6591726-Q27</f>
        <v>12662403.6591726</v>
      </c>
      <c r="M27" s="95">
        <f ca="1">OFFSET('Historic CDM'!$C$88,0,(ROW()-ROW(E$2))/12)/12</f>
        <v>161583.24168736048</v>
      </c>
      <c r="N27" s="1">
        <f ca="1">L27+M27-Q27</f>
        <v>12823986.900859961</v>
      </c>
      <c r="O27" s="3">
        <f>31979.37-R27</f>
        <v>31979.37</v>
      </c>
      <c r="P27" s="2">
        <f>221-S27</f>
        <v>220</v>
      </c>
      <c r="Q27" s="93">
        <v>0</v>
      </c>
      <c r="R27" s="95">
        <v>0</v>
      </c>
      <c r="S27" s="94">
        <v>1</v>
      </c>
      <c r="T27" s="93">
        <v>567364.7799999998</v>
      </c>
      <c r="U27" s="96">
        <v>1503.1799999999998</v>
      </c>
      <c r="V27" s="102">
        <f t="shared" ref="V27:V33" si="18">342+1133+595+579</f>
        <v>2649</v>
      </c>
      <c r="W27" s="93">
        <v>35667.9</v>
      </c>
      <c r="X27" s="99">
        <v>73.771000000000001</v>
      </c>
      <c r="Y27" s="88">
        <v>175</v>
      </c>
      <c r="Z27" s="93">
        <v>129846</v>
      </c>
      <c r="AA27" s="88">
        <v>141</v>
      </c>
      <c r="AB27" s="93">
        <v>8551139</v>
      </c>
      <c r="AC27" s="94">
        <v>16</v>
      </c>
      <c r="AD27" s="93">
        <v>3505388.2979147481</v>
      </c>
      <c r="AE27" s="95">
        <v>8668.880000000001</v>
      </c>
      <c r="AF27" s="94">
        <v>7</v>
      </c>
      <c r="AG27" s="90">
        <f>Weather!B195</f>
        <v>583.20000000000005</v>
      </c>
      <c r="AH27" s="90">
        <f>Weather!C195</f>
        <v>0</v>
      </c>
      <c r="AI27" s="90">
        <f>Employment!B27</f>
        <v>6548.1</v>
      </c>
      <c r="AJ27" s="90">
        <f>Employment!C27</f>
        <v>146.69999999999999</v>
      </c>
      <c r="AK27" s="130">
        <v>570633.30000000005</v>
      </c>
      <c r="AL27" s="98">
        <f t="shared" si="6"/>
        <v>28</v>
      </c>
      <c r="AM27" s="90">
        <v>19</v>
      </c>
      <c r="AN27" s="90">
        <v>26</v>
      </c>
      <c r="AO27" s="90">
        <f t="shared" ref="AO27:BC27" si="19">AO15</f>
        <v>0</v>
      </c>
      <c r="AP27" s="90">
        <f t="shared" si="19"/>
        <v>1</v>
      </c>
      <c r="AQ27" s="90">
        <f t="shared" si="19"/>
        <v>0</v>
      </c>
      <c r="AR27" s="90">
        <f t="shared" si="19"/>
        <v>0</v>
      </c>
      <c r="AS27" s="90">
        <f t="shared" si="19"/>
        <v>0</v>
      </c>
      <c r="AT27" s="90">
        <f t="shared" si="19"/>
        <v>0</v>
      </c>
      <c r="AU27" s="90">
        <f t="shared" si="19"/>
        <v>0</v>
      </c>
      <c r="AV27" s="90">
        <f t="shared" si="19"/>
        <v>0</v>
      </c>
      <c r="AW27" s="90">
        <f t="shared" si="19"/>
        <v>0</v>
      </c>
      <c r="AX27" s="90">
        <f t="shared" si="19"/>
        <v>0</v>
      </c>
      <c r="AY27" s="90">
        <f t="shared" si="19"/>
        <v>0</v>
      </c>
      <c r="AZ27" s="90">
        <f t="shared" si="19"/>
        <v>0</v>
      </c>
      <c r="BA27" s="90">
        <f t="shared" si="19"/>
        <v>0</v>
      </c>
      <c r="BB27" s="90">
        <f t="shared" si="19"/>
        <v>0</v>
      </c>
      <c r="BC27" s="90">
        <f t="shared" si="19"/>
        <v>0</v>
      </c>
    </row>
    <row r="28" spans="1:55" x14ac:dyDescent="0.3">
      <c r="A28" s="91">
        <v>40603</v>
      </c>
      <c r="B28" s="92">
        <f t="shared" si="0"/>
        <v>2011</v>
      </c>
      <c r="C28" s="93">
        <v>36420878.524999969</v>
      </c>
      <c r="D28" s="93">
        <v>18809256.135771442</v>
      </c>
      <c r="E28" s="93">
        <f ca="1">OFFSET('Historic CDM'!$C$64,0,(ROW()-ROW(E$2))/12)/12</f>
        <v>210840.46827130773</v>
      </c>
      <c r="F28" s="93">
        <f t="shared" ca="1" si="1"/>
        <v>19020096.60404275</v>
      </c>
      <c r="G28" s="94">
        <v>26095</v>
      </c>
      <c r="H28" s="103">
        <f>5539147.75182897+6565.714</f>
        <v>5545713.4658289701</v>
      </c>
      <c r="I28" s="93">
        <f ca="1">OFFSET('Historic CDM'!$C$76,0,(ROW()-ROW(E$2))/12)/12</f>
        <v>85186.973011121721</v>
      </c>
      <c r="J28" s="93">
        <f t="shared" ca="1" si="2"/>
        <v>5630900.4388400922</v>
      </c>
      <c r="K28" s="102">
        <f>1921+1</f>
        <v>1922</v>
      </c>
      <c r="L28" s="93">
        <f>13568069.683389-Q28</f>
        <v>13568069.683389001</v>
      </c>
      <c r="M28" s="95">
        <f ca="1">OFFSET('Historic CDM'!$C$88,0,(ROW()-ROW(E$2))/12)/12</f>
        <v>161583.24168736048</v>
      </c>
      <c r="N28" s="1">
        <f ca="1">L28+M28-Q28</f>
        <v>13729652.925076362</v>
      </c>
      <c r="O28" s="3">
        <f>32046.73-R28</f>
        <v>32046.73</v>
      </c>
      <c r="P28" s="2">
        <f>222-S28</f>
        <v>221</v>
      </c>
      <c r="Q28" s="93">
        <v>0</v>
      </c>
      <c r="R28" s="95">
        <v>0</v>
      </c>
      <c r="S28" s="94">
        <v>1</v>
      </c>
      <c r="T28" s="93">
        <v>529435.30838709685</v>
      </c>
      <c r="U28" s="96">
        <v>1503.1799999999998</v>
      </c>
      <c r="V28" s="102">
        <f t="shared" si="18"/>
        <v>2649</v>
      </c>
      <c r="W28" s="93">
        <v>32688.07</v>
      </c>
      <c r="X28" s="99">
        <v>73.771000000000001</v>
      </c>
      <c r="Y28" s="88">
        <v>175</v>
      </c>
      <c r="Z28" s="93">
        <v>129846</v>
      </c>
      <c r="AA28" s="88">
        <v>141</v>
      </c>
      <c r="AB28" s="93">
        <v>7630739</v>
      </c>
      <c r="AC28" s="94">
        <v>17</v>
      </c>
      <c r="AD28" s="93">
        <v>3765208.991762673</v>
      </c>
      <c r="AE28" s="95">
        <v>8493.43</v>
      </c>
      <c r="AF28" s="94">
        <v>7</v>
      </c>
      <c r="AG28" s="90">
        <f>Weather!B196</f>
        <v>514.30000000000007</v>
      </c>
      <c r="AH28" s="90">
        <f>Weather!C196</f>
        <v>0</v>
      </c>
      <c r="AI28" s="90">
        <f>Employment!B28</f>
        <v>6523.7</v>
      </c>
      <c r="AJ28" s="90">
        <f>Employment!C28</f>
        <v>145.4</v>
      </c>
      <c r="AK28" s="130">
        <v>570633.30000000005</v>
      </c>
      <c r="AL28" s="98">
        <f t="shared" si="6"/>
        <v>31</v>
      </c>
      <c r="AM28" s="90">
        <v>23</v>
      </c>
      <c r="AN28" s="90">
        <v>27</v>
      </c>
      <c r="AO28" s="90">
        <f t="shared" ref="AO28:BC28" si="20">AO16</f>
        <v>0</v>
      </c>
      <c r="AP28" s="90">
        <f t="shared" si="20"/>
        <v>0</v>
      </c>
      <c r="AQ28" s="90">
        <f t="shared" si="20"/>
        <v>1</v>
      </c>
      <c r="AR28" s="90">
        <f t="shared" si="20"/>
        <v>0</v>
      </c>
      <c r="AS28" s="90">
        <f t="shared" si="20"/>
        <v>0</v>
      </c>
      <c r="AT28" s="90">
        <f t="shared" si="20"/>
        <v>0</v>
      </c>
      <c r="AU28" s="90">
        <f t="shared" si="20"/>
        <v>0</v>
      </c>
      <c r="AV28" s="90">
        <f t="shared" si="20"/>
        <v>0</v>
      </c>
      <c r="AW28" s="90">
        <f t="shared" si="20"/>
        <v>0</v>
      </c>
      <c r="AX28" s="90">
        <f t="shared" si="20"/>
        <v>0</v>
      </c>
      <c r="AY28" s="90">
        <f t="shared" si="20"/>
        <v>0</v>
      </c>
      <c r="AZ28" s="90">
        <f t="shared" si="20"/>
        <v>0</v>
      </c>
      <c r="BA28" s="90">
        <f t="shared" si="20"/>
        <v>1</v>
      </c>
      <c r="BB28" s="90">
        <f t="shared" si="20"/>
        <v>0</v>
      </c>
      <c r="BC28" s="90">
        <f t="shared" si="20"/>
        <v>1</v>
      </c>
    </row>
    <row r="29" spans="1:55" x14ac:dyDescent="0.3">
      <c r="A29" s="91">
        <v>40634</v>
      </c>
      <c r="B29" s="92">
        <f t="shared" si="0"/>
        <v>2011</v>
      </c>
      <c r="C29" s="93">
        <v>31091487.899999991</v>
      </c>
      <c r="D29" s="93">
        <v>16914581.584801115</v>
      </c>
      <c r="E29" s="93">
        <f ca="1">OFFSET('Historic CDM'!$C$64,0,(ROW()-ROW(E$2))/12)/12</f>
        <v>210840.46827130773</v>
      </c>
      <c r="F29" s="93">
        <f t="shared" ca="1" si="1"/>
        <v>17125422.053072423</v>
      </c>
      <c r="G29" s="94">
        <v>26233</v>
      </c>
      <c r="H29" s="103">
        <f>5080114.20285242+9780.952</f>
        <v>5089895.1548524192</v>
      </c>
      <c r="I29" s="93">
        <f ca="1">OFFSET('Historic CDM'!$C$76,0,(ROW()-ROW(E$2))/12)/12</f>
        <v>85186.973011121721</v>
      </c>
      <c r="J29" s="93">
        <f t="shared" ca="1" si="2"/>
        <v>5175082.1278635412</v>
      </c>
      <c r="K29" s="102">
        <f>1925+1</f>
        <v>1926</v>
      </c>
      <c r="L29" s="93">
        <f>12210909.8772775-Q29</f>
        <v>12210909.877277501</v>
      </c>
      <c r="M29" s="95">
        <f ca="1">OFFSET('Historic CDM'!$C$88,0,(ROW()-ROW(E$2))/12)/12</f>
        <v>161583.24168736048</v>
      </c>
      <c r="N29" s="1">
        <f ca="1">L29+M29-Q29</f>
        <v>12372493.118964862</v>
      </c>
      <c r="O29" s="3">
        <f>11621.31-R29</f>
        <v>11621.31</v>
      </c>
      <c r="P29" s="2">
        <f>223-S29</f>
        <v>222</v>
      </c>
      <c r="Q29" s="93">
        <v>0</v>
      </c>
      <c r="R29" s="95">
        <v>0</v>
      </c>
      <c r="S29" s="94">
        <v>1</v>
      </c>
      <c r="T29" s="93">
        <v>444596.22827956988</v>
      </c>
      <c r="U29" s="100">
        <f>AVERAGE(U28,U30)</f>
        <v>1503.9199999999998</v>
      </c>
      <c r="V29" s="102">
        <f t="shared" si="18"/>
        <v>2649</v>
      </c>
      <c r="W29" s="93">
        <v>32631</v>
      </c>
      <c r="X29" s="99">
        <v>73.575999999999993</v>
      </c>
      <c r="Y29" s="88">
        <v>174</v>
      </c>
      <c r="Z29" s="93">
        <v>129846</v>
      </c>
      <c r="AA29" s="88">
        <v>141</v>
      </c>
      <c r="AB29" s="93">
        <v>8436772</v>
      </c>
      <c r="AC29" s="94">
        <v>17</v>
      </c>
      <c r="AD29" s="93">
        <v>3392080.2437849455</v>
      </c>
      <c r="AE29" s="95">
        <v>652.83000000000004</v>
      </c>
      <c r="AF29" s="94">
        <v>7</v>
      </c>
      <c r="AG29" s="90">
        <f>Weather!B197</f>
        <v>278.59999999999985</v>
      </c>
      <c r="AH29" s="90">
        <f>Weather!C197</f>
        <v>0.5</v>
      </c>
      <c r="AI29" s="90">
        <f>Employment!B29</f>
        <v>6550</v>
      </c>
      <c r="AJ29" s="90">
        <f>Employment!C29</f>
        <v>144</v>
      </c>
      <c r="AK29" s="130">
        <v>570633.30000000005</v>
      </c>
      <c r="AL29" s="98">
        <f t="shared" si="6"/>
        <v>30</v>
      </c>
      <c r="AM29" s="90">
        <v>19</v>
      </c>
      <c r="AN29" s="90">
        <v>28</v>
      </c>
      <c r="AO29" s="90">
        <f t="shared" ref="AO29:BC29" si="21">AO17</f>
        <v>0</v>
      </c>
      <c r="AP29" s="90">
        <f t="shared" si="21"/>
        <v>0</v>
      </c>
      <c r="AQ29" s="90">
        <f t="shared" si="21"/>
        <v>0</v>
      </c>
      <c r="AR29" s="90">
        <f t="shared" si="21"/>
        <v>1</v>
      </c>
      <c r="AS29" s="90">
        <f t="shared" si="21"/>
        <v>0</v>
      </c>
      <c r="AT29" s="90">
        <f t="shared" si="21"/>
        <v>0</v>
      </c>
      <c r="AU29" s="90">
        <f t="shared" si="21"/>
        <v>0</v>
      </c>
      <c r="AV29" s="90">
        <f t="shared" si="21"/>
        <v>0</v>
      </c>
      <c r="AW29" s="90">
        <f t="shared" si="21"/>
        <v>0</v>
      </c>
      <c r="AX29" s="90">
        <f t="shared" si="21"/>
        <v>0</v>
      </c>
      <c r="AY29" s="90">
        <f t="shared" si="21"/>
        <v>0</v>
      </c>
      <c r="AZ29" s="90">
        <f t="shared" si="21"/>
        <v>0</v>
      </c>
      <c r="BA29" s="90">
        <f t="shared" si="21"/>
        <v>1</v>
      </c>
      <c r="BB29" s="90">
        <f t="shared" si="21"/>
        <v>0</v>
      </c>
      <c r="BC29" s="90">
        <f t="shared" si="21"/>
        <v>1</v>
      </c>
    </row>
    <row r="30" spans="1:55" x14ac:dyDescent="0.3">
      <c r="A30" s="91">
        <v>40664</v>
      </c>
      <c r="B30" s="92">
        <f t="shared" si="0"/>
        <v>2011</v>
      </c>
      <c r="C30" s="93">
        <v>35808882.625000037</v>
      </c>
      <c r="D30" s="93">
        <v>18380460.04490171</v>
      </c>
      <c r="E30" s="93">
        <f ca="1">OFFSET('Historic CDM'!$C$64,0,(ROW()-ROW(E$2))/12)/12</f>
        <v>210840.46827130773</v>
      </c>
      <c r="F30" s="93">
        <f t="shared" ca="1" si="1"/>
        <v>18591300.513173018</v>
      </c>
      <c r="G30" s="94">
        <f>26137+14</f>
        <v>26151</v>
      </c>
      <c r="H30" s="103">
        <f>5365841.08596737+12105.747</f>
        <v>5377946.8329673707</v>
      </c>
      <c r="I30" s="93">
        <f ca="1">OFFSET('Historic CDM'!$C$76,0,(ROW()-ROW(E$2))/12)/12</f>
        <v>85186.973011121721</v>
      </c>
      <c r="J30" s="93">
        <f t="shared" ca="1" si="2"/>
        <v>5463133.8059784928</v>
      </c>
      <c r="K30" s="102">
        <f>1918+1</f>
        <v>1919</v>
      </c>
      <c r="L30" s="93">
        <f>12797589.134195-Q30</f>
        <v>12794014.644195</v>
      </c>
      <c r="M30" s="95">
        <f ca="1">OFFSET('Historic CDM'!$C$88,0,(ROW()-ROW(E$2))/12)/12</f>
        <v>161583.24168736048</v>
      </c>
      <c r="N30" s="1">
        <f ca="1">L30+M30-Q30</f>
        <v>12952023.395882361</v>
      </c>
      <c r="O30" s="3">
        <f>36970.89-R30</f>
        <v>36239.409999999996</v>
      </c>
      <c r="P30" s="2">
        <f>223-S30</f>
        <v>222</v>
      </c>
      <c r="Q30" s="93">
        <v>3574.49</v>
      </c>
      <c r="R30" s="95">
        <v>731.48</v>
      </c>
      <c r="S30" s="94">
        <v>1</v>
      </c>
      <c r="T30" s="93">
        <v>400254.44139784947</v>
      </c>
      <c r="U30" s="96">
        <v>1504.6599999999999</v>
      </c>
      <c r="V30" s="102">
        <f t="shared" si="18"/>
        <v>2649</v>
      </c>
      <c r="W30" s="93">
        <v>32621.09</v>
      </c>
      <c r="X30" s="99">
        <v>73.575999999999993</v>
      </c>
      <c r="Y30" s="88">
        <v>174</v>
      </c>
      <c r="Z30" s="93">
        <v>129846</v>
      </c>
      <c r="AA30" s="88">
        <v>141</v>
      </c>
      <c r="AB30" s="93">
        <v>5569338.3399999999</v>
      </c>
      <c r="AC30" s="94">
        <v>19</v>
      </c>
      <c r="AD30" s="93">
        <v>3418202.6987956986</v>
      </c>
      <c r="AE30" s="95">
        <v>9609.41</v>
      </c>
      <c r="AF30" s="94">
        <v>7</v>
      </c>
      <c r="AG30" s="90">
        <f>Weather!B198</f>
        <v>105.20000000000003</v>
      </c>
      <c r="AH30" s="90">
        <f>Weather!C198</f>
        <v>37.200000000000003</v>
      </c>
      <c r="AI30" s="90">
        <f>Employment!B30</f>
        <v>6612</v>
      </c>
      <c r="AJ30" s="90">
        <f>Employment!C30</f>
        <v>144.6</v>
      </c>
      <c r="AK30" s="130">
        <v>570633.30000000005</v>
      </c>
      <c r="AL30" s="98">
        <f t="shared" si="6"/>
        <v>31</v>
      </c>
      <c r="AM30" s="90">
        <v>21</v>
      </c>
      <c r="AN30" s="90">
        <v>29</v>
      </c>
      <c r="AO30" s="90">
        <f t="shared" ref="AO30:BC30" si="22">AO18</f>
        <v>0</v>
      </c>
      <c r="AP30" s="90">
        <f t="shared" si="22"/>
        <v>0</v>
      </c>
      <c r="AQ30" s="90">
        <f t="shared" si="22"/>
        <v>0</v>
      </c>
      <c r="AR30" s="90">
        <f t="shared" si="22"/>
        <v>0</v>
      </c>
      <c r="AS30" s="90">
        <f t="shared" si="22"/>
        <v>1</v>
      </c>
      <c r="AT30" s="90">
        <f t="shared" si="22"/>
        <v>0</v>
      </c>
      <c r="AU30" s="90">
        <f t="shared" si="22"/>
        <v>0</v>
      </c>
      <c r="AV30" s="90">
        <f t="shared" si="22"/>
        <v>0</v>
      </c>
      <c r="AW30" s="90">
        <f t="shared" si="22"/>
        <v>0</v>
      </c>
      <c r="AX30" s="90">
        <f t="shared" si="22"/>
        <v>0</v>
      </c>
      <c r="AY30" s="90">
        <f t="shared" si="22"/>
        <v>0</v>
      </c>
      <c r="AZ30" s="90">
        <f t="shared" si="22"/>
        <v>0</v>
      </c>
      <c r="BA30" s="90">
        <f t="shared" si="22"/>
        <v>1</v>
      </c>
      <c r="BB30" s="90">
        <f t="shared" si="22"/>
        <v>0</v>
      </c>
      <c r="BC30" s="90">
        <f t="shared" si="22"/>
        <v>1</v>
      </c>
    </row>
    <row r="31" spans="1:55" x14ac:dyDescent="0.3">
      <c r="A31" s="91">
        <v>40695</v>
      </c>
      <c r="B31" s="92">
        <f t="shared" si="0"/>
        <v>2011</v>
      </c>
      <c r="C31" s="93">
        <v>43955206.625000015</v>
      </c>
      <c r="D31" s="93">
        <v>24677831.744210847</v>
      </c>
      <c r="E31" s="93">
        <f ca="1">OFFSET('Historic CDM'!$C$64,0,(ROW()-ROW(E$2))/12)/12</f>
        <v>210840.46827130773</v>
      </c>
      <c r="F31" s="93">
        <f t="shared" ca="1" si="1"/>
        <v>24888672.212482154</v>
      </c>
      <c r="G31" s="94">
        <f>26249+14</f>
        <v>26263</v>
      </c>
      <c r="H31" s="103">
        <f>5882800.24177981+8140.086</f>
        <v>5890940.3277798099</v>
      </c>
      <c r="I31" s="93">
        <f ca="1">OFFSET('Historic CDM'!$C$76,0,(ROW()-ROW(E$2))/12)/12</f>
        <v>85186.973011121721</v>
      </c>
      <c r="J31" s="93">
        <f t="shared" ca="1" si="2"/>
        <v>5976127.300790932</v>
      </c>
      <c r="K31" s="102">
        <f>1924+1</f>
        <v>1925</v>
      </c>
      <c r="L31" s="93">
        <f>13652963.4874413-Q31</f>
        <v>13616976.587441299</v>
      </c>
      <c r="M31" s="95">
        <f ca="1">OFFSET('Historic CDM'!$C$88,0,(ROW()-ROW(E$2))/12)/12</f>
        <v>161583.24168736048</v>
      </c>
      <c r="N31" s="1">
        <f ca="1">L31+M31-Q31</f>
        <v>13742572.92912866</v>
      </c>
      <c r="O31" s="3">
        <f>39964.88-R31</f>
        <v>38256.759999999995</v>
      </c>
      <c r="P31" s="2">
        <f>224-S31</f>
        <v>223</v>
      </c>
      <c r="Q31" s="93">
        <v>35986.9</v>
      </c>
      <c r="R31" s="95">
        <v>1708.12</v>
      </c>
      <c r="S31" s="94">
        <v>1</v>
      </c>
      <c r="T31" s="93">
        <v>352113.93560215057</v>
      </c>
      <c r="U31" s="96">
        <v>1504.6599999999999</v>
      </c>
      <c r="V31" s="102">
        <f t="shared" si="18"/>
        <v>2649</v>
      </c>
      <c r="W31" s="93">
        <v>32449.919999999998</v>
      </c>
      <c r="X31" s="99">
        <v>73.575999999999993</v>
      </c>
      <c r="Y31" s="88">
        <v>174</v>
      </c>
      <c r="Z31" s="93">
        <v>129846</v>
      </c>
      <c r="AA31" s="88">
        <v>141</v>
      </c>
      <c r="AB31" s="93">
        <v>5814352</v>
      </c>
      <c r="AC31" s="94">
        <v>24</v>
      </c>
      <c r="AD31" s="93">
        <v>3393709.5192043027</v>
      </c>
      <c r="AE31" s="95">
        <v>9875.84</v>
      </c>
      <c r="AF31" s="94">
        <v>7</v>
      </c>
      <c r="AG31" s="90">
        <f>Weather!B199</f>
        <v>7.6000000000000005</v>
      </c>
      <c r="AH31" s="90">
        <f>Weather!C199</f>
        <v>115.89999999999998</v>
      </c>
      <c r="AI31" s="90">
        <f>Employment!B31</f>
        <v>6706.8</v>
      </c>
      <c r="AJ31" s="90">
        <f>Employment!C31</f>
        <v>146</v>
      </c>
      <c r="AK31" s="130">
        <v>570633.30000000005</v>
      </c>
      <c r="AL31" s="98">
        <f t="shared" si="6"/>
        <v>30</v>
      </c>
      <c r="AM31" s="90">
        <v>22</v>
      </c>
      <c r="AN31" s="90">
        <v>30</v>
      </c>
      <c r="AO31" s="90">
        <f t="shared" ref="AO31:BC31" si="23">AO19</f>
        <v>0</v>
      </c>
      <c r="AP31" s="90">
        <f t="shared" si="23"/>
        <v>0</v>
      </c>
      <c r="AQ31" s="90">
        <f t="shared" si="23"/>
        <v>0</v>
      </c>
      <c r="AR31" s="90">
        <f t="shared" si="23"/>
        <v>0</v>
      </c>
      <c r="AS31" s="90">
        <f t="shared" si="23"/>
        <v>0</v>
      </c>
      <c r="AT31" s="90">
        <f t="shared" si="23"/>
        <v>1</v>
      </c>
      <c r="AU31" s="90">
        <f t="shared" si="23"/>
        <v>0</v>
      </c>
      <c r="AV31" s="90">
        <f t="shared" si="23"/>
        <v>0</v>
      </c>
      <c r="AW31" s="90">
        <f t="shared" si="23"/>
        <v>0</v>
      </c>
      <c r="AX31" s="90">
        <f t="shared" si="23"/>
        <v>0</v>
      </c>
      <c r="AY31" s="90">
        <f t="shared" si="23"/>
        <v>0</v>
      </c>
      <c r="AZ31" s="90">
        <f t="shared" si="23"/>
        <v>0</v>
      </c>
      <c r="BA31" s="90">
        <f t="shared" si="23"/>
        <v>0</v>
      </c>
      <c r="BB31" s="90">
        <f t="shared" si="23"/>
        <v>0</v>
      </c>
      <c r="BC31" s="90">
        <f t="shared" si="23"/>
        <v>0</v>
      </c>
    </row>
    <row r="32" spans="1:55" x14ac:dyDescent="0.3">
      <c r="A32" s="91">
        <v>40725</v>
      </c>
      <c r="B32" s="92">
        <f t="shared" si="0"/>
        <v>2011</v>
      </c>
      <c r="C32" s="104">
        <v>56153296.800000004</v>
      </c>
      <c r="D32" s="93">
        <v>33147848.630280968</v>
      </c>
      <c r="E32" s="93">
        <f ca="1">OFFSET('Historic CDM'!$C$64,0,(ROW()-ROW(E$2))/12)/12</f>
        <v>210840.46827130773</v>
      </c>
      <c r="F32" s="93">
        <f t="shared" ca="1" si="1"/>
        <v>33358689.098552275</v>
      </c>
      <c r="G32" s="94">
        <f>26253+21</f>
        <v>26274</v>
      </c>
      <c r="H32" s="103">
        <f>6785049.06376826+7304.029</f>
        <v>6792353.0927682603</v>
      </c>
      <c r="I32" s="93">
        <f ca="1">OFFSET('Historic CDM'!$C$76,0,(ROW()-ROW(E$2))/12)/12</f>
        <v>85186.973011121721</v>
      </c>
      <c r="J32" s="93">
        <f t="shared" ca="1" si="2"/>
        <v>6877540.0657793824</v>
      </c>
      <c r="K32" s="102">
        <f>1921+4</f>
        <v>1925</v>
      </c>
      <c r="L32" s="93">
        <f>16448699.4446524-Q32</f>
        <v>15785267.641752401</v>
      </c>
      <c r="M32" s="95">
        <f ca="1">OFFSET('Historic CDM'!$C$88,0,(ROW()-ROW(E$2))/12)/12</f>
        <v>161583.24168736048</v>
      </c>
      <c r="N32" s="1">
        <f ca="1">L32+M32-Q32</f>
        <v>15283419.080539763</v>
      </c>
      <c r="O32" s="3">
        <f>43278.25-R32</f>
        <v>40365.279999999999</v>
      </c>
      <c r="P32" s="2">
        <f>228-S32</f>
        <v>227</v>
      </c>
      <c r="Q32" s="93">
        <v>663431.80290000001</v>
      </c>
      <c r="R32" s="95">
        <v>2912.97</v>
      </c>
      <c r="S32" s="94">
        <v>1</v>
      </c>
      <c r="T32" s="93">
        <v>372453.71084946243</v>
      </c>
      <c r="U32" s="96">
        <v>1504.6599999999999</v>
      </c>
      <c r="V32" s="102">
        <f t="shared" si="18"/>
        <v>2649</v>
      </c>
      <c r="W32" s="93">
        <v>29033.360000000001</v>
      </c>
      <c r="X32" s="99">
        <v>73.575999999999993</v>
      </c>
      <c r="Y32" s="88">
        <v>174</v>
      </c>
      <c r="Z32" s="93">
        <v>129846</v>
      </c>
      <c r="AA32" s="88">
        <v>141</v>
      </c>
      <c r="AB32" s="93">
        <v>5794937</v>
      </c>
      <c r="AC32" s="94">
        <v>25</v>
      </c>
      <c r="AD32" s="93">
        <v>4348161.1798279565</v>
      </c>
      <c r="AE32" s="95">
        <v>12954.060000000001</v>
      </c>
      <c r="AF32" s="94">
        <v>7</v>
      </c>
      <c r="AG32" s="90">
        <f>Weather!B200</f>
        <v>0</v>
      </c>
      <c r="AH32" s="90">
        <f>Weather!C200</f>
        <v>255.50000000000006</v>
      </c>
      <c r="AI32" s="90">
        <f>Employment!B32</f>
        <v>6755.3</v>
      </c>
      <c r="AJ32" s="90">
        <f>Employment!C32</f>
        <v>147.6</v>
      </c>
      <c r="AK32" s="130">
        <v>570633.30000000005</v>
      </c>
      <c r="AL32" s="98">
        <f t="shared" si="6"/>
        <v>31</v>
      </c>
      <c r="AM32" s="90">
        <v>20</v>
      </c>
      <c r="AN32" s="90">
        <v>31</v>
      </c>
      <c r="AO32" s="90">
        <f t="shared" ref="AO32:BC32" si="24">AO20</f>
        <v>0</v>
      </c>
      <c r="AP32" s="90">
        <f t="shared" si="24"/>
        <v>0</v>
      </c>
      <c r="AQ32" s="90">
        <f t="shared" si="24"/>
        <v>0</v>
      </c>
      <c r="AR32" s="90">
        <f t="shared" si="24"/>
        <v>0</v>
      </c>
      <c r="AS32" s="90">
        <f t="shared" si="24"/>
        <v>0</v>
      </c>
      <c r="AT32" s="90">
        <f t="shared" si="24"/>
        <v>0</v>
      </c>
      <c r="AU32" s="90">
        <f t="shared" si="24"/>
        <v>1</v>
      </c>
      <c r="AV32" s="90">
        <f t="shared" si="24"/>
        <v>0</v>
      </c>
      <c r="AW32" s="90">
        <f t="shared" si="24"/>
        <v>0</v>
      </c>
      <c r="AX32" s="90">
        <f t="shared" si="24"/>
        <v>0</v>
      </c>
      <c r="AY32" s="90">
        <f t="shared" si="24"/>
        <v>0</v>
      </c>
      <c r="AZ32" s="90">
        <f t="shared" si="24"/>
        <v>0</v>
      </c>
      <c r="BA32" s="90">
        <f t="shared" si="24"/>
        <v>0</v>
      </c>
      <c r="BB32" s="90">
        <f t="shared" si="24"/>
        <v>0</v>
      </c>
      <c r="BC32" s="90">
        <f t="shared" si="24"/>
        <v>0</v>
      </c>
    </row>
    <row r="33" spans="1:55" x14ac:dyDescent="0.3">
      <c r="A33" s="91">
        <v>40756</v>
      </c>
      <c r="B33" s="92">
        <f t="shared" si="0"/>
        <v>2011</v>
      </c>
      <c r="C33" s="104">
        <v>47811633.199999943</v>
      </c>
      <c r="D33" s="93">
        <v>30203972.024772722</v>
      </c>
      <c r="E33" s="93">
        <f ca="1">OFFSET('Historic CDM'!$C$64,0,(ROW()-ROW(E$2))/12)/12</f>
        <v>210840.46827130773</v>
      </c>
      <c r="F33" s="93">
        <f t="shared" ca="1" si="1"/>
        <v>30414812.49304403</v>
      </c>
      <c r="G33" s="94">
        <f>26283+22</f>
        <v>26305</v>
      </c>
      <c r="H33" s="103">
        <f>6512151.58402288+6290.325</f>
        <v>6518441.9090228798</v>
      </c>
      <c r="I33" s="93">
        <f ca="1">OFFSET('Historic CDM'!$C$76,0,(ROW()-ROW(E$2))/12)/12</f>
        <v>85186.973011121721</v>
      </c>
      <c r="J33" s="93">
        <f t="shared" ca="1" si="2"/>
        <v>6603628.8820340019</v>
      </c>
      <c r="K33" s="102">
        <f>1909+6</f>
        <v>1915</v>
      </c>
      <c r="L33" s="93">
        <f>16773832.4413717-Q33</f>
        <v>16367969.4590717</v>
      </c>
      <c r="M33" s="95">
        <f ca="1">OFFSET('Historic CDM'!$C$88,0,(ROW()-ROW(E$2))/12)/12</f>
        <v>161583.24168736048</v>
      </c>
      <c r="N33" s="1">
        <f ca="1">L33+M33-Q33</f>
        <v>16123689.71845906</v>
      </c>
      <c r="O33" s="3">
        <f>46085.2-R33</f>
        <v>42476.539999999994</v>
      </c>
      <c r="P33" s="2">
        <f>228-S33</f>
        <v>227</v>
      </c>
      <c r="Q33" s="93">
        <v>405862.98229999997</v>
      </c>
      <c r="R33" s="95">
        <v>3608.66</v>
      </c>
      <c r="S33" s="94">
        <v>1</v>
      </c>
      <c r="T33" s="93">
        <v>416827.80419354828</v>
      </c>
      <c r="U33" s="96">
        <v>1504.6599999999999</v>
      </c>
      <c r="V33" s="102">
        <f t="shared" si="18"/>
        <v>2649</v>
      </c>
      <c r="W33" s="93">
        <v>32588.85</v>
      </c>
      <c r="X33" s="99">
        <v>73.381</v>
      </c>
      <c r="Y33" s="88">
        <v>173</v>
      </c>
      <c r="Z33" s="93">
        <v>129846</v>
      </c>
      <c r="AA33" s="88">
        <v>141</v>
      </c>
      <c r="AB33" s="93">
        <v>8251688</v>
      </c>
      <c r="AC33" s="94">
        <v>27</v>
      </c>
      <c r="AD33" s="93">
        <v>3865736.37032258</v>
      </c>
      <c r="AE33" s="95">
        <v>9251.06</v>
      </c>
      <c r="AF33" s="94">
        <v>7</v>
      </c>
      <c r="AG33" s="90">
        <f>Weather!B201</f>
        <v>0</v>
      </c>
      <c r="AH33" s="90">
        <f>Weather!C201</f>
        <v>159.50000000000003</v>
      </c>
      <c r="AI33" s="90">
        <f>Employment!B33</f>
        <v>6778</v>
      </c>
      <c r="AJ33" s="90">
        <f>Employment!C33</f>
        <v>148.69999999999999</v>
      </c>
      <c r="AK33" s="130">
        <v>570633.30000000005</v>
      </c>
      <c r="AL33" s="98">
        <f t="shared" si="6"/>
        <v>31</v>
      </c>
      <c r="AM33" s="90">
        <v>22</v>
      </c>
      <c r="AN33" s="90">
        <v>32</v>
      </c>
      <c r="AO33" s="90">
        <f t="shared" ref="AO33:BC33" si="25">AO21</f>
        <v>0</v>
      </c>
      <c r="AP33" s="90">
        <f t="shared" si="25"/>
        <v>0</v>
      </c>
      <c r="AQ33" s="90">
        <f t="shared" si="25"/>
        <v>0</v>
      </c>
      <c r="AR33" s="90">
        <f t="shared" si="25"/>
        <v>0</v>
      </c>
      <c r="AS33" s="90">
        <f t="shared" si="25"/>
        <v>0</v>
      </c>
      <c r="AT33" s="90">
        <f t="shared" si="25"/>
        <v>0</v>
      </c>
      <c r="AU33" s="90">
        <f t="shared" si="25"/>
        <v>0</v>
      </c>
      <c r="AV33" s="90">
        <f t="shared" si="25"/>
        <v>1</v>
      </c>
      <c r="AW33" s="90">
        <f t="shared" si="25"/>
        <v>0</v>
      </c>
      <c r="AX33" s="90">
        <f t="shared" si="25"/>
        <v>0</v>
      </c>
      <c r="AY33" s="90">
        <f t="shared" si="25"/>
        <v>0</v>
      </c>
      <c r="AZ33" s="90">
        <f t="shared" si="25"/>
        <v>0</v>
      </c>
      <c r="BA33" s="90">
        <f t="shared" si="25"/>
        <v>0</v>
      </c>
      <c r="BB33" s="90">
        <f t="shared" si="25"/>
        <v>0</v>
      </c>
      <c r="BC33" s="90">
        <f t="shared" si="25"/>
        <v>0</v>
      </c>
    </row>
    <row r="34" spans="1:55" x14ac:dyDescent="0.3">
      <c r="A34" s="91">
        <v>40787</v>
      </c>
      <c r="B34" s="92">
        <f t="shared" si="0"/>
        <v>2011</v>
      </c>
      <c r="C34" s="104">
        <v>39594619.474999987</v>
      </c>
      <c r="D34" s="93">
        <v>20719035.263188612</v>
      </c>
      <c r="E34" s="93">
        <f ca="1">OFFSET('Historic CDM'!$C$64,0,(ROW()-ROW(E$2))/12)/12</f>
        <v>210840.46827130773</v>
      </c>
      <c r="F34" s="93">
        <f t="shared" ca="1" si="1"/>
        <v>20929875.731459919</v>
      </c>
      <c r="G34" s="105">
        <f>AVERAGE(G33,G35)</f>
        <v>26278</v>
      </c>
      <c r="H34" s="103">
        <f>5163657.3175045+369462.307</f>
        <v>5533119.6245045001</v>
      </c>
      <c r="I34" s="93">
        <f ca="1">OFFSET('Historic CDM'!$C$76,0,(ROW()-ROW(E$2))/12)/12</f>
        <v>85186.973011121721</v>
      </c>
      <c r="J34" s="93">
        <f t="shared" ca="1" si="2"/>
        <v>5618306.5975156222</v>
      </c>
      <c r="K34" s="97">
        <f>1888+622</f>
        <v>2510</v>
      </c>
      <c r="L34" s="93">
        <f>16460735.8453699-Q34</f>
        <v>15676072.965369899</v>
      </c>
      <c r="M34" s="95">
        <f ca="1">OFFSET('Historic CDM'!$C$88,0,(ROW()-ROW(E$2))/12)/12</f>
        <v>161583.24168736048</v>
      </c>
      <c r="N34" s="1">
        <f ca="1">L34+M34-Q34</f>
        <v>15052993.327057259</v>
      </c>
      <c r="O34" s="3">
        <f>44579.94-R34</f>
        <v>41271.560000000005</v>
      </c>
      <c r="P34" s="2">
        <f>227-S34</f>
        <v>226</v>
      </c>
      <c r="Q34" s="93">
        <v>784662.88</v>
      </c>
      <c r="R34" s="95">
        <v>3308.38</v>
      </c>
      <c r="S34" s="94">
        <v>1</v>
      </c>
      <c r="T34" s="93">
        <v>472659.50795698934</v>
      </c>
      <c r="U34" s="96">
        <v>1515.1499999999999</v>
      </c>
      <c r="V34" s="102">
        <f>342+1140+597+579</f>
        <v>2658</v>
      </c>
      <c r="W34" s="93">
        <v>35655.449999999997</v>
      </c>
      <c r="X34" s="99">
        <v>73.381</v>
      </c>
      <c r="Y34" s="88">
        <v>173</v>
      </c>
      <c r="Z34" s="93">
        <v>129846</v>
      </c>
      <c r="AA34" s="88">
        <v>141</v>
      </c>
      <c r="AB34" s="93">
        <v>8149775</v>
      </c>
      <c r="AC34" s="94">
        <v>28</v>
      </c>
      <c r="AD34" s="93">
        <v>4925029.652849461</v>
      </c>
      <c r="AE34" s="95">
        <v>25467.040000000001</v>
      </c>
      <c r="AF34" s="94">
        <v>7</v>
      </c>
      <c r="AG34" s="90">
        <f>Weather!B202</f>
        <v>51.4</v>
      </c>
      <c r="AH34" s="90">
        <f>Weather!C202</f>
        <v>60.199999999999989</v>
      </c>
      <c r="AI34" s="90">
        <f>Employment!B34</f>
        <v>6734.6</v>
      </c>
      <c r="AJ34" s="90">
        <f>Employment!C34</f>
        <v>148.1</v>
      </c>
      <c r="AK34" s="130">
        <v>570633.30000000005</v>
      </c>
      <c r="AL34" s="98">
        <f t="shared" si="6"/>
        <v>30</v>
      </c>
      <c r="AM34" s="90">
        <v>21</v>
      </c>
      <c r="AN34" s="90">
        <v>33</v>
      </c>
      <c r="AO34" s="90">
        <f t="shared" ref="AO34:BC34" si="26">AO22</f>
        <v>0</v>
      </c>
      <c r="AP34" s="90">
        <f t="shared" si="26"/>
        <v>0</v>
      </c>
      <c r="AQ34" s="90">
        <f t="shared" si="26"/>
        <v>0</v>
      </c>
      <c r="AR34" s="90">
        <f t="shared" si="26"/>
        <v>0</v>
      </c>
      <c r="AS34" s="90">
        <f t="shared" si="26"/>
        <v>0</v>
      </c>
      <c r="AT34" s="90">
        <f t="shared" si="26"/>
        <v>0</v>
      </c>
      <c r="AU34" s="90">
        <f t="shared" si="26"/>
        <v>0</v>
      </c>
      <c r="AV34" s="90">
        <f t="shared" si="26"/>
        <v>0</v>
      </c>
      <c r="AW34" s="90">
        <f t="shared" si="26"/>
        <v>1</v>
      </c>
      <c r="AX34" s="90">
        <f t="shared" si="26"/>
        <v>0</v>
      </c>
      <c r="AY34" s="90">
        <f t="shared" si="26"/>
        <v>0</v>
      </c>
      <c r="AZ34" s="90">
        <f t="shared" si="26"/>
        <v>0</v>
      </c>
      <c r="BA34" s="90">
        <f t="shared" si="26"/>
        <v>0</v>
      </c>
      <c r="BB34" s="90">
        <f t="shared" si="26"/>
        <v>0</v>
      </c>
      <c r="BC34" s="90">
        <f t="shared" si="26"/>
        <v>0</v>
      </c>
    </row>
    <row r="35" spans="1:55" x14ac:dyDescent="0.3">
      <c r="A35" s="91">
        <v>40817</v>
      </c>
      <c r="B35" s="92">
        <f t="shared" si="0"/>
        <v>2011</v>
      </c>
      <c r="C35" s="104">
        <v>32483068.775000017</v>
      </c>
      <c r="D35" s="93">
        <v>16906747.268162545</v>
      </c>
      <c r="E35" s="93">
        <f ca="1">OFFSET('Historic CDM'!$C$64,0,(ROW()-ROW(E$2))/12)/12</f>
        <v>210840.46827130773</v>
      </c>
      <c r="F35" s="93">
        <f t="shared" ca="1" si="1"/>
        <v>17117587.736433852</v>
      </c>
      <c r="G35" s="105">
        <f>AVERAGE(G33,G37)</f>
        <v>26251</v>
      </c>
      <c r="H35" s="103">
        <f>3116965.99829685+1911404.16</f>
        <v>5028370.1582968496</v>
      </c>
      <c r="I35" s="93">
        <f ca="1">OFFSET('Historic CDM'!$C$76,0,(ROW()-ROW(E$2))/12)/12</f>
        <v>85186.973011121721</v>
      </c>
      <c r="J35" s="93">
        <f t="shared" ca="1" si="2"/>
        <v>5113557.1313079717</v>
      </c>
      <c r="K35" s="97">
        <f>1192+782</f>
        <v>1974</v>
      </c>
      <c r="L35" s="93">
        <f>14595774.9306882-Q35</f>
        <v>14463016.956688201</v>
      </c>
      <c r="M35" s="95">
        <f ca="1">OFFSET('Historic CDM'!$C$88,0,(ROW()-ROW(E$2))/12)/12</f>
        <v>161583.24168736048</v>
      </c>
      <c r="N35" s="1">
        <f ca="1">L35+M35-Q35</f>
        <v>14491842.224375563</v>
      </c>
      <c r="O35" s="3">
        <f>38428.34-R35</f>
        <v>36647.479999999996</v>
      </c>
      <c r="P35" s="2">
        <f>223-S35</f>
        <v>222</v>
      </c>
      <c r="Q35" s="93">
        <v>132757.97399999999</v>
      </c>
      <c r="R35" s="95">
        <v>1780.86</v>
      </c>
      <c r="S35" s="94">
        <v>1</v>
      </c>
      <c r="T35" s="93">
        <v>559087.60688172025</v>
      </c>
      <c r="U35" s="96">
        <v>1515.1499999999999</v>
      </c>
      <c r="V35" s="102">
        <f>342+1140+597+579</f>
        <v>2658</v>
      </c>
      <c r="W35" s="93">
        <v>32106.35</v>
      </c>
      <c r="X35" s="99">
        <v>73.381</v>
      </c>
      <c r="Y35" s="88">
        <v>173</v>
      </c>
      <c r="Z35" s="93">
        <v>129846</v>
      </c>
      <c r="AA35" s="88">
        <v>141</v>
      </c>
      <c r="AB35" s="93">
        <v>9424413</v>
      </c>
      <c r="AC35" s="94">
        <v>30</v>
      </c>
      <c r="AD35" s="93">
        <v>4252152.4658602141</v>
      </c>
      <c r="AE35" s="95">
        <v>16935.21</v>
      </c>
      <c r="AF35" s="94">
        <v>7</v>
      </c>
      <c r="AG35" s="90">
        <f>Weather!B203</f>
        <v>185.29999999999998</v>
      </c>
      <c r="AH35" s="90">
        <f>Weather!C203</f>
        <v>2.6999999999999997</v>
      </c>
      <c r="AI35" s="90">
        <f>Employment!B35</f>
        <v>6702.2</v>
      </c>
      <c r="AJ35" s="90">
        <f>Employment!C35</f>
        <v>149.1</v>
      </c>
      <c r="AK35" s="130">
        <v>570633.30000000005</v>
      </c>
      <c r="AL35" s="98">
        <f t="shared" si="6"/>
        <v>31</v>
      </c>
      <c r="AM35" s="90">
        <v>20</v>
      </c>
      <c r="AN35" s="90">
        <v>34</v>
      </c>
      <c r="AO35" s="90">
        <f t="shared" ref="AO35:BC35" si="27">AO23</f>
        <v>0</v>
      </c>
      <c r="AP35" s="90">
        <f t="shared" si="27"/>
        <v>0</v>
      </c>
      <c r="AQ35" s="90">
        <f t="shared" si="27"/>
        <v>0</v>
      </c>
      <c r="AR35" s="90">
        <f t="shared" si="27"/>
        <v>0</v>
      </c>
      <c r="AS35" s="90">
        <f t="shared" si="27"/>
        <v>0</v>
      </c>
      <c r="AT35" s="90">
        <f t="shared" si="27"/>
        <v>0</v>
      </c>
      <c r="AU35" s="90">
        <f t="shared" si="27"/>
        <v>0</v>
      </c>
      <c r="AV35" s="90">
        <f t="shared" si="27"/>
        <v>0</v>
      </c>
      <c r="AW35" s="90">
        <f t="shared" si="27"/>
        <v>0</v>
      </c>
      <c r="AX35" s="90">
        <f t="shared" si="27"/>
        <v>1</v>
      </c>
      <c r="AY35" s="90">
        <f t="shared" si="27"/>
        <v>0</v>
      </c>
      <c r="AZ35" s="90">
        <f t="shared" si="27"/>
        <v>0</v>
      </c>
      <c r="BA35" s="90">
        <f t="shared" si="27"/>
        <v>0</v>
      </c>
      <c r="BB35" s="90">
        <f t="shared" si="27"/>
        <v>1</v>
      </c>
      <c r="BC35" s="90">
        <f t="shared" si="27"/>
        <v>1</v>
      </c>
    </row>
    <row r="36" spans="1:55" x14ac:dyDescent="0.3">
      <c r="A36" s="91">
        <v>40848</v>
      </c>
      <c r="B36" s="92">
        <f t="shared" si="0"/>
        <v>2011</v>
      </c>
      <c r="C36" s="104">
        <v>27713798.100000009</v>
      </c>
      <c r="D36" s="93">
        <v>17311755.952712607</v>
      </c>
      <c r="E36" s="93">
        <f ca="1">OFFSET('Historic CDM'!$C$64,0,(ROW()-ROW(E$2))/12)/12</f>
        <v>210840.46827130773</v>
      </c>
      <c r="F36" s="93">
        <f t="shared" ca="1" si="1"/>
        <v>17522596.420983914</v>
      </c>
      <c r="G36" s="105">
        <f>AVERAGE(G35,G37)</f>
        <v>26224</v>
      </c>
      <c r="H36" s="103">
        <f>1969154.71741024+3058066.051</f>
        <v>5027220.7684102403</v>
      </c>
      <c r="I36" s="93">
        <f ca="1">OFFSET('Historic CDM'!$C$76,0,(ROW()-ROW(E$2))/12)/12</f>
        <v>85186.973011121721</v>
      </c>
      <c r="J36" s="93">
        <f t="shared" ca="1" si="2"/>
        <v>5112407.7414213624</v>
      </c>
      <c r="K36" s="97">
        <f>1096+1605</f>
        <v>2701</v>
      </c>
      <c r="L36" s="93">
        <f>14156582.5158859-Q36</f>
        <v>14036825.139885901</v>
      </c>
      <c r="M36" s="95">
        <f ca="1">OFFSET('Historic CDM'!$C$88,0,(ROW()-ROW(E$2))/12)/12</f>
        <v>161583.24168736048</v>
      </c>
      <c r="N36" s="1">
        <f ca="1">L36+M36-Q36</f>
        <v>14078651.005573262</v>
      </c>
      <c r="O36" s="3">
        <f>35545.63-R36</f>
        <v>34329.54</v>
      </c>
      <c r="P36" s="2">
        <f>218-S36</f>
        <v>217</v>
      </c>
      <c r="Q36" s="93">
        <v>119757.376</v>
      </c>
      <c r="R36" s="95">
        <v>1216.0899999999999</v>
      </c>
      <c r="S36" s="94">
        <v>1</v>
      </c>
      <c r="T36" s="93">
        <v>597113.33178494626</v>
      </c>
      <c r="U36" s="96">
        <v>1539.77</v>
      </c>
      <c r="V36" s="102">
        <f>342+1140+597+579</f>
        <v>2658</v>
      </c>
      <c r="W36" s="93">
        <v>28457.72</v>
      </c>
      <c r="X36" s="99">
        <v>73.186000000000007</v>
      </c>
      <c r="Y36" s="88">
        <v>172</v>
      </c>
      <c r="Z36" s="93">
        <v>129846</v>
      </c>
      <c r="AA36" s="88">
        <v>141</v>
      </c>
      <c r="AB36" s="93">
        <v>10625844.970000001</v>
      </c>
      <c r="AC36" s="94">
        <v>30</v>
      </c>
      <c r="AD36" s="93">
        <v>1064462.4511397849</v>
      </c>
      <c r="AE36" s="95">
        <v>7612.8399999999992</v>
      </c>
      <c r="AF36" s="94">
        <v>7</v>
      </c>
      <c r="AG36" s="90">
        <f>Weather!B204</f>
        <v>297.2999999999999</v>
      </c>
      <c r="AH36" s="90">
        <f>Weather!C204</f>
        <v>0</v>
      </c>
      <c r="AI36" s="90">
        <f>Employment!B36</f>
        <v>6669.4</v>
      </c>
      <c r="AJ36" s="90">
        <f>Employment!C36</f>
        <v>150.80000000000001</v>
      </c>
      <c r="AK36" s="130">
        <v>570633.30000000005</v>
      </c>
      <c r="AL36" s="98">
        <f t="shared" si="6"/>
        <v>30</v>
      </c>
      <c r="AM36" s="90">
        <v>22</v>
      </c>
      <c r="AN36" s="90">
        <v>35</v>
      </c>
      <c r="AO36" s="90">
        <f t="shared" ref="AO36:BC36" si="28">AO24</f>
        <v>0</v>
      </c>
      <c r="AP36" s="90">
        <f t="shared" si="28"/>
        <v>0</v>
      </c>
      <c r="AQ36" s="90">
        <f t="shared" si="28"/>
        <v>0</v>
      </c>
      <c r="AR36" s="90">
        <f t="shared" si="28"/>
        <v>0</v>
      </c>
      <c r="AS36" s="90">
        <f t="shared" si="28"/>
        <v>0</v>
      </c>
      <c r="AT36" s="90">
        <f t="shared" si="28"/>
        <v>0</v>
      </c>
      <c r="AU36" s="90">
        <f t="shared" si="28"/>
        <v>0</v>
      </c>
      <c r="AV36" s="90">
        <f t="shared" si="28"/>
        <v>0</v>
      </c>
      <c r="AW36" s="90">
        <f t="shared" si="28"/>
        <v>0</v>
      </c>
      <c r="AX36" s="90">
        <f t="shared" si="28"/>
        <v>0</v>
      </c>
      <c r="AY36" s="90">
        <f t="shared" si="28"/>
        <v>1</v>
      </c>
      <c r="AZ36" s="90">
        <f t="shared" si="28"/>
        <v>0</v>
      </c>
      <c r="BA36" s="90">
        <f t="shared" si="28"/>
        <v>0</v>
      </c>
      <c r="BB36" s="90">
        <f t="shared" si="28"/>
        <v>1</v>
      </c>
      <c r="BC36" s="90">
        <f t="shared" si="28"/>
        <v>1</v>
      </c>
    </row>
    <row r="37" spans="1:55" x14ac:dyDescent="0.3">
      <c r="A37" s="91">
        <v>40878</v>
      </c>
      <c r="B37" s="92">
        <f t="shared" si="0"/>
        <v>2011</v>
      </c>
      <c r="C37" s="104">
        <v>36880192.350000009</v>
      </c>
      <c r="D37" s="93">
        <v>20626073.03881105</v>
      </c>
      <c r="E37" s="93">
        <f ca="1">OFFSET('Historic CDM'!$C$64,0,(ROW()-ROW(E$2))/12)/12</f>
        <v>210840.46827130773</v>
      </c>
      <c r="F37" s="93">
        <f t="shared" ca="1" si="1"/>
        <v>20836913.507082358</v>
      </c>
      <c r="G37" s="94">
        <v>26197</v>
      </c>
      <c r="H37" s="103">
        <f>718867.905510144+4816088.466</f>
        <v>5534956.3715101443</v>
      </c>
      <c r="I37" s="93">
        <f ca="1">OFFSET('Historic CDM'!$C$76,0,(ROW()-ROW(E$2))/12)/12</f>
        <v>85186.973011121721</v>
      </c>
      <c r="J37" s="93">
        <f t="shared" ca="1" si="2"/>
        <v>5620143.3445212664</v>
      </c>
      <c r="K37" s="97">
        <f>286+1829</f>
        <v>2115</v>
      </c>
      <c r="L37" s="93">
        <f>13879898.1893951-Q37</f>
        <v>13278370.194495101</v>
      </c>
      <c r="M37" s="95">
        <f ca="1">OFFSET('Historic CDM'!$C$88,0,(ROW()-ROW(E$2))/12)/12</f>
        <v>161583.24168736048</v>
      </c>
      <c r="N37" s="1">
        <f ca="1">L37+M37-Q37</f>
        <v>12838425.441282462</v>
      </c>
      <c r="O37" s="3">
        <f>35640.46-R37</f>
        <v>33681.01</v>
      </c>
      <c r="P37" s="2">
        <f>221-S37</f>
        <v>220</v>
      </c>
      <c r="Q37" s="93">
        <v>601527.99490000005</v>
      </c>
      <c r="R37" s="95">
        <v>1959.45</v>
      </c>
      <c r="S37" s="94">
        <v>1</v>
      </c>
      <c r="T37" s="93">
        <v>654003.0169247312</v>
      </c>
      <c r="U37" s="96">
        <v>1539.77</v>
      </c>
      <c r="V37" s="102">
        <f>342+1140+595+579</f>
        <v>2656</v>
      </c>
      <c r="W37" s="93">
        <v>26183.89</v>
      </c>
      <c r="X37" s="99">
        <v>73.186000000000007</v>
      </c>
      <c r="Y37" s="88">
        <v>172</v>
      </c>
      <c r="Z37" s="93">
        <v>129846</v>
      </c>
      <c r="AA37" s="88">
        <v>141</v>
      </c>
      <c r="AB37" s="93">
        <v>7547730.5999999996</v>
      </c>
      <c r="AC37" s="94">
        <v>34</v>
      </c>
      <c r="AD37" s="93">
        <v>2961142.0836989228</v>
      </c>
      <c r="AE37" s="95">
        <v>7742.4</v>
      </c>
      <c r="AF37" s="94">
        <v>7</v>
      </c>
      <c r="AG37" s="90">
        <f>Weather!B205</f>
        <v>485.4</v>
      </c>
      <c r="AH37" s="90">
        <f>Weather!C205</f>
        <v>0</v>
      </c>
      <c r="AI37" s="90">
        <f>Employment!B37</f>
        <v>6668.3</v>
      </c>
      <c r="AJ37" s="90">
        <f>Employment!C37</f>
        <v>152.1</v>
      </c>
      <c r="AK37" s="130">
        <v>570633.30000000005</v>
      </c>
      <c r="AL37" s="98">
        <f t="shared" si="6"/>
        <v>31</v>
      </c>
      <c r="AM37" s="90">
        <v>20</v>
      </c>
      <c r="AN37" s="90">
        <v>36</v>
      </c>
      <c r="AO37" s="90">
        <f t="shared" ref="AO37:BC37" si="29">AO25</f>
        <v>0</v>
      </c>
      <c r="AP37" s="90">
        <f t="shared" si="29"/>
        <v>0</v>
      </c>
      <c r="AQ37" s="90">
        <f t="shared" si="29"/>
        <v>0</v>
      </c>
      <c r="AR37" s="90">
        <f t="shared" si="29"/>
        <v>0</v>
      </c>
      <c r="AS37" s="90">
        <f t="shared" si="29"/>
        <v>0</v>
      </c>
      <c r="AT37" s="90">
        <f t="shared" si="29"/>
        <v>0</v>
      </c>
      <c r="AU37" s="90">
        <f t="shared" si="29"/>
        <v>0</v>
      </c>
      <c r="AV37" s="90">
        <f t="shared" si="29"/>
        <v>0</v>
      </c>
      <c r="AW37" s="90">
        <f t="shared" si="29"/>
        <v>0</v>
      </c>
      <c r="AX37" s="90">
        <f t="shared" si="29"/>
        <v>0</v>
      </c>
      <c r="AY37" s="90">
        <f t="shared" si="29"/>
        <v>0</v>
      </c>
      <c r="AZ37" s="90">
        <f t="shared" si="29"/>
        <v>1</v>
      </c>
      <c r="BA37" s="90">
        <f t="shared" si="29"/>
        <v>0</v>
      </c>
      <c r="BB37" s="90">
        <f t="shared" si="29"/>
        <v>0</v>
      </c>
      <c r="BC37" s="90">
        <f t="shared" si="29"/>
        <v>0</v>
      </c>
    </row>
    <row r="38" spans="1:55" x14ac:dyDescent="0.3">
      <c r="A38" s="91">
        <v>40909</v>
      </c>
      <c r="B38" s="92">
        <f t="shared" si="0"/>
        <v>2012</v>
      </c>
      <c r="C38" s="104">
        <v>34142975.475000016</v>
      </c>
      <c r="D38" s="93">
        <v>20556067.136547696</v>
      </c>
      <c r="E38" s="93">
        <f ca="1">OFFSET('Historic CDM'!$C$64,0,(ROW()-ROW(E$2))/12)/12</f>
        <v>270482.04808388877</v>
      </c>
      <c r="F38" s="93">
        <f t="shared" ca="1" si="1"/>
        <v>20826549.184631586</v>
      </c>
      <c r="G38" s="94">
        <v>26250</v>
      </c>
      <c r="H38" s="103">
        <f>401546.182195078+5156490.919</f>
        <v>5558037.1011950774</v>
      </c>
      <c r="I38" s="93">
        <f ca="1">OFFSET('Historic CDM'!$C$76,0,(ROW()-ROW(E$2))/12)/12</f>
        <v>120436.63811573823</v>
      </c>
      <c r="J38" s="93">
        <f t="shared" ca="1" si="2"/>
        <v>5678473.7393108159</v>
      </c>
      <c r="K38" s="88">
        <f>69+1858</f>
        <v>1927</v>
      </c>
      <c r="L38" s="93">
        <f>13576451.6142229-Q38</f>
        <v>13556312.218222899</v>
      </c>
      <c r="M38" s="95">
        <f ca="1">OFFSET('Historic CDM'!$C$88,0,(ROW()-ROW(E$2))/12)/12</f>
        <v>251692.57091425898</v>
      </c>
      <c r="N38" s="1">
        <f ca="1">L38+M38-Q38</f>
        <v>13787865.393137159</v>
      </c>
      <c r="O38" s="3">
        <f>33327.67-R38</f>
        <v>33209.799999999996</v>
      </c>
      <c r="P38" s="2">
        <f>219-S38</f>
        <v>218</v>
      </c>
      <c r="Q38" s="93">
        <v>20139.396000000001</v>
      </c>
      <c r="R38" s="95">
        <v>117.87</v>
      </c>
      <c r="S38" s="94">
        <v>1</v>
      </c>
      <c r="T38" s="93">
        <v>644740.22290322557</v>
      </c>
      <c r="U38" s="96">
        <v>1539.77</v>
      </c>
      <c r="V38" s="102">
        <f>342+1140+595+579</f>
        <v>2656</v>
      </c>
      <c r="W38" s="93">
        <v>34705.75</v>
      </c>
      <c r="X38" s="99">
        <v>73.771000000000001</v>
      </c>
      <c r="Y38" s="88">
        <v>175</v>
      </c>
      <c r="Z38" s="93">
        <v>129846</v>
      </c>
      <c r="AA38" s="88">
        <v>141</v>
      </c>
      <c r="AB38" s="93">
        <v>9513187.6400000006</v>
      </c>
      <c r="AC38" s="94">
        <v>42</v>
      </c>
      <c r="AD38" s="93">
        <v>3282076.455483872</v>
      </c>
      <c r="AE38" s="95">
        <v>7683.1200000000008</v>
      </c>
      <c r="AF38" s="94">
        <v>7</v>
      </c>
      <c r="AG38" s="90">
        <f>Weather!B206</f>
        <v>559.59999999999991</v>
      </c>
      <c r="AH38" s="90">
        <f>Weather!C206</f>
        <v>0</v>
      </c>
      <c r="AI38" s="90">
        <f>Employment!B38</f>
        <v>6635.9</v>
      </c>
      <c r="AJ38" s="90">
        <f>Employment!C38</f>
        <v>149.5</v>
      </c>
      <c r="AK38" s="130">
        <v>578793.9</v>
      </c>
      <c r="AL38" s="98">
        <f t="shared" si="6"/>
        <v>31</v>
      </c>
      <c r="AM38" s="106">
        <v>21</v>
      </c>
      <c r="AN38" s="90">
        <v>37</v>
      </c>
      <c r="AO38" s="90">
        <f t="shared" ref="AO38:BC38" si="30">AO26</f>
        <v>1</v>
      </c>
      <c r="AP38" s="90">
        <f t="shared" si="30"/>
        <v>0</v>
      </c>
      <c r="AQ38" s="90">
        <f t="shared" si="30"/>
        <v>0</v>
      </c>
      <c r="AR38" s="90">
        <f t="shared" si="30"/>
        <v>0</v>
      </c>
      <c r="AS38" s="90">
        <f t="shared" si="30"/>
        <v>0</v>
      </c>
      <c r="AT38" s="90">
        <f t="shared" si="30"/>
        <v>0</v>
      </c>
      <c r="AU38" s="90">
        <f t="shared" si="30"/>
        <v>0</v>
      </c>
      <c r="AV38" s="90">
        <f t="shared" si="30"/>
        <v>0</v>
      </c>
      <c r="AW38" s="90">
        <f t="shared" si="30"/>
        <v>0</v>
      </c>
      <c r="AX38" s="90">
        <f t="shared" si="30"/>
        <v>0</v>
      </c>
      <c r="AY38" s="90">
        <f t="shared" si="30"/>
        <v>0</v>
      </c>
      <c r="AZ38" s="90">
        <f t="shared" si="30"/>
        <v>0</v>
      </c>
      <c r="BA38" s="90">
        <f t="shared" si="30"/>
        <v>0</v>
      </c>
      <c r="BB38" s="90">
        <f t="shared" si="30"/>
        <v>0</v>
      </c>
      <c r="BC38" s="90">
        <f t="shared" si="30"/>
        <v>0</v>
      </c>
    </row>
    <row r="39" spans="1:55" x14ac:dyDescent="0.3">
      <c r="A39" s="91">
        <v>40940</v>
      </c>
      <c r="B39" s="92">
        <f t="shared" si="0"/>
        <v>2012</v>
      </c>
      <c r="C39" s="104">
        <v>30970592.624999955</v>
      </c>
      <c r="D39" s="93">
        <v>18125661.215195015</v>
      </c>
      <c r="E39" s="93">
        <f ca="1">OFFSET('Historic CDM'!$C$64,0,(ROW()-ROW(E$2))/12)/12</f>
        <v>270482.04808388877</v>
      </c>
      <c r="F39" s="93">
        <f t="shared" ca="1" si="1"/>
        <v>18396143.263278905</v>
      </c>
      <c r="G39" s="94">
        <v>26243</v>
      </c>
      <c r="H39" s="103">
        <f>375566.216284513+4883268.753</f>
        <v>5258834.9692845121</v>
      </c>
      <c r="I39" s="93">
        <f ca="1">OFFSET('Historic CDM'!$C$76,0,(ROW()-ROW(E$2))/12)/12</f>
        <v>120436.63811573823</v>
      </c>
      <c r="J39" s="93">
        <f t="shared" ca="1" si="2"/>
        <v>5379271.6074002506</v>
      </c>
      <c r="K39" s="88">
        <f>66+1876</f>
        <v>1942</v>
      </c>
      <c r="L39" s="93">
        <f>12423681.3239627-Q39</f>
        <v>12423673.922962699</v>
      </c>
      <c r="M39" s="95">
        <f ca="1">OFFSET('Historic CDM'!$C$88,0,(ROW()-ROW(E$2))/12)/12</f>
        <v>251692.57091425898</v>
      </c>
      <c r="N39" s="1">
        <f ca="1">L39+M39-Q39</f>
        <v>12675359.092876958</v>
      </c>
      <c r="O39" s="3">
        <f>30981.62-R39</f>
        <v>30981.62</v>
      </c>
      <c r="P39" s="2">
        <f>220-S39</f>
        <v>219</v>
      </c>
      <c r="Q39" s="93">
        <v>7.4009999999999998</v>
      </c>
      <c r="R39" s="101">
        <v>0</v>
      </c>
      <c r="S39" s="94">
        <v>1</v>
      </c>
      <c r="T39" s="93">
        <v>609747.81483870978</v>
      </c>
      <c r="U39" s="96">
        <v>1558.1000000000001</v>
      </c>
      <c r="V39" s="102">
        <f>342+1139+595+377</f>
        <v>2453</v>
      </c>
      <c r="W39" s="93">
        <v>37437.4</v>
      </c>
      <c r="X39" s="99">
        <v>73.771000000000001</v>
      </c>
      <c r="Y39" s="88">
        <v>175</v>
      </c>
      <c r="Z39" s="93">
        <v>129846</v>
      </c>
      <c r="AA39" s="88">
        <v>141</v>
      </c>
      <c r="AB39" s="93">
        <v>8568090</v>
      </c>
      <c r="AC39" s="94">
        <v>44</v>
      </c>
      <c r="AD39" s="93">
        <v>3038305.2037597341</v>
      </c>
      <c r="AE39" s="95">
        <v>7258.67</v>
      </c>
      <c r="AF39" s="94">
        <v>7</v>
      </c>
      <c r="AG39" s="90">
        <f>Weather!B207</f>
        <v>492.40000000000003</v>
      </c>
      <c r="AH39" s="90">
        <f>Weather!C207</f>
        <v>0</v>
      </c>
      <c r="AI39" s="90">
        <f>Employment!B39</f>
        <v>6598</v>
      </c>
      <c r="AJ39" s="90">
        <f>Employment!C39</f>
        <v>148.4</v>
      </c>
      <c r="AK39" s="130">
        <v>578793.9</v>
      </c>
      <c r="AL39" s="98">
        <v>29</v>
      </c>
      <c r="AM39" s="106">
        <v>20</v>
      </c>
      <c r="AN39" s="90">
        <v>38</v>
      </c>
      <c r="AO39" s="90">
        <f t="shared" ref="AO39:BC39" si="31">AO27</f>
        <v>0</v>
      </c>
      <c r="AP39" s="90">
        <f t="shared" si="31"/>
        <v>1</v>
      </c>
      <c r="AQ39" s="90">
        <f t="shared" si="31"/>
        <v>0</v>
      </c>
      <c r="AR39" s="90">
        <f t="shared" si="31"/>
        <v>0</v>
      </c>
      <c r="AS39" s="90">
        <f t="shared" si="31"/>
        <v>0</v>
      </c>
      <c r="AT39" s="90">
        <f t="shared" si="31"/>
        <v>0</v>
      </c>
      <c r="AU39" s="90">
        <f t="shared" si="31"/>
        <v>0</v>
      </c>
      <c r="AV39" s="90">
        <f t="shared" si="31"/>
        <v>0</v>
      </c>
      <c r="AW39" s="90">
        <f t="shared" si="31"/>
        <v>0</v>
      </c>
      <c r="AX39" s="90">
        <f t="shared" si="31"/>
        <v>0</v>
      </c>
      <c r="AY39" s="90">
        <f t="shared" si="31"/>
        <v>0</v>
      </c>
      <c r="AZ39" s="90">
        <f t="shared" si="31"/>
        <v>0</v>
      </c>
      <c r="BA39" s="90">
        <f t="shared" si="31"/>
        <v>0</v>
      </c>
      <c r="BB39" s="90">
        <f t="shared" si="31"/>
        <v>0</v>
      </c>
      <c r="BC39" s="90">
        <f t="shared" si="31"/>
        <v>0</v>
      </c>
    </row>
    <row r="40" spans="1:55" x14ac:dyDescent="0.3">
      <c r="A40" s="91">
        <v>40969</v>
      </c>
      <c r="B40" s="92">
        <f t="shared" si="0"/>
        <v>2012</v>
      </c>
      <c r="C40" s="104">
        <v>28090888.774999969</v>
      </c>
      <c r="D40" s="93">
        <v>17194171.019519329</v>
      </c>
      <c r="E40" s="93">
        <f ca="1">OFFSET('Historic CDM'!$C$64,0,(ROW()-ROW(E$2))/12)/12</f>
        <v>270482.04808388877</v>
      </c>
      <c r="F40" s="93">
        <f t="shared" ca="1" si="1"/>
        <v>17464653.067603219</v>
      </c>
      <c r="G40" s="94">
        <v>26287</v>
      </c>
      <c r="H40" s="103">
        <f>326426.027495003+4984776.168</f>
        <v>5311202.1954950029</v>
      </c>
      <c r="I40" s="93">
        <f ca="1">OFFSET('Historic CDM'!$C$76,0,(ROW()-ROW(E$2))/12)/12</f>
        <v>120436.63811573823</v>
      </c>
      <c r="J40" s="93">
        <f t="shared" ca="1" si="2"/>
        <v>5431638.8336107414</v>
      </c>
      <c r="K40" s="88">
        <f>48+1868</f>
        <v>1916</v>
      </c>
      <c r="L40" s="93">
        <f>12530135.2032575-Q40</f>
        <v>12530135.203257499</v>
      </c>
      <c r="M40" s="95">
        <f ca="1">OFFSET('Historic CDM'!$C$88,0,(ROW()-ROW(E$2))/12)/12</f>
        <v>251692.57091425898</v>
      </c>
      <c r="N40" s="1">
        <f ca="1">L40+M40-Q40</f>
        <v>12781827.774171758</v>
      </c>
      <c r="O40" s="3">
        <f>32354.21-R40</f>
        <v>32354.21</v>
      </c>
      <c r="P40" s="2">
        <f>209-S40</f>
        <v>208</v>
      </c>
      <c r="Q40" s="93">
        <v>0</v>
      </c>
      <c r="R40" s="95">
        <v>0</v>
      </c>
      <c r="S40" s="94">
        <v>1</v>
      </c>
      <c r="T40" s="93">
        <v>550539.00387096754</v>
      </c>
      <c r="U40" s="96">
        <v>1563.3000000000002</v>
      </c>
      <c r="V40" s="102">
        <f>342+1143+595+377</f>
        <v>2457</v>
      </c>
      <c r="W40" s="93">
        <v>28452.82</v>
      </c>
      <c r="X40" s="99">
        <v>73.771000000000001</v>
      </c>
      <c r="Y40" s="88">
        <v>175</v>
      </c>
      <c r="Z40" s="93">
        <v>129846</v>
      </c>
      <c r="AA40" s="88">
        <v>141</v>
      </c>
      <c r="AB40" s="93">
        <v>10242849</v>
      </c>
      <c r="AC40" s="94">
        <v>46</v>
      </c>
      <c r="AD40" s="93">
        <v>2978707.1468854276</v>
      </c>
      <c r="AE40" s="95">
        <v>7073.1</v>
      </c>
      <c r="AF40" s="94">
        <v>7</v>
      </c>
      <c r="AG40" s="90">
        <f>Weather!B208</f>
        <v>250.79999999999995</v>
      </c>
      <c r="AH40" s="90">
        <f>Weather!C208</f>
        <v>4.8</v>
      </c>
      <c r="AI40" s="90">
        <f>Employment!B40</f>
        <v>6569.8</v>
      </c>
      <c r="AJ40" s="90">
        <f>Employment!C40</f>
        <v>148.5</v>
      </c>
      <c r="AK40" s="130">
        <v>578793.9</v>
      </c>
      <c r="AL40" s="98">
        <f t="shared" si="6"/>
        <v>31</v>
      </c>
      <c r="AM40" s="106">
        <v>22</v>
      </c>
      <c r="AN40" s="90">
        <v>39</v>
      </c>
      <c r="AO40" s="90">
        <f t="shared" ref="AO40:BC40" si="32">AO28</f>
        <v>0</v>
      </c>
      <c r="AP40" s="90">
        <f t="shared" si="32"/>
        <v>0</v>
      </c>
      <c r="AQ40" s="90">
        <f t="shared" si="32"/>
        <v>1</v>
      </c>
      <c r="AR40" s="90">
        <f t="shared" si="32"/>
        <v>0</v>
      </c>
      <c r="AS40" s="90">
        <f t="shared" si="32"/>
        <v>0</v>
      </c>
      <c r="AT40" s="90">
        <f t="shared" si="32"/>
        <v>0</v>
      </c>
      <c r="AU40" s="90">
        <f t="shared" si="32"/>
        <v>0</v>
      </c>
      <c r="AV40" s="90">
        <f t="shared" si="32"/>
        <v>0</v>
      </c>
      <c r="AW40" s="90">
        <f t="shared" si="32"/>
        <v>0</v>
      </c>
      <c r="AX40" s="90">
        <f t="shared" si="32"/>
        <v>0</v>
      </c>
      <c r="AY40" s="90">
        <f t="shared" si="32"/>
        <v>0</v>
      </c>
      <c r="AZ40" s="90">
        <f t="shared" si="32"/>
        <v>0</v>
      </c>
      <c r="BA40" s="90">
        <f t="shared" si="32"/>
        <v>1</v>
      </c>
      <c r="BB40" s="90">
        <f t="shared" si="32"/>
        <v>0</v>
      </c>
      <c r="BC40" s="90">
        <f t="shared" si="32"/>
        <v>1</v>
      </c>
    </row>
    <row r="41" spans="1:55" x14ac:dyDescent="0.3">
      <c r="A41" s="91">
        <v>41000</v>
      </c>
      <c r="B41" s="92">
        <f t="shared" si="0"/>
        <v>2012</v>
      </c>
      <c r="C41" s="104">
        <v>23410386.450000003</v>
      </c>
      <c r="D41" s="93">
        <v>15832667.364440929</v>
      </c>
      <c r="E41" s="93">
        <f ca="1">OFFSET('Historic CDM'!$C$64,0,(ROW()-ROW(E$2))/12)/12</f>
        <v>270482.04808388877</v>
      </c>
      <c r="F41" s="93">
        <f t="shared" ca="1" si="1"/>
        <v>16103149.412524818</v>
      </c>
      <c r="G41" s="94">
        <v>26301</v>
      </c>
      <c r="H41" s="103">
        <f>265616.876401747+4610229.784</f>
        <v>4875846.6604017466</v>
      </c>
      <c r="I41" s="93">
        <f ca="1">OFFSET('Historic CDM'!$C$76,0,(ROW()-ROW(E$2))/12)/12</f>
        <v>120436.63811573823</v>
      </c>
      <c r="J41" s="93">
        <f t="shared" ca="1" si="2"/>
        <v>4996283.2985174851</v>
      </c>
      <c r="K41" s="88">
        <f>35+1867</f>
        <v>1902</v>
      </c>
      <c r="L41" s="93">
        <f>11148661.6030887-Q41</f>
        <v>11148661.603088699</v>
      </c>
      <c r="M41" s="95">
        <f ca="1">OFFSET('Historic CDM'!$C$88,0,(ROW()-ROW(E$2))/12)/12</f>
        <v>251692.57091425898</v>
      </c>
      <c r="N41" s="1">
        <f ca="1">L41+M41-Q41</f>
        <v>11400354.174002958</v>
      </c>
      <c r="O41" s="3">
        <f>29909.79-R41</f>
        <v>29909.79</v>
      </c>
      <c r="P41" s="2">
        <f>207-S41</f>
        <v>206</v>
      </c>
      <c r="Q41" s="93">
        <v>0</v>
      </c>
      <c r="R41" s="95">
        <v>0</v>
      </c>
      <c r="S41" s="94">
        <v>1</v>
      </c>
      <c r="T41" s="93">
        <v>461939.87112903217</v>
      </c>
      <c r="U41" s="96">
        <v>1563.3000000000002</v>
      </c>
      <c r="V41" s="102">
        <f>342+1143+595+377</f>
        <v>2457</v>
      </c>
      <c r="W41" s="93">
        <v>26266.59</v>
      </c>
      <c r="X41" s="99">
        <v>73.771000000000001</v>
      </c>
      <c r="Y41" s="88">
        <v>175</v>
      </c>
      <c r="Z41" s="93">
        <v>129846</v>
      </c>
      <c r="AA41" s="88">
        <v>141</v>
      </c>
      <c r="AB41" s="93">
        <v>11368239</v>
      </c>
      <c r="AC41" s="94">
        <v>47</v>
      </c>
      <c r="AD41" s="93">
        <v>2368231.5418387093</v>
      </c>
      <c r="AE41" s="95">
        <v>7071.83</v>
      </c>
      <c r="AF41" s="94">
        <v>7</v>
      </c>
      <c r="AG41" s="90">
        <f>Weather!B209</f>
        <v>252.49999999999991</v>
      </c>
      <c r="AH41" s="90">
        <f>Weather!C209</f>
        <v>4.3</v>
      </c>
      <c r="AI41" s="90">
        <f>Employment!B41</f>
        <v>6603.3</v>
      </c>
      <c r="AJ41" s="90">
        <f>Employment!C41</f>
        <v>150.6</v>
      </c>
      <c r="AK41" s="130">
        <v>578793.9</v>
      </c>
      <c r="AL41" s="98">
        <f t="shared" si="6"/>
        <v>30</v>
      </c>
      <c r="AM41" s="106">
        <v>19</v>
      </c>
      <c r="AN41" s="90">
        <v>40</v>
      </c>
      <c r="AO41" s="90">
        <f t="shared" ref="AO41:BC41" si="33">AO29</f>
        <v>0</v>
      </c>
      <c r="AP41" s="90">
        <f t="shared" si="33"/>
        <v>0</v>
      </c>
      <c r="AQ41" s="90">
        <f t="shared" si="33"/>
        <v>0</v>
      </c>
      <c r="AR41" s="90">
        <f t="shared" si="33"/>
        <v>1</v>
      </c>
      <c r="AS41" s="90">
        <f t="shared" si="33"/>
        <v>0</v>
      </c>
      <c r="AT41" s="90">
        <f t="shared" si="33"/>
        <v>0</v>
      </c>
      <c r="AU41" s="90">
        <f t="shared" si="33"/>
        <v>0</v>
      </c>
      <c r="AV41" s="90">
        <f t="shared" si="33"/>
        <v>0</v>
      </c>
      <c r="AW41" s="90">
        <f t="shared" si="33"/>
        <v>0</v>
      </c>
      <c r="AX41" s="90">
        <f t="shared" si="33"/>
        <v>0</v>
      </c>
      <c r="AY41" s="90">
        <f t="shared" si="33"/>
        <v>0</v>
      </c>
      <c r="AZ41" s="90">
        <f t="shared" si="33"/>
        <v>0</v>
      </c>
      <c r="BA41" s="90">
        <f t="shared" si="33"/>
        <v>1</v>
      </c>
      <c r="BB41" s="90">
        <f t="shared" si="33"/>
        <v>0</v>
      </c>
      <c r="BC41" s="90">
        <f t="shared" si="33"/>
        <v>1</v>
      </c>
    </row>
    <row r="42" spans="1:55" x14ac:dyDescent="0.3">
      <c r="A42" s="91">
        <v>41030</v>
      </c>
      <c r="B42" s="92">
        <f t="shared" si="0"/>
        <v>2012</v>
      </c>
      <c r="C42" s="104">
        <v>30222964.625000026</v>
      </c>
      <c r="D42" s="93">
        <v>19162131.097858593</v>
      </c>
      <c r="E42" s="93">
        <f ca="1">OFFSET('Historic CDM'!$C$64,0,(ROW()-ROW(E$2))/12)/12</f>
        <v>270482.04808388877</v>
      </c>
      <c r="F42" s="93">
        <f t="shared" ca="1" si="1"/>
        <v>19432613.145942483</v>
      </c>
      <c r="G42" s="94">
        <v>26315</v>
      </c>
      <c r="H42" s="103">
        <f>283790.786278459+5242272.555</f>
        <v>5526063.3412784589</v>
      </c>
      <c r="I42" s="93">
        <f ca="1">OFFSET('Historic CDM'!$C$76,0,(ROW()-ROW(E$2))/12)/12</f>
        <v>120436.63811573823</v>
      </c>
      <c r="J42" s="93">
        <f t="shared" ca="1" si="2"/>
        <v>5646499.9793941975</v>
      </c>
      <c r="K42" s="88">
        <f>36+1869</f>
        <v>1905</v>
      </c>
      <c r="L42" s="93">
        <f>12633799.6911175-Q42</f>
        <v>12631118.988117501</v>
      </c>
      <c r="M42" s="95">
        <f ca="1">OFFSET('Historic CDM'!$C$88,0,(ROW()-ROW(E$2))/12)/12</f>
        <v>251692.57091425898</v>
      </c>
      <c r="N42" s="1">
        <f ca="1">L42+M42-Q42</f>
        <v>12880130.856031761</v>
      </c>
      <c r="O42" s="3">
        <f>37385.7-R42</f>
        <v>35208.649999999994</v>
      </c>
      <c r="P42" s="2">
        <f>209-S42</f>
        <v>208</v>
      </c>
      <c r="Q42" s="93">
        <v>2680.703</v>
      </c>
      <c r="R42" s="95">
        <v>2177.0500000000002</v>
      </c>
      <c r="S42" s="94">
        <v>1</v>
      </c>
      <c r="T42" s="93">
        <v>415852.91887096775</v>
      </c>
      <c r="U42" s="96">
        <v>1563.3000000000002</v>
      </c>
      <c r="V42" s="102">
        <f>342+1143+595+377</f>
        <v>2457</v>
      </c>
      <c r="W42" s="93">
        <v>39915.79</v>
      </c>
      <c r="X42" s="99">
        <v>73.771000000000001</v>
      </c>
      <c r="Y42" s="88">
        <v>175</v>
      </c>
      <c r="Z42" s="93">
        <v>129846</v>
      </c>
      <c r="AA42" s="88">
        <v>141</v>
      </c>
      <c r="AB42" s="93">
        <v>10962951</v>
      </c>
      <c r="AC42" s="94">
        <v>47</v>
      </c>
      <c r="AD42" s="93">
        <v>3061300.793967742</v>
      </c>
      <c r="AE42" s="95">
        <v>8423.19</v>
      </c>
      <c r="AF42" s="94">
        <v>7</v>
      </c>
      <c r="AG42" s="90">
        <f>Weather!B210</f>
        <v>48.2</v>
      </c>
      <c r="AH42" s="90">
        <f>Weather!C210</f>
        <v>59.3</v>
      </c>
      <c r="AI42" s="90">
        <f>Employment!B42</f>
        <v>6658.1</v>
      </c>
      <c r="AJ42" s="90">
        <f>Employment!C42</f>
        <v>151.1</v>
      </c>
      <c r="AK42" s="130">
        <v>578793.9</v>
      </c>
      <c r="AL42" s="98">
        <f t="shared" si="6"/>
        <v>31</v>
      </c>
      <c r="AM42" s="106">
        <v>22</v>
      </c>
      <c r="AN42" s="90">
        <v>41</v>
      </c>
      <c r="AO42" s="90">
        <f t="shared" ref="AO42:BC42" si="34">AO30</f>
        <v>0</v>
      </c>
      <c r="AP42" s="90">
        <f t="shared" si="34"/>
        <v>0</v>
      </c>
      <c r="AQ42" s="90">
        <f t="shared" si="34"/>
        <v>0</v>
      </c>
      <c r="AR42" s="90">
        <f t="shared" si="34"/>
        <v>0</v>
      </c>
      <c r="AS42" s="90">
        <f t="shared" si="34"/>
        <v>1</v>
      </c>
      <c r="AT42" s="90">
        <f t="shared" si="34"/>
        <v>0</v>
      </c>
      <c r="AU42" s="90">
        <f t="shared" si="34"/>
        <v>0</v>
      </c>
      <c r="AV42" s="90">
        <f t="shared" si="34"/>
        <v>0</v>
      </c>
      <c r="AW42" s="90">
        <f t="shared" si="34"/>
        <v>0</v>
      </c>
      <c r="AX42" s="90">
        <f t="shared" si="34"/>
        <v>0</v>
      </c>
      <c r="AY42" s="90">
        <f t="shared" si="34"/>
        <v>0</v>
      </c>
      <c r="AZ42" s="90">
        <f t="shared" si="34"/>
        <v>0</v>
      </c>
      <c r="BA42" s="90">
        <f t="shared" si="34"/>
        <v>1</v>
      </c>
      <c r="BB42" s="90">
        <f t="shared" si="34"/>
        <v>0</v>
      </c>
      <c r="BC42" s="90">
        <f t="shared" si="34"/>
        <v>1</v>
      </c>
    </row>
    <row r="43" spans="1:55" x14ac:dyDescent="0.3">
      <c r="A43" s="91">
        <v>41061</v>
      </c>
      <c r="B43" s="92">
        <f t="shared" si="0"/>
        <v>2012</v>
      </c>
      <c r="C43" s="104">
        <v>40472441.374999985</v>
      </c>
      <c r="D43" s="93">
        <v>26907908.5812876</v>
      </c>
      <c r="E43" s="93">
        <f ca="1">OFFSET('Historic CDM'!$C$64,0,(ROW()-ROW(E$2))/12)/12</f>
        <v>270482.04808388877</v>
      </c>
      <c r="F43" s="93">
        <f t="shared" ca="1" si="1"/>
        <v>27178390.62937149</v>
      </c>
      <c r="G43" s="94">
        <v>26446</v>
      </c>
      <c r="H43" s="103">
        <f>361015.011711336+5901384.308</f>
        <v>6262399.3197113359</v>
      </c>
      <c r="I43" s="93">
        <f ca="1">OFFSET('Historic CDM'!$C$76,0,(ROW()-ROW(E$2))/12)/12</f>
        <v>120436.63811573823</v>
      </c>
      <c r="J43" s="93">
        <f t="shared" ca="1" si="2"/>
        <v>6382835.9578270745</v>
      </c>
      <c r="K43" s="88">
        <f>34+1878</f>
        <v>1912</v>
      </c>
      <c r="L43" s="93">
        <f>14491751.5203736-Q43</f>
        <v>14491662.164373599</v>
      </c>
      <c r="M43" s="95">
        <f ca="1">OFFSET('Historic CDM'!$C$88,0,(ROW()-ROW(E$2))/12)/12</f>
        <v>251692.57091425898</v>
      </c>
      <c r="N43" s="1">
        <f ca="1">L43+M43-Q43</f>
        <v>14743265.379287858</v>
      </c>
      <c r="O43" s="3">
        <f>42230.76-R43</f>
        <v>42230.76</v>
      </c>
      <c r="P43" s="2">
        <f>207-S43</f>
        <v>206</v>
      </c>
      <c r="Q43" s="93">
        <v>89.355999999999995</v>
      </c>
      <c r="R43" s="101">
        <v>0</v>
      </c>
      <c r="S43" s="94">
        <v>1</v>
      </c>
      <c r="T43" s="93">
        <v>365836.01346236555</v>
      </c>
      <c r="U43" s="96">
        <v>1563.3000000000002</v>
      </c>
      <c r="V43" s="102">
        <f>342+1143+595+377</f>
        <v>2457</v>
      </c>
      <c r="W43" s="93">
        <v>28586.77</v>
      </c>
      <c r="X43" s="99">
        <v>73.771000000000001</v>
      </c>
      <c r="Y43" s="88">
        <v>175</v>
      </c>
      <c r="Z43" s="93">
        <v>129846</v>
      </c>
      <c r="AA43" s="88">
        <v>141</v>
      </c>
      <c r="AB43" s="93">
        <v>11159787</v>
      </c>
      <c r="AC43" s="94">
        <v>47</v>
      </c>
      <c r="AD43" s="93">
        <v>3707452.5843655928</v>
      </c>
      <c r="AE43" s="95">
        <v>20971.22</v>
      </c>
      <c r="AF43" s="94">
        <v>7</v>
      </c>
      <c r="AG43" s="90">
        <f>Weather!B211</f>
        <v>10.3</v>
      </c>
      <c r="AH43" s="90">
        <f>Weather!C211</f>
        <v>147.09999999999997</v>
      </c>
      <c r="AI43" s="90">
        <f>Employment!B43</f>
        <v>6737.2</v>
      </c>
      <c r="AJ43" s="90">
        <f>Employment!C43</f>
        <v>152.19999999999999</v>
      </c>
      <c r="AK43" s="130">
        <v>578793.9</v>
      </c>
      <c r="AL43" s="98">
        <f t="shared" si="6"/>
        <v>30</v>
      </c>
      <c r="AM43" s="106">
        <v>21</v>
      </c>
      <c r="AN43" s="90">
        <v>42</v>
      </c>
      <c r="AO43" s="90">
        <f t="shared" ref="AO43:BC43" si="35">AO31</f>
        <v>0</v>
      </c>
      <c r="AP43" s="90">
        <f t="shared" si="35"/>
        <v>0</v>
      </c>
      <c r="AQ43" s="90">
        <f t="shared" si="35"/>
        <v>0</v>
      </c>
      <c r="AR43" s="90">
        <f t="shared" si="35"/>
        <v>0</v>
      </c>
      <c r="AS43" s="90">
        <f t="shared" si="35"/>
        <v>0</v>
      </c>
      <c r="AT43" s="90">
        <f t="shared" si="35"/>
        <v>1</v>
      </c>
      <c r="AU43" s="90">
        <f t="shared" si="35"/>
        <v>0</v>
      </c>
      <c r="AV43" s="90">
        <f t="shared" si="35"/>
        <v>0</v>
      </c>
      <c r="AW43" s="90">
        <f t="shared" si="35"/>
        <v>0</v>
      </c>
      <c r="AX43" s="90">
        <f t="shared" si="35"/>
        <v>0</v>
      </c>
      <c r="AY43" s="90">
        <f t="shared" si="35"/>
        <v>0</v>
      </c>
      <c r="AZ43" s="90">
        <f t="shared" si="35"/>
        <v>0</v>
      </c>
      <c r="BA43" s="90">
        <f t="shared" si="35"/>
        <v>0</v>
      </c>
      <c r="BB43" s="90">
        <f t="shared" si="35"/>
        <v>0</v>
      </c>
      <c r="BC43" s="90">
        <f t="shared" si="35"/>
        <v>0</v>
      </c>
    </row>
    <row r="44" spans="1:55" x14ac:dyDescent="0.3">
      <c r="A44" s="91">
        <v>41091</v>
      </c>
      <c r="B44" s="92">
        <f t="shared" si="0"/>
        <v>2012</v>
      </c>
      <c r="C44" s="104">
        <v>52742118.400000036</v>
      </c>
      <c r="D44" s="93">
        <v>33852449.685425185</v>
      </c>
      <c r="E44" s="93">
        <f ca="1">OFFSET('Historic CDM'!$C$64,0,(ROW()-ROW(E$2))/12)/12</f>
        <v>270482.04808388877</v>
      </c>
      <c r="F44" s="93">
        <f t="shared" ca="1" si="1"/>
        <v>34122931.733509071</v>
      </c>
      <c r="G44" s="94">
        <v>26481</v>
      </c>
      <c r="H44" s="103">
        <f>344089.594736825+6653522.887</f>
        <v>6997612.4817368248</v>
      </c>
      <c r="I44" s="93">
        <f ca="1">OFFSET('Historic CDM'!$C$76,0,(ROW()-ROW(E$2))/12)/12</f>
        <v>120436.63811573823</v>
      </c>
      <c r="J44" s="93">
        <f t="shared" ca="1" si="2"/>
        <v>7118049.1198525634</v>
      </c>
      <c r="K44" s="88">
        <f>32+1872</f>
        <v>1904</v>
      </c>
      <c r="L44" s="93">
        <f>16501644.7766326-Q44</f>
        <v>15604624.5516326</v>
      </c>
      <c r="M44" s="95">
        <f ca="1">OFFSET('Historic CDM'!$C$88,0,(ROW()-ROW(E$2))/12)/12</f>
        <v>251692.57091425898</v>
      </c>
      <c r="N44" s="1">
        <f ca="1">L44+M44-Q44</f>
        <v>14959296.897546859</v>
      </c>
      <c r="O44" s="3">
        <f>36912.1-R44</f>
        <v>36912.1</v>
      </c>
      <c r="P44" s="2">
        <f>209-S44</f>
        <v>208</v>
      </c>
      <c r="Q44" s="93">
        <v>897020.22499999998</v>
      </c>
      <c r="R44" s="101">
        <v>0</v>
      </c>
      <c r="S44" s="94">
        <v>1</v>
      </c>
      <c r="T44" s="93">
        <v>387550.74944086024</v>
      </c>
      <c r="U44" s="96">
        <v>1565.73</v>
      </c>
      <c r="V44" s="102">
        <f>342+1146+595+377</f>
        <v>2460</v>
      </c>
      <c r="W44" s="93">
        <v>32371.599999999999</v>
      </c>
      <c r="X44" s="99">
        <v>73.771000000000001</v>
      </c>
      <c r="Y44" s="88">
        <v>175</v>
      </c>
      <c r="Z44" s="93">
        <v>129846</v>
      </c>
      <c r="AA44" s="88">
        <v>141</v>
      </c>
      <c r="AB44" s="93">
        <v>10065005</v>
      </c>
      <c r="AC44" s="94">
        <v>47</v>
      </c>
      <c r="AD44" s="93">
        <v>3835132.3117634398</v>
      </c>
      <c r="AE44" s="95">
        <v>11236.77</v>
      </c>
      <c r="AF44" s="94">
        <v>7</v>
      </c>
      <c r="AG44" s="90">
        <f>Weather!B212</f>
        <v>0</v>
      </c>
      <c r="AH44" s="90">
        <f>Weather!C212</f>
        <v>235.50000000000009</v>
      </c>
      <c r="AI44" s="90">
        <f>Employment!B44</f>
        <v>6778.6</v>
      </c>
      <c r="AJ44" s="90">
        <f>Employment!C44</f>
        <v>153.4</v>
      </c>
      <c r="AK44" s="130">
        <v>578793.9</v>
      </c>
      <c r="AL44" s="98">
        <f t="shared" si="6"/>
        <v>31</v>
      </c>
      <c r="AM44" s="106">
        <v>21</v>
      </c>
      <c r="AN44" s="90">
        <v>43</v>
      </c>
      <c r="AO44" s="90">
        <f t="shared" ref="AO44:BC44" si="36">AO32</f>
        <v>0</v>
      </c>
      <c r="AP44" s="90">
        <f t="shared" si="36"/>
        <v>0</v>
      </c>
      <c r="AQ44" s="90">
        <f t="shared" si="36"/>
        <v>0</v>
      </c>
      <c r="AR44" s="90">
        <f t="shared" si="36"/>
        <v>0</v>
      </c>
      <c r="AS44" s="90">
        <f t="shared" si="36"/>
        <v>0</v>
      </c>
      <c r="AT44" s="90">
        <f t="shared" si="36"/>
        <v>0</v>
      </c>
      <c r="AU44" s="90">
        <f t="shared" si="36"/>
        <v>1</v>
      </c>
      <c r="AV44" s="90">
        <f t="shared" si="36"/>
        <v>0</v>
      </c>
      <c r="AW44" s="90">
        <f t="shared" si="36"/>
        <v>0</v>
      </c>
      <c r="AX44" s="90">
        <f t="shared" si="36"/>
        <v>0</v>
      </c>
      <c r="AY44" s="90">
        <f t="shared" si="36"/>
        <v>0</v>
      </c>
      <c r="AZ44" s="90">
        <f t="shared" si="36"/>
        <v>0</v>
      </c>
      <c r="BA44" s="90">
        <f t="shared" si="36"/>
        <v>0</v>
      </c>
      <c r="BB44" s="90">
        <f t="shared" si="36"/>
        <v>0</v>
      </c>
      <c r="BC44" s="90">
        <f t="shared" si="36"/>
        <v>0</v>
      </c>
    </row>
    <row r="45" spans="1:55" x14ac:dyDescent="0.3">
      <c r="A45" s="91">
        <v>41122</v>
      </c>
      <c r="B45" s="92">
        <f t="shared" si="0"/>
        <v>2012</v>
      </c>
      <c r="C45" s="104">
        <f>42014865.225+1098472</f>
        <v>43113337.225000001</v>
      </c>
      <c r="D45" s="93">
        <v>28503561.942538325</v>
      </c>
      <c r="E45" s="93">
        <f ca="1">OFFSET('Historic CDM'!$C$64,0,(ROW()-ROW(E$2))/12)/12</f>
        <v>270482.04808388877</v>
      </c>
      <c r="F45" s="93">
        <f t="shared" ca="1" si="1"/>
        <v>28774043.990622215</v>
      </c>
      <c r="G45" s="94">
        <f>26436+11</f>
        <v>26447</v>
      </c>
      <c r="H45" s="103">
        <f>277879.833814803+6161019.615</f>
        <v>6438899.4488148028</v>
      </c>
      <c r="I45" s="93">
        <f ca="1">OFFSET('Historic CDM'!$C$76,0,(ROW()-ROW(E$2))/12)/12</f>
        <v>120436.63811573823</v>
      </c>
      <c r="J45" s="93">
        <f t="shared" ca="1" si="2"/>
        <v>6559336.0869305413</v>
      </c>
      <c r="K45" s="88">
        <f>30+1872</f>
        <v>1902</v>
      </c>
      <c r="L45" s="93">
        <f>16544906.1232912-Q45</f>
        <v>15860338.8302912</v>
      </c>
      <c r="M45" s="95">
        <f ca="1">OFFSET('Historic CDM'!$C$88,0,(ROW()-ROW(E$2))/12)/12</f>
        <v>251692.57091425898</v>
      </c>
      <c r="N45" s="1">
        <f ca="1">L45+M45-Q45</f>
        <v>15427464.10820546</v>
      </c>
      <c r="O45" s="3">
        <f>41306.76-R45</f>
        <v>37857.86</v>
      </c>
      <c r="P45" s="2">
        <f>208-S45</f>
        <v>207</v>
      </c>
      <c r="Q45" s="93">
        <v>684567.29299999995</v>
      </c>
      <c r="R45" s="95">
        <v>3448.9</v>
      </c>
      <c r="S45" s="94">
        <v>1</v>
      </c>
      <c r="T45" s="93">
        <v>433744.78064516129</v>
      </c>
      <c r="U45" s="96">
        <v>1565.73</v>
      </c>
      <c r="V45" s="102">
        <f>342+1146+595+377</f>
        <v>2460</v>
      </c>
      <c r="W45" s="93">
        <v>31102.97</v>
      </c>
      <c r="X45" s="99">
        <v>73.771000000000001</v>
      </c>
      <c r="Y45" s="88">
        <v>175</v>
      </c>
      <c r="Z45" s="93">
        <v>129846</v>
      </c>
      <c r="AA45" s="88">
        <v>141</v>
      </c>
      <c r="AB45" s="93">
        <v>9286113</v>
      </c>
      <c r="AC45" s="94">
        <v>48</v>
      </c>
      <c r="AD45" s="93">
        <v>1448100.6993548393</v>
      </c>
      <c r="AE45" s="95">
        <v>9755.99</v>
      </c>
      <c r="AF45" s="94">
        <v>7</v>
      </c>
      <c r="AG45" s="90">
        <f>Weather!B213</f>
        <v>0.7</v>
      </c>
      <c r="AH45" s="90">
        <f>Weather!C213</f>
        <v>143.69999999999999</v>
      </c>
      <c r="AI45" s="90">
        <f>Employment!B45</f>
        <v>6797.9</v>
      </c>
      <c r="AJ45" s="90">
        <f>Employment!C45</f>
        <v>155</v>
      </c>
      <c r="AK45" s="130">
        <v>578793.9</v>
      </c>
      <c r="AL45" s="98">
        <f t="shared" si="6"/>
        <v>31</v>
      </c>
      <c r="AM45" s="106">
        <v>22</v>
      </c>
      <c r="AN45" s="90">
        <v>44</v>
      </c>
      <c r="AO45" s="90">
        <f t="shared" ref="AO45:BC45" si="37">AO33</f>
        <v>0</v>
      </c>
      <c r="AP45" s="90">
        <f t="shared" si="37"/>
        <v>0</v>
      </c>
      <c r="AQ45" s="90">
        <f t="shared" si="37"/>
        <v>0</v>
      </c>
      <c r="AR45" s="90">
        <f t="shared" si="37"/>
        <v>0</v>
      </c>
      <c r="AS45" s="90">
        <f t="shared" si="37"/>
        <v>0</v>
      </c>
      <c r="AT45" s="90">
        <f t="shared" si="37"/>
        <v>0</v>
      </c>
      <c r="AU45" s="90">
        <f t="shared" si="37"/>
        <v>0</v>
      </c>
      <c r="AV45" s="90">
        <f t="shared" si="37"/>
        <v>1</v>
      </c>
      <c r="AW45" s="90">
        <f t="shared" si="37"/>
        <v>0</v>
      </c>
      <c r="AX45" s="90">
        <f t="shared" si="37"/>
        <v>0</v>
      </c>
      <c r="AY45" s="90">
        <f t="shared" si="37"/>
        <v>0</v>
      </c>
      <c r="AZ45" s="90">
        <f t="shared" si="37"/>
        <v>0</v>
      </c>
      <c r="BA45" s="90">
        <f t="shared" si="37"/>
        <v>0</v>
      </c>
      <c r="BB45" s="90">
        <f t="shared" si="37"/>
        <v>0</v>
      </c>
      <c r="BC45" s="90">
        <f t="shared" si="37"/>
        <v>0</v>
      </c>
    </row>
    <row r="46" spans="1:55" x14ac:dyDescent="0.3">
      <c r="A46" s="91">
        <v>41153</v>
      </c>
      <c r="B46" s="92">
        <f t="shared" si="0"/>
        <v>2012</v>
      </c>
      <c r="C46" s="104">
        <f>35750611.025+1004439</f>
        <v>36755050.024999999</v>
      </c>
      <c r="D46" s="93">
        <v>20857543.726392075</v>
      </c>
      <c r="E46" s="93">
        <f ca="1">OFFSET('Historic CDM'!$C$64,0,(ROW()-ROW(E$2))/12)/12</f>
        <v>270482.04808388877</v>
      </c>
      <c r="F46" s="93">
        <f t="shared" ca="1" si="1"/>
        <v>21128025.774475966</v>
      </c>
      <c r="G46" s="94">
        <v>26348</v>
      </c>
      <c r="H46" s="103">
        <f>255102.623480663+5203422.769</f>
        <v>5458525.392480663</v>
      </c>
      <c r="I46" s="93">
        <f ca="1">OFFSET('Historic CDM'!$C$76,0,(ROW()-ROW(E$2))/12)/12</f>
        <v>120436.63811573823</v>
      </c>
      <c r="J46" s="93">
        <f t="shared" ca="1" si="2"/>
        <v>5578962.0305964015</v>
      </c>
      <c r="K46" s="88">
        <f>30+1861</f>
        <v>1891</v>
      </c>
      <c r="L46" s="93">
        <f>16314627.4402656-Q46</f>
        <v>15026126.515265599</v>
      </c>
      <c r="M46" s="95">
        <f ca="1">OFFSET('Historic CDM'!$C$88,0,(ROW()-ROW(E$2))/12)/12</f>
        <v>251692.57091425898</v>
      </c>
      <c r="N46" s="1">
        <f ca="1">L46+M46-Q46</f>
        <v>13989318.161179857</v>
      </c>
      <c r="O46" s="3">
        <f>41707.15-R46</f>
        <v>37681.800000000003</v>
      </c>
      <c r="P46" s="2">
        <f>206-S46</f>
        <v>205</v>
      </c>
      <c r="Q46" s="93">
        <v>1288500.925</v>
      </c>
      <c r="R46" s="95">
        <v>4025.35</v>
      </c>
      <c r="S46" s="94">
        <v>1</v>
      </c>
      <c r="T46" s="93">
        <v>488653.70891397854</v>
      </c>
      <c r="U46" s="96">
        <v>1566.1200000000001</v>
      </c>
      <c r="V46" s="102">
        <f>342+1147+595+377</f>
        <v>2461</v>
      </c>
      <c r="W46" s="93">
        <v>30705.46</v>
      </c>
      <c r="X46" s="99">
        <v>73.575999999999993</v>
      </c>
      <c r="Y46" s="88">
        <v>175</v>
      </c>
      <c r="Z46" s="93">
        <v>129846</v>
      </c>
      <c r="AA46" s="88">
        <v>141</v>
      </c>
      <c r="AB46" s="93">
        <v>8605619</v>
      </c>
      <c r="AC46" s="94">
        <v>48</v>
      </c>
      <c r="AD46" s="93">
        <v>2961190.1295483885</v>
      </c>
      <c r="AE46" s="95">
        <v>8598.94</v>
      </c>
      <c r="AF46" s="94">
        <v>7</v>
      </c>
      <c r="AG46" s="90">
        <f>Weather!B214</f>
        <v>53.2</v>
      </c>
      <c r="AH46" s="90">
        <f>Weather!C214</f>
        <v>50.29999999999999</v>
      </c>
      <c r="AI46" s="90">
        <f>Employment!B46</f>
        <v>6763.1</v>
      </c>
      <c r="AJ46" s="90">
        <f>Employment!C46</f>
        <v>156.9</v>
      </c>
      <c r="AK46" s="130">
        <v>578793.9</v>
      </c>
      <c r="AL46" s="98">
        <f t="shared" si="6"/>
        <v>30</v>
      </c>
      <c r="AM46" s="106">
        <v>19</v>
      </c>
      <c r="AN46" s="90">
        <v>45</v>
      </c>
      <c r="AO46" s="90">
        <f t="shared" ref="AO46:BC46" si="38">AO34</f>
        <v>0</v>
      </c>
      <c r="AP46" s="90">
        <f t="shared" si="38"/>
        <v>0</v>
      </c>
      <c r="AQ46" s="90">
        <f t="shared" si="38"/>
        <v>0</v>
      </c>
      <c r="AR46" s="90">
        <f t="shared" si="38"/>
        <v>0</v>
      </c>
      <c r="AS46" s="90">
        <f t="shared" si="38"/>
        <v>0</v>
      </c>
      <c r="AT46" s="90">
        <f t="shared" si="38"/>
        <v>0</v>
      </c>
      <c r="AU46" s="90">
        <f t="shared" si="38"/>
        <v>0</v>
      </c>
      <c r="AV46" s="90">
        <f t="shared" si="38"/>
        <v>0</v>
      </c>
      <c r="AW46" s="90">
        <f t="shared" si="38"/>
        <v>1</v>
      </c>
      <c r="AX46" s="90">
        <f t="shared" si="38"/>
        <v>0</v>
      </c>
      <c r="AY46" s="90">
        <f t="shared" si="38"/>
        <v>0</v>
      </c>
      <c r="AZ46" s="90">
        <f t="shared" si="38"/>
        <v>0</v>
      </c>
      <c r="BA46" s="90">
        <f t="shared" si="38"/>
        <v>0</v>
      </c>
      <c r="BB46" s="90">
        <f t="shared" si="38"/>
        <v>0</v>
      </c>
      <c r="BC46" s="90">
        <f t="shared" si="38"/>
        <v>0</v>
      </c>
    </row>
    <row r="47" spans="1:55" x14ac:dyDescent="0.3">
      <c r="A47" s="91">
        <v>41183</v>
      </c>
      <c r="B47" s="92">
        <f t="shared" si="0"/>
        <v>2012</v>
      </c>
      <c r="C47" s="104">
        <f>27546878.7+959247</f>
        <v>28506125.699999999</v>
      </c>
      <c r="D47" s="93">
        <v>16824906.609342769</v>
      </c>
      <c r="E47" s="93">
        <f ca="1">OFFSET('Historic CDM'!$C$64,0,(ROW()-ROW(E$2))/12)/12</f>
        <v>270482.04808388877</v>
      </c>
      <c r="F47" s="93">
        <f t="shared" ca="1" si="1"/>
        <v>17095388.657426659</v>
      </c>
      <c r="G47" s="94">
        <v>26356</v>
      </c>
      <c r="H47" s="93">
        <f>238917.041125501+4794061.477</f>
        <v>5032978.5181255005</v>
      </c>
      <c r="I47" s="93">
        <f ca="1">OFFSET('Historic CDM'!$C$76,0,(ROW()-ROW(E$2))/12)/12</f>
        <v>120436.63811573823</v>
      </c>
      <c r="J47" s="93">
        <f t="shared" ca="1" si="2"/>
        <v>5153415.156241239</v>
      </c>
      <c r="K47" s="88">
        <f>30+1865</f>
        <v>1895</v>
      </c>
      <c r="L47" s="93">
        <f>14010240.8544423-Q47</f>
        <v>13966562.278442301</v>
      </c>
      <c r="M47" s="95">
        <f ca="1">OFFSET('Historic CDM'!$C$88,0,(ROW()-ROW(E$2))/12)/12</f>
        <v>251692.57091425898</v>
      </c>
      <c r="N47" s="1">
        <f ca="1">L47+M47-Q47</f>
        <v>14174576.273356561</v>
      </c>
      <c r="O47" s="3">
        <f>34817.34-R47</f>
        <v>34817.339999999997</v>
      </c>
      <c r="P47" s="2">
        <f>205-S47</f>
        <v>204</v>
      </c>
      <c r="Q47" s="93">
        <v>43678.576000000001</v>
      </c>
      <c r="R47" s="101">
        <v>0</v>
      </c>
      <c r="S47" s="94">
        <v>1</v>
      </c>
      <c r="T47" s="93">
        <v>578110.88269892451</v>
      </c>
      <c r="U47" s="96">
        <v>1566.72</v>
      </c>
      <c r="V47" s="102">
        <f>342+1149+595+377</f>
        <v>2463</v>
      </c>
      <c r="W47" s="93">
        <v>26791.5</v>
      </c>
      <c r="X47" s="99">
        <v>73.575999999999993</v>
      </c>
      <c r="Y47" s="88">
        <v>175</v>
      </c>
      <c r="Z47" s="93">
        <v>129846</v>
      </c>
      <c r="AA47" s="88">
        <v>141</v>
      </c>
      <c r="AB47" s="93">
        <v>10680442</v>
      </c>
      <c r="AC47" s="94">
        <v>48</v>
      </c>
      <c r="AD47" s="93">
        <v>2758352.8423870979</v>
      </c>
      <c r="AE47" s="95">
        <v>6730.54</v>
      </c>
      <c r="AF47" s="94">
        <v>7</v>
      </c>
      <c r="AG47" s="90">
        <f>Weather!B215</f>
        <v>207.19999999999996</v>
      </c>
      <c r="AH47" s="90">
        <f>Weather!C215</f>
        <v>5.6</v>
      </c>
      <c r="AI47" s="90">
        <f>Employment!B47</f>
        <v>6740.9</v>
      </c>
      <c r="AJ47" s="90">
        <f>Employment!C47</f>
        <v>157.5</v>
      </c>
      <c r="AK47" s="130">
        <v>578793.9</v>
      </c>
      <c r="AL47" s="98">
        <f t="shared" si="6"/>
        <v>31</v>
      </c>
      <c r="AM47" s="106">
        <v>22</v>
      </c>
      <c r="AN47" s="90">
        <v>46</v>
      </c>
      <c r="AO47" s="90">
        <f t="shared" ref="AO47:BC47" si="39">AO35</f>
        <v>0</v>
      </c>
      <c r="AP47" s="90">
        <f t="shared" si="39"/>
        <v>0</v>
      </c>
      <c r="AQ47" s="90">
        <f t="shared" si="39"/>
        <v>0</v>
      </c>
      <c r="AR47" s="90">
        <f t="shared" si="39"/>
        <v>0</v>
      </c>
      <c r="AS47" s="90">
        <f t="shared" si="39"/>
        <v>0</v>
      </c>
      <c r="AT47" s="90">
        <f t="shared" si="39"/>
        <v>0</v>
      </c>
      <c r="AU47" s="90">
        <f t="shared" si="39"/>
        <v>0</v>
      </c>
      <c r="AV47" s="90">
        <f t="shared" si="39"/>
        <v>0</v>
      </c>
      <c r="AW47" s="90">
        <f t="shared" si="39"/>
        <v>0</v>
      </c>
      <c r="AX47" s="90">
        <f t="shared" si="39"/>
        <v>1</v>
      </c>
      <c r="AY47" s="90">
        <f t="shared" si="39"/>
        <v>0</v>
      </c>
      <c r="AZ47" s="90">
        <f t="shared" si="39"/>
        <v>0</v>
      </c>
      <c r="BA47" s="90">
        <f t="shared" si="39"/>
        <v>0</v>
      </c>
      <c r="BB47" s="90">
        <f t="shared" si="39"/>
        <v>1</v>
      </c>
      <c r="BC47" s="90">
        <f t="shared" si="39"/>
        <v>1</v>
      </c>
    </row>
    <row r="48" spans="1:55" x14ac:dyDescent="0.3">
      <c r="A48" s="91">
        <v>41214</v>
      </c>
      <c r="B48" s="92">
        <f t="shared" si="0"/>
        <v>2012</v>
      </c>
      <c r="C48" s="93">
        <f>33438813.9+883221</f>
        <v>34322034.899999999</v>
      </c>
      <c r="D48" s="93">
        <v>17732501.647984169</v>
      </c>
      <c r="E48" s="93">
        <f ca="1">OFFSET('Historic CDM'!$C$64,0,(ROW()-ROW(E$2))/12)/12</f>
        <v>270482.04808388877</v>
      </c>
      <c r="F48" s="93">
        <f t="shared" ca="1" si="1"/>
        <v>18002983.69606806</v>
      </c>
      <c r="G48" s="94">
        <v>26332</v>
      </c>
      <c r="H48" s="93">
        <f>222191.726637214+4798211.506</f>
        <v>5020403.2326372145</v>
      </c>
      <c r="I48" s="93">
        <f ca="1">OFFSET('Historic CDM'!$C$76,0,(ROW()-ROW(E$2))/12)/12</f>
        <v>120436.63811573823</v>
      </c>
      <c r="J48" s="93">
        <f t="shared" ca="1" si="2"/>
        <v>5140839.870752953</v>
      </c>
      <c r="K48" s="88">
        <f>28+1865</f>
        <v>1893</v>
      </c>
      <c r="L48" s="93">
        <f>13924131.4296918-Q48</f>
        <v>13923386.487691801</v>
      </c>
      <c r="M48" s="95">
        <f ca="1">OFFSET('Historic CDM'!$C$88,0,(ROW()-ROW(E$2))/12)/12</f>
        <v>251692.57091425898</v>
      </c>
      <c r="N48" s="1">
        <f ca="1">L48+M48-Q48</f>
        <v>14174334.11660606</v>
      </c>
      <c r="O48" s="3">
        <f>33602.89-R48</f>
        <v>33368.400000000001</v>
      </c>
      <c r="P48" s="2">
        <f>207-S48</f>
        <v>206</v>
      </c>
      <c r="Q48" s="93">
        <v>744.94200000000001</v>
      </c>
      <c r="R48" s="95">
        <v>234.49</v>
      </c>
      <c r="S48" s="94">
        <v>1</v>
      </c>
      <c r="T48" s="93">
        <v>605833.19496774173</v>
      </c>
      <c r="U48" s="96">
        <v>1565.3700000000001</v>
      </c>
      <c r="V48" s="102">
        <f>342+1142+595+377</f>
        <v>2456</v>
      </c>
      <c r="W48" s="93">
        <v>34340.019999999997</v>
      </c>
      <c r="X48" s="99">
        <v>73.575999999999993</v>
      </c>
      <c r="Y48" s="88">
        <v>175</v>
      </c>
      <c r="Z48" s="93">
        <v>129846</v>
      </c>
      <c r="AA48" s="88">
        <v>141</v>
      </c>
      <c r="AB48" s="93">
        <v>7113072</v>
      </c>
      <c r="AC48" s="94">
        <v>48</v>
      </c>
      <c r="AD48" s="93">
        <v>2992763.5606129039</v>
      </c>
      <c r="AE48" s="95">
        <v>7146.02</v>
      </c>
      <c r="AF48" s="94">
        <v>7</v>
      </c>
      <c r="AG48" s="90">
        <f>Weather!B216</f>
        <v>405.49999999999994</v>
      </c>
      <c r="AH48" s="90">
        <f>Weather!C216</f>
        <v>0</v>
      </c>
      <c r="AI48" s="90">
        <f>Employment!B48</f>
        <v>6727.4</v>
      </c>
      <c r="AJ48" s="90">
        <f>Employment!C48</f>
        <v>157.6</v>
      </c>
      <c r="AK48" s="130">
        <v>578793.9</v>
      </c>
      <c r="AL48" s="98">
        <f t="shared" si="6"/>
        <v>30</v>
      </c>
      <c r="AM48" s="106">
        <v>22</v>
      </c>
      <c r="AN48" s="90">
        <v>47</v>
      </c>
      <c r="AO48" s="90">
        <f t="shared" ref="AO48:BC48" si="40">AO36</f>
        <v>0</v>
      </c>
      <c r="AP48" s="90">
        <f t="shared" si="40"/>
        <v>0</v>
      </c>
      <c r="AQ48" s="90">
        <f t="shared" si="40"/>
        <v>0</v>
      </c>
      <c r="AR48" s="90">
        <f t="shared" si="40"/>
        <v>0</v>
      </c>
      <c r="AS48" s="90">
        <f t="shared" si="40"/>
        <v>0</v>
      </c>
      <c r="AT48" s="90">
        <f t="shared" si="40"/>
        <v>0</v>
      </c>
      <c r="AU48" s="90">
        <f t="shared" si="40"/>
        <v>0</v>
      </c>
      <c r="AV48" s="90">
        <f t="shared" si="40"/>
        <v>0</v>
      </c>
      <c r="AW48" s="90">
        <f t="shared" si="40"/>
        <v>0</v>
      </c>
      <c r="AX48" s="90">
        <f t="shared" si="40"/>
        <v>0</v>
      </c>
      <c r="AY48" s="90">
        <f t="shared" si="40"/>
        <v>1</v>
      </c>
      <c r="AZ48" s="90">
        <f t="shared" si="40"/>
        <v>0</v>
      </c>
      <c r="BA48" s="90">
        <f t="shared" si="40"/>
        <v>0</v>
      </c>
      <c r="BB48" s="90">
        <f t="shared" si="40"/>
        <v>1</v>
      </c>
      <c r="BC48" s="90">
        <f t="shared" si="40"/>
        <v>1</v>
      </c>
    </row>
    <row r="49" spans="1:55" x14ac:dyDescent="0.3">
      <c r="A49" s="91">
        <v>41244</v>
      </c>
      <c r="B49" s="92">
        <f t="shared" si="0"/>
        <v>2012</v>
      </c>
      <c r="C49" s="93">
        <f>35829719.875+918942</f>
        <v>36748661.875</v>
      </c>
      <c r="D49" s="93">
        <v>20454409.408742324</v>
      </c>
      <c r="E49" s="93">
        <f ca="1">OFFSET('Historic CDM'!$C$64,0,(ROW()-ROW(E$2))/12)/12</f>
        <v>270482.04808388877</v>
      </c>
      <c r="F49" s="93">
        <f t="shared" ca="1" si="1"/>
        <v>20724891.456826214</v>
      </c>
      <c r="G49" s="94">
        <v>26238</v>
      </c>
      <c r="H49" s="93">
        <f>236419.82564777+5079055.134</f>
        <v>5315474.95964777</v>
      </c>
      <c r="I49" s="93">
        <f ca="1">OFFSET('Historic CDM'!$C$76,0,(ROW()-ROW(E$2))/12)/12</f>
        <v>120436.63811573823</v>
      </c>
      <c r="J49" s="93">
        <f t="shared" ca="1" si="2"/>
        <v>5435911.5977635086</v>
      </c>
      <c r="K49" s="88">
        <f>27+1858</f>
        <v>1885</v>
      </c>
      <c r="L49" s="93">
        <f>12672600.2864349-Q49</f>
        <v>12665619.0124349</v>
      </c>
      <c r="M49" s="95">
        <f ca="1">OFFSET('Historic CDM'!$C$88,0,(ROW()-ROW(E$2))/12)/12</f>
        <v>251692.57091425898</v>
      </c>
      <c r="N49" s="1">
        <f ca="1">L49+M49-Q49</f>
        <v>12910330.309349159</v>
      </c>
      <c r="O49" s="3">
        <f>32671.17-R49</f>
        <v>31824.55</v>
      </c>
      <c r="P49" s="2">
        <f>205-S49</f>
        <v>204</v>
      </c>
      <c r="Q49" s="93">
        <v>6981.2740000000003</v>
      </c>
      <c r="R49" s="95">
        <v>846.62</v>
      </c>
      <c r="S49" s="94">
        <v>1</v>
      </c>
      <c r="T49" s="93">
        <v>663156.10954838712</v>
      </c>
      <c r="U49" s="96">
        <v>1561.3200000000002</v>
      </c>
      <c r="V49" s="102">
        <f>342+1142+595+377</f>
        <v>2456</v>
      </c>
      <c r="W49" s="93">
        <v>33317.26</v>
      </c>
      <c r="X49" s="99">
        <v>73.575999999999993</v>
      </c>
      <c r="Y49" s="88">
        <v>175</v>
      </c>
      <c r="Z49" s="93">
        <v>129846</v>
      </c>
      <c r="AA49" s="88">
        <v>141</v>
      </c>
      <c r="AB49" s="93">
        <v>7028061</v>
      </c>
      <c r="AC49" s="94">
        <v>48</v>
      </c>
      <c r="AD49" s="93">
        <v>2997921.1829354819</v>
      </c>
      <c r="AE49" s="95">
        <v>7354.9400000000005</v>
      </c>
      <c r="AF49" s="94">
        <v>7</v>
      </c>
      <c r="AG49" s="90">
        <f>Weather!B217</f>
        <v>484.20000000000005</v>
      </c>
      <c r="AH49" s="90">
        <f>Weather!C217</f>
        <v>0</v>
      </c>
      <c r="AI49" s="90">
        <f>Employment!B49</f>
        <v>6740.2</v>
      </c>
      <c r="AJ49" s="90">
        <f>Employment!C49</f>
        <v>155.5</v>
      </c>
      <c r="AK49" s="130">
        <v>578793.9</v>
      </c>
      <c r="AL49" s="98">
        <f t="shared" si="6"/>
        <v>31</v>
      </c>
      <c r="AM49" s="106">
        <v>19</v>
      </c>
      <c r="AN49" s="90">
        <v>48</v>
      </c>
      <c r="AO49" s="90">
        <f t="shared" ref="AO49:BC49" si="41">AO37</f>
        <v>0</v>
      </c>
      <c r="AP49" s="90">
        <f t="shared" si="41"/>
        <v>0</v>
      </c>
      <c r="AQ49" s="90">
        <f t="shared" si="41"/>
        <v>0</v>
      </c>
      <c r="AR49" s="90">
        <f t="shared" si="41"/>
        <v>0</v>
      </c>
      <c r="AS49" s="90">
        <f t="shared" si="41"/>
        <v>0</v>
      </c>
      <c r="AT49" s="90">
        <f t="shared" si="41"/>
        <v>0</v>
      </c>
      <c r="AU49" s="90">
        <f t="shared" si="41"/>
        <v>0</v>
      </c>
      <c r="AV49" s="90">
        <f t="shared" si="41"/>
        <v>0</v>
      </c>
      <c r="AW49" s="90">
        <f t="shared" si="41"/>
        <v>0</v>
      </c>
      <c r="AX49" s="90">
        <f t="shared" si="41"/>
        <v>0</v>
      </c>
      <c r="AY49" s="90">
        <f t="shared" si="41"/>
        <v>0</v>
      </c>
      <c r="AZ49" s="90">
        <f t="shared" si="41"/>
        <v>1</v>
      </c>
      <c r="BA49" s="90">
        <f t="shared" si="41"/>
        <v>0</v>
      </c>
      <c r="BB49" s="90">
        <f t="shared" si="41"/>
        <v>0</v>
      </c>
      <c r="BC49" s="90">
        <f t="shared" si="41"/>
        <v>0</v>
      </c>
    </row>
    <row r="50" spans="1:55" x14ac:dyDescent="0.3">
      <c r="A50" s="91">
        <v>41275</v>
      </c>
      <c r="B50" s="92">
        <f t="shared" si="0"/>
        <v>2013</v>
      </c>
      <c r="C50" s="93">
        <f>35119044+892753</f>
        <v>36011797</v>
      </c>
      <c r="D50" s="93">
        <v>20851198.742671832</v>
      </c>
      <c r="E50" s="93">
        <f ca="1">OFFSET('Historic CDM'!$C$64,0,(ROW()-ROW(E$2))/12)/12</f>
        <v>323841.11291644699</v>
      </c>
      <c r="F50" s="93">
        <f t="shared" ca="1" si="1"/>
        <v>21175039.85558828</v>
      </c>
      <c r="G50" s="94">
        <v>26309</v>
      </c>
      <c r="H50" s="93">
        <f>252593.588482646+5320880.728</f>
        <v>5573474.3164826464</v>
      </c>
      <c r="I50" s="93">
        <f ca="1">OFFSET('Historic CDM'!$C$76,0,(ROW()-ROW(E$2))/12)/12</f>
        <v>158465.127741128</v>
      </c>
      <c r="J50" s="93">
        <f t="shared" ca="1" si="2"/>
        <v>5731939.4442237746</v>
      </c>
      <c r="K50" s="88">
        <f>29+1869</f>
        <v>1898</v>
      </c>
      <c r="L50" s="93">
        <f>13500816.1915585-Q50</f>
        <v>13500584.341558501</v>
      </c>
      <c r="M50" s="95">
        <f ca="1">OFFSET('Historic CDM'!$C$88,0,(ROW()-ROW(E$2))/12)/12</f>
        <v>348739.50644870795</v>
      </c>
      <c r="N50" s="1">
        <f ca="1">L50+M50-Q50</f>
        <v>13849091.99800721</v>
      </c>
      <c r="O50" s="3">
        <f>32333.37-R50</f>
        <v>32333.37</v>
      </c>
      <c r="P50" s="2">
        <f>204-S50</f>
        <v>203</v>
      </c>
      <c r="Q50" s="93">
        <v>231.85</v>
      </c>
      <c r="R50" s="101">
        <v>0</v>
      </c>
      <c r="S50" s="94">
        <v>1</v>
      </c>
      <c r="T50" s="93">
        <v>653825.80091107241</v>
      </c>
      <c r="U50" s="96">
        <v>1561.3200000000002</v>
      </c>
      <c r="V50" s="102">
        <f>342+1142+595+377</f>
        <v>2456</v>
      </c>
      <c r="W50" s="93">
        <v>22430.62</v>
      </c>
      <c r="X50" s="99">
        <v>73.771000000000001</v>
      </c>
      <c r="Y50" s="88">
        <v>175</v>
      </c>
      <c r="Z50" s="93">
        <v>129846</v>
      </c>
      <c r="AA50" s="88">
        <v>141</v>
      </c>
      <c r="AB50" s="93">
        <v>9144114.1499999966</v>
      </c>
      <c r="AC50" s="94">
        <v>48</v>
      </c>
      <c r="AD50" s="93">
        <v>3347272.1425806442</v>
      </c>
      <c r="AE50" s="95">
        <v>7603.4400000000005</v>
      </c>
      <c r="AF50" s="94">
        <v>7</v>
      </c>
      <c r="AG50" s="90">
        <f>Weather!B218</f>
        <v>598.19999999999993</v>
      </c>
      <c r="AH50" s="90">
        <f>Weather!C218</f>
        <v>0</v>
      </c>
      <c r="AI50" s="90">
        <f>Employment!B50</f>
        <v>6721.7</v>
      </c>
      <c r="AJ50" s="90">
        <f>Employment!C50</f>
        <v>151.1</v>
      </c>
      <c r="AK50" s="130">
        <v>586913</v>
      </c>
      <c r="AL50" s="98">
        <f>AL2</f>
        <v>31</v>
      </c>
      <c r="AM50" s="106">
        <v>22</v>
      </c>
      <c r="AN50" s="90">
        <v>49</v>
      </c>
      <c r="AO50" s="90">
        <f t="shared" ref="AO50:BC50" si="42">AO38</f>
        <v>1</v>
      </c>
      <c r="AP50" s="90">
        <f t="shared" si="42"/>
        <v>0</v>
      </c>
      <c r="AQ50" s="90">
        <f t="shared" si="42"/>
        <v>0</v>
      </c>
      <c r="AR50" s="90">
        <f t="shared" si="42"/>
        <v>0</v>
      </c>
      <c r="AS50" s="90">
        <f t="shared" si="42"/>
        <v>0</v>
      </c>
      <c r="AT50" s="90">
        <f t="shared" si="42"/>
        <v>0</v>
      </c>
      <c r="AU50" s="90">
        <f t="shared" si="42"/>
        <v>0</v>
      </c>
      <c r="AV50" s="90">
        <f t="shared" si="42"/>
        <v>0</v>
      </c>
      <c r="AW50" s="90">
        <f t="shared" si="42"/>
        <v>0</v>
      </c>
      <c r="AX50" s="90">
        <f t="shared" si="42"/>
        <v>0</v>
      </c>
      <c r="AY50" s="90">
        <f t="shared" si="42"/>
        <v>0</v>
      </c>
      <c r="AZ50" s="90">
        <f t="shared" si="42"/>
        <v>0</v>
      </c>
      <c r="BA50" s="90">
        <f t="shared" si="42"/>
        <v>0</v>
      </c>
      <c r="BB50" s="90">
        <f t="shared" si="42"/>
        <v>0</v>
      </c>
      <c r="BC50" s="90">
        <f t="shared" si="42"/>
        <v>0</v>
      </c>
    </row>
    <row r="51" spans="1:55" x14ac:dyDescent="0.3">
      <c r="A51" s="91">
        <v>41306</v>
      </c>
      <c r="B51" s="92">
        <f t="shared" si="0"/>
        <v>2013</v>
      </c>
      <c r="C51" s="93">
        <f>32543879.325+804200</f>
        <v>33348079.324999999</v>
      </c>
      <c r="D51" s="93">
        <v>18315848.509687781</v>
      </c>
      <c r="E51" s="93">
        <f ca="1">OFFSET('Historic CDM'!$C$64,0,(ROW()-ROW(E$2))/12)/12</f>
        <v>323841.11291644699</v>
      </c>
      <c r="F51" s="93">
        <f t="shared" ca="1" si="1"/>
        <v>18639689.622604229</v>
      </c>
      <c r="G51" s="94">
        <v>26330</v>
      </c>
      <c r="H51" s="93">
        <f>223511.559313887+4906838.175</f>
        <v>5130349.7343138866</v>
      </c>
      <c r="I51" s="93">
        <f ca="1">OFFSET('Historic CDM'!$C$76,0,(ROW()-ROW(E$2))/12)/12</f>
        <v>158465.127741128</v>
      </c>
      <c r="J51" s="93">
        <f t="shared" ca="1" si="2"/>
        <v>5288814.8620550148</v>
      </c>
      <c r="K51" s="88">
        <f>29+1867</f>
        <v>1896</v>
      </c>
      <c r="L51" s="93">
        <f>12564797.1593525-Q51</f>
        <v>12564797.1593525</v>
      </c>
      <c r="M51" s="95">
        <f ca="1">OFFSET('Historic CDM'!$C$88,0,(ROW()-ROW(E$2))/12)/12</f>
        <v>348739.50644870795</v>
      </c>
      <c r="N51" s="1">
        <f ca="1">L51+M51-Q51</f>
        <v>12913536.665801208</v>
      </c>
      <c r="O51" s="3">
        <f>31325.02-R51</f>
        <v>31325.02</v>
      </c>
      <c r="P51" s="2">
        <f>205-S51</f>
        <v>204</v>
      </c>
      <c r="Q51" s="93">
        <v>0</v>
      </c>
      <c r="R51" s="95">
        <v>0</v>
      </c>
      <c r="S51" s="94">
        <v>1</v>
      </c>
      <c r="T51" s="93">
        <v>594527.96918918926</v>
      </c>
      <c r="U51" s="96">
        <v>1573.2400000000002</v>
      </c>
      <c r="V51" s="102">
        <f>342+1170+590+377</f>
        <v>2479</v>
      </c>
      <c r="W51" s="93">
        <v>28974.75</v>
      </c>
      <c r="X51" s="99">
        <v>73.771000000000001</v>
      </c>
      <c r="Y51" s="88">
        <v>175</v>
      </c>
      <c r="Z51" s="93">
        <v>129846</v>
      </c>
      <c r="AA51" s="88">
        <v>141</v>
      </c>
      <c r="AB51" s="93">
        <v>7743114</v>
      </c>
      <c r="AC51" s="94">
        <v>49</v>
      </c>
      <c r="AD51" s="93">
        <v>3098518.8911981578</v>
      </c>
      <c r="AE51" s="95">
        <v>7562.1500000000005</v>
      </c>
      <c r="AF51" s="94">
        <v>7</v>
      </c>
      <c r="AG51" s="90">
        <f>Weather!B219</f>
        <v>574.80000000000007</v>
      </c>
      <c r="AH51" s="90">
        <f>Weather!C219</f>
        <v>0</v>
      </c>
      <c r="AI51" s="90">
        <f>Employment!B51</f>
        <v>6702</v>
      </c>
      <c r="AJ51" s="90">
        <f>Employment!C51</f>
        <v>150.19999999999999</v>
      </c>
      <c r="AK51" s="130">
        <v>586913</v>
      </c>
      <c r="AL51" s="98">
        <f>AL3</f>
        <v>28</v>
      </c>
      <c r="AM51" s="106">
        <v>19</v>
      </c>
      <c r="AN51" s="90">
        <v>50</v>
      </c>
      <c r="AO51" s="90">
        <f t="shared" ref="AO51:BC51" si="43">AO39</f>
        <v>0</v>
      </c>
      <c r="AP51" s="90">
        <f t="shared" si="43"/>
        <v>1</v>
      </c>
      <c r="AQ51" s="90">
        <f t="shared" si="43"/>
        <v>0</v>
      </c>
      <c r="AR51" s="90">
        <f t="shared" si="43"/>
        <v>0</v>
      </c>
      <c r="AS51" s="90">
        <f t="shared" si="43"/>
        <v>0</v>
      </c>
      <c r="AT51" s="90">
        <f t="shared" si="43"/>
        <v>0</v>
      </c>
      <c r="AU51" s="90">
        <f t="shared" si="43"/>
        <v>0</v>
      </c>
      <c r="AV51" s="90">
        <f t="shared" si="43"/>
        <v>0</v>
      </c>
      <c r="AW51" s="90">
        <f t="shared" si="43"/>
        <v>0</v>
      </c>
      <c r="AX51" s="90">
        <f t="shared" si="43"/>
        <v>0</v>
      </c>
      <c r="AY51" s="90">
        <f t="shared" si="43"/>
        <v>0</v>
      </c>
      <c r="AZ51" s="90">
        <f t="shared" si="43"/>
        <v>0</v>
      </c>
      <c r="BA51" s="90">
        <f t="shared" si="43"/>
        <v>0</v>
      </c>
      <c r="BB51" s="90">
        <f t="shared" si="43"/>
        <v>0</v>
      </c>
      <c r="BC51" s="90">
        <f t="shared" si="43"/>
        <v>0</v>
      </c>
    </row>
    <row r="52" spans="1:55" x14ac:dyDescent="0.3">
      <c r="A52" s="91">
        <v>41334</v>
      </c>
      <c r="B52" s="92">
        <f t="shared" si="0"/>
        <v>2013</v>
      </c>
      <c r="C52" s="93">
        <f>31893436.25+892822</f>
        <v>32786258.25</v>
      </c>
      <c r="D52" s="93">
        <v>18879448.018869173</v>
      </c>
      <c r="E52" s="93">
        <f ca="1">OFFSET('Historic CDM'!$C$64,0,(ROW()-ROW(E$2))/12)/12</f>
        <v>323841.11291644699</v>
      </c>
      <c r="F52" s="93">
        <f t="shared" ca="1" si="1"/>
        <v>19203289.13178562</v>
      </c>
      <c r="G52" s="94">
        <v>26404</v>
      </c>
      <c r="H52" s="93">
        <f>240588.398019879+5178954.776</f>
        <v>5419543.1740198787</v>
      </c>
      <c r="I52" s="93">
        <f ca="1">OFFSET('Historic CDM'!$C$76,0,(ROW()-ROW(E$2))/12)/12</f>
        <v>158465.127741128</v>
      </c>
      <c r="J52" s="93">
        <f t="shared" ca="1" si="2"/>
        <v>5578008.3017610069</v>
      </c>
      <c r="K52" s="88">
        <f>32+1880</f>
        <v>1912</v>
      </c>
      <c r="L52" s="93">
        <f>13296190.6307926-Q52</f>
        <v>13296190.630792599</v>
      </c>
      <c r="M52" s="95">
        <f ca="1">OFFSET('Historic CDM'!$C$88,0,(ROW()-ROW(E$2))/12)/12</f>
        <v>348739.50644870795</v>
      </c>
      <c r="N52" s="1">
        <f ca="1">L52+M52-Q52</f>
        <v>13644930.137241308</v>
      </c>
      <c r="O52" s="3">
        <f>12039.58-R52</f>
        <v>12039.58</v>
      </c>
      <c r="P52" s="2">
        <f>206-S52</f>
        <v>205</v>
      </c>
      <c r="Q52" s="93">
        <v>0</v>
      </c>
      <c r="R52" s="95">
        <v>0</v>
      </c>
      <c r="S52" s="94">
        <v>1</v>
      </c>
      <c r="T52" s="93">
        <v>554144.150789015</v>
      </c>
      <c r="U52" s="96">
        <v>1573.3400000000001</v>
      </c>
      <c r="V52" s="102">
        <f>342+1170+591+377</f>
        <v>2480</v>
      </c>
      <c r="W52" s="93">
        <v>29326.3</v>
      </c>
      <c r="X52" s="99">
        <v>73.771000000000001</v>
      </c>
      <c r="Y52" s="88">
        <v>175</v>
      </c>
      <c r="Z52" s="93">
        <v>129846</v>
      </c>
      <c r="AA52" s="88">
        <v>141</v>
      </c>
      <c r="AB52" s="93">
        <v>10486947.600000009</v>
      </c>
      <c r="AC52" s="94">
        <v>49</v>
      </c>
      <c r="AD52" s="93">
        <v>3132705.9517050702</v>
      </c>
      <c r="AE52" s="95">
        <v>7019.7</v>
      </c>
      <c r="AF52" s="94">
        <v>7</v>
      </c>
      <c r="AG52" s="90">
        <f>Weather!B220</f>
        <v>505.20000000000005</v>
      </c>
      <c r="AH52" s="90">
        <f>Weather!C220</f>
        <v>0</v>
      </c>
      <c r="AI52" s="90">
        <f>Employment!B52</f>
        <v>6675.8</v>
      </c>
      <c r="AJ52" s="90">
        <f>Employment!C52</f>
        <v>149.4</v>
      </c>
      <c r="AK52" s="130">
        <v>586913</v>
      </c>
      <c r="AL52" s="98">
        <f t="shared" ref="AL52:AL97" si="44">AL4</f>
        <v>31</v>
      </c>
      <c r="AM52" s="106">
        <v>19</v>
      </c>
      <c r="AN52" s="90">
        <v>51</v>
      </c>
      <c r="AO52" s="90">
        <f t="shared" ref="AO52:BC52" si="45">AO40</f>
        <v>0</v>
      </c>
      <c r="AP52" s="90">
        <f t="shared" si="45"/>
        <v>0</v>
      </c>
      <c r="AQ52" s="90">
        <f t="shared" si="45"/>
        <v>1</v>
      </c>
      <c r="AR52" s="90">
        <f t="shared" si="45"/>
        <v>0</v>
      </c>
      <c r="AS52" s="90">
        <f t="shared" si="45"/>
        <v>0</v>
      </c>
      <c r="AT52" s="90">
        <f t="shared" si="45"/>
        <v>0</v>
      </c>
      <c r="AU52" s="90">
        <f t="shared" si="45"/>
        <v>0</v>
      </c>
      <c r="AV52" s="90">
        <f t="shared" si="45"/>
        <v>0</v>
      </c>
      <c r="AW52" s="90">
        <f t="shared" si="45"/>
        <v>0</v>
      </c>
      <c r="AX52" s="90">
        <f t="shared" si="45"/>
        <v>0</v>
      </c>
      <c r="AY52" s="90">
        <f t="shared" si="45"/>
        <v>0</v>
      </c>
      <c r="AZ52" s="90">
        <f t="shared" si="45"/>
        <v>0</v>
      </c>
      <c r="BA52" s="90">
        <f t="shared" si="45"/>
        <v>1</v>
      </c>
      <c r="BB52" s="90">
        <f t="shared" si="45"/>
        <v>0</v>
      </c>
      <c r="BC52" s="90">
        <f t="shared" si="45"/>
        <v>1</v>
      </c>
    </row>
    <row r="53" spans="1:55" x14ac:dyDescent="0.3">
      <c r="A53" s="91">
        <v>41365</v>
      </c>
      <c r="B53" s="92">
        <f t="shared" si="0"/>
        <v>2013</v>
      </c>
      <c r="C53" s="93">
        <f>27384163.225+899834</f>
        <v>28283997.225000001</v>
      </c>
      <c r="D53" s="93">
        <v>16753143.206319932</v>
      </c>
      <c r="E53" s="93">
        <f ca="1">OFFSET('Historic CDM'!$C$64,0,(ROW()-ROW(E$2))/12)/12</f>
        <v>323841.11291644699</v>
      </c>
      <c r="F53" s="93">
        <f t="shared" ca="1" si="1"/>
        <v>17076984.319236379</v>
      </c>
      <c r="G53" s="94">
        <v>26407</v>
      </c>
      <c r="H53" s="93">
        <f>213933.491834288+4778722.155</f>
        <v>4992655.6468342878</v>
      </c>
      <c r="I53" s="93">
        <f ca="1">OFFSET('Historic CDM'!$C$76,0,(ROW()-ROW(E$2))/12)/12</f>
        <v>158465.127741128</v>
      </c>
      <c r="J53" s="93">
        <f t="shared" ca="1" si="2"/>
        <v>5151120.774575416</v>
      </c>
      <c r="K53" s="88">
        <f>31+1870</f>
        <v>1901</v>
      </c>
      <c r="L53" s="93">
        <f>12168277.2682033-Q53</f>
        <v>12168277.268203299</v>
      </c>
      <c r="M53" s="95">
        <f ca="1">OFFSET('Historic CDM'!$C$88,0,(ROW()-ROW(E$2))/12)/12</f>
        <v>348739.50644870795</v>
      </c>
      <c r="N53" s="1">
        <f ca="1">L53+M53-Q53</f>
        <v>12517016.774652008</v>
      </c>
      <c r="O53" s="3">
        <f>31105.96-R53</f>
        <v>31105.96</v>
      </c>
      <c r="P53" s="2">
        <f>210-S53</f>
        <v>209</v>
      </c>
      <c r="Q53" s="93">
        <v>0</v>
      </c>
      <c r="R53" s="95">
        <v>0</v>
      </c>
      <c r="S53" s="94">
        <v>1</v>
      </c>
      <c r="T53" s="93">
        <v>465609.0029677421</v>
      </c>
      <c r="U53" s="96">
        <v>1575.8100000000002</v>
      </c>
      <c r="V53" s="102">
        <f>342+1172+591+377</f>
        <v>2482</v>
      </c>
      <c r="W53" s="93">
        <v>29552.63</v>
      </c>
      <c r="X53" s="99">
        <v>73.771000000000001</v>
      </c>
      <c r="Y53" s="88">
        <v>175</v>
      </c>
      <c r="Z53" s="93">
        <v>129846</v>
      </c>
      <c r="AA53" s="88">
        <v>141</v>
      </c>
      <c r="AB53" s="93">
        <v>11511485.525000004</v>
      </c>
      <c r="AC53" s="94">
        <v>95</v>
      </c>
      <c r="AD53" s="93">
        <v>2895410.6425806438</v>
      </c>
      <c r="AE53" s="95">
        <v>7173.99</v>
      </c>
      <c r="AF53" s="94">
        <v>7</v>
      </c>
      <c r="AG53" s="90">
        <f>Weather!B221</f>
        <v>300.19999999999993</v>
      </c>
      <c r="AH53" s="90">
        <f>Weather!C221</f>
        <v>0</v>
      </c>
      <c r="AI53" s="90">
        <f>Employment!B53</f>
        <v>6703.7</v>
      </c>
      <c r="AJ53" s="90">
        <f>Employment!C53</f>
        <v>152.6</v>
      </c>
      <c r="AK53" s="130">
        <v>586913</v>
      </c>
      <c r="AL53" s="98">
        <f t="shared" si="44"/>
        <v>30</v>
      </c>
      <c r="AM53" s="106">
        <v>22</v>
      </c>
      <c r="AN53" s="90">
        <v>52</v>
      </c>
      <c r="AO53" s="90">
        <f t="shared" ref="AO53:BC53" si="46">AO41</f>
        <v>0</v>
      </c>
      <c r="AP53" s="90">
        <f t="shared" si="46"/>
        <v>0</v>
      </c>
      <c r="AQ53" s="90">
        <f t="shared" si="46"/>
        <v>0</v>
      </c>
      <c r="AR53" s="90">
        <f t="shared" si="46"/>
        <v>1</v>
      </c>
      <c r="AS53" s="90">
        <f t="shared" si="46"/>
        <v>0</v>
      </c>
      <c r="AT53" s="90">
        <f t="shared" si="46"/>
        <v>0</v>
      </c>
      <c r="AU53" s="90">
        <f t="shared" si="46"/>
        <v>0</v>
      </c>
      <c r="AV53" s="90">
        <f t="shared" si="46"/>
        <v>0</v>
      </c>
      <c r="AW53" s="90">
        <f t="shared" si="46"/>
        <v>0</v>
      </c>
      <c r="AX53" s="90">
        <f t="shared" si="46"/>
        <v>0</v>
      </c>
      <c r="AY53" s="90">
        <f t="shared" si="46"/>
        <v>0</v>
      </c>
      <c r="AZ53" s="90">
        <f t="shared" si="46"/>
        <v>0</v>
      </c>
      <c r="BA53" s="90">
        <f t="shared" si="46"/>
        <v>1</v>
      </c>
      <c r="BB53" s="90">
        <f t="shared" si="46"/>
        <v>0</v>
      </c>
      <c r="BC53" s="90">
        <f t="shared" si="46"/>
        <v>1</v>
      </c>
    </row>
    <row r="54" spans="1:55" x14ac:dyDescent="0.3">
      <c r="A54" s="91">
        <v>41395</v>
      </c>
      <c r="B54" s="92">
        <f t="shared" si="0"/>
        <v>2013</v>
      </c>
      <c r="C54" s="93">
        <f>24823957.825+1029590</f>
        <v>25853547.824999999</v>
      </c>
      <c r="D54" s="93">
        <v>18133298.179032214</v>
      </c>
      <c r="E54" s="93">
        <f ca="1">OFFSET('Historic CDM'!$C$64,0,(ROW()-ROW(E$2))/12)/12</f>
        <v>323841.11291644699</v>
      </c>
      <c r="F54" s="93">
        <f t="shared" ca="1" si="1"/>
        <v>18457139.291948661</v>
      </c>
      <c r="G54" s="94">
        <v>26455</v>
      </c>
      <c r="H54" s="93">
        <f>224094.424714786+5041236.162</f>
        <v>5265330.5867147855</v>
      </c>
      <c r="I54" s="93">
        <f ca="1">OFFSET('Historic CDM'!$C$76,0,(ROW()-ROW(E$2))/12)/12</f>
        <v>158465.127741128</v>
      </c>
      <c r="J54" s="93">
        <f t="shared" ca="1" si="2"/>
        <v>5423795.7144559138</v>
      </c>
      <c r="K54" s="88">
        <f>29+1879</f>
        <v>1908</v>
      </c>
      <c r="L54" s="93">
        <f>12774227.831177-Q54</f>
        <v>12774227.831177</v>
      </c>
      <c r="M54" s="95">
        <f ca="1">OFFSET('Historic CDM'!$C$88,0,(ROW()-ROW(E$2))/12)/12</f>
        <v>348739.50644870795</v>
      </c>
      <c r="N54" s="1">
        <f ca="1">L54+M54-Q54</f>
        <v>13122967.337625708</v>
      </c>
      <c r="O54" s="3">
        <f>34038.53-R54</f>
        <v>34038.53</v>
      </c>
      <c r="P54" s="2">
        <f>206-S54</f>
        <v>205</v>
      </c>
      <c r="Q54" s="93">
        <v>0</v>
      </c>
      <c r="R54" s="95">
        <v>0</v>
      </c>
      <c r="S54" s="94">
        <v>1</v>
      </c>
      <c r="T54" s="93">
        <v>426718.55122580641</v>
      </c>
      <c r="U54" s="96">
        <v>1605.23</v>
      </c>
      <c r="V54" s="102">
        <f>342+1171+591+581</f>
        <v>2685</v>
      </c>
      <c r="W54" s="93">
        <v>29788.26</v>
      </c>
      <c r="X54" s="99">
        <v>73.771000000000001</v>
      </c>
      <c r="Y54" s="88">
        <v>175</v>
      </c>
      <c r="Z54" s="93">
        <v>129846</v>
      </c>
      <c r="AA54" s="88">
        <v>141</v>
      </c>
      <c r="AB54" s="93">
        <v>14741244.92500001</v>
      </c>
      <c r="AC54" s="94">
        <v>95</v>
      </c>
      <c r="AD54" s="93">
        <v>2427962.046129033</v>
      </c>
      <c r="AE54" s="95">
        <v>7674.9299999999994</v>
      </c>
      <c r="AF54" s="94">
        <v>6</v>
      </c>
      <c r="AG54" s="90">
        <f>Weather!B222</f>
        <v>73.300000000000011</v>
      </c>
      <c r="AH54" s="90">
        <f>Weather!C222</f>
        <v>59.899999999999991</v>
      </c>
      <c r="AI54" s="90">
        <f>Employment!B54</f>
        <v>6770.3</v>
      </c>
      <c r="AJ54" s="90">
        <f>Employment!C54</f>
        <v>154</v>
      </c>
      <c r="AK54" s="130">
        <v>586913</v>
      </c>
      <c r="AL54" s="98">
        <f t="shared" si="44"/>
        <v>31</v>
      </c>
      <c r="AM54" s="106">
        <v>22</v>
      </c>
      <c r="AN54" s="90">
        <v>53</v>
      </c>
      <c r="AO54" s="90">
        <f t="shared" ref="AO54:BC54" si="47">AO42</f>
        <v>0</v>
      </c>
      <c r="AP54" s="90">
        <f t="shared" si="47"/>
        <v>0</v>
      </c>
      <c r="AQ54" s="90">
        <f t="shared" si="47"/>
        <v>0</v>
      </c>
      <c r="AR54" s="90">
        <f t="shared" si="47"/>
        <v>0</v>
      </c>
      <c r="AS54" s="90">
        <f t="shared" si="47"/>
        <v>1</v>
      </c>
      <c r="AT54" s="90">
        <f t="shared" si="47"/>
        <v>0</v>
      </c>
      <c r="AU54" s="90">
        <f t="shared" si="47"/>
        <v>0</v>
      </c>
      <c r="AV54" s="90">
        <f t="shared" si="47"/>
        <v>0</v>
      </c>
      <c r="AW54" s="90">
        <f t="shared" si="47"/>
        <v>0</v>
      </c>
      <c r="AX54" s="90">
        <f t="shared" si="47"/>
        <v>0</v>
      </c>
      <c r="AY54" s="90">
        <f t="shared" si="47"/>
        <v>0</v>
      </c>
      <c r="AZ54" s="90">
        <f t="shared" si="47"/>
        <v>0</v>
      </c>
      <c r="BA54" s="90">
        <f t="shared" si="47"/>
        <v>1</v>
      </c>
      <c r="BB54" s="90">
        <f t="shared" si="47"/>
        <v>0</v>
      </c>
      <c r="BC54" s="90">
        <f t="shared" si="47"/>
        <v>1</v>
      </c>
    </row>
    <row r="55" spans="1:55" x14ac:dyDescent="0.3">
      <c r="A55" s="91">
        <v>41426</v>
      </c>
      <c r="B55" s="92">
        <f t="shared" si="0"/>
        <v>2013</v>
      </c>
      <c r="C55" s="93">
        <f>34947259.525+1052274</f>
        <v>35999533.524999999</v>
      </c>
      <c r="D55" s="93">
        <v>23414321.898316838</v>
      </c>
      <c r="E55" s="93">
        <f ca="1">OFFSET('Historic CDM'!$C$64,0,(ROW()-ROW(E$2))/12)/12</f>
        <v>323841.11291644699</v>
      </c>
      <c r="F55" s="93">
        <f t="shared" ca="1" si="1"/>
        <v>23738163.011233285</v>
      </c>
      <c r="G55" s="94">
        <v>26473</v>
      </c>
      <c r="H55" s="93">
        <f>228722.246937043+5431942.361</f>
        <v>5660664.6079370426</v>
      </c>
      <c r="I55" s="93">
        <f ca="1">OFFSET('Historic CDM'!$C$76,0,(ROW()-ROW(E$2))/12)/12</f>
        <v>158465.127741128</v>
      </c>
      <c r="J55" s="93">
        <f t="shared" ca="1" si="2"/>
        <v>5819129.7356781708</v>
      </c>
      <c r="K55" s="88">
        <f>33+1884</f>
        <v>1917</v>
      </c>
      <c r="L55" s="93">
        <f>13515266.503205-Q55</f>
        <v>13436418.152205</v>
      </c>
      <c r="M55" s="95">
        <f ca="1">OFFSET('Historic CDM'!$C$88,0,(ROW()-ROW(E$2))/12)/12</f>
        <v>348739.50644870795</v>
      </c>
      <c r="N55" s="1">
        <f ca="1">L55+M55-Q55</f>
        <v>13706309.307653708</v>
      </c>
      <c r="O55" s="3">
        <f>37751.3-R55</f>
        <v>36351.880000000005</v>
      </c>
      <c r="P55" s="2">
        <f>209-S55</f>
        <v>208</v>
      </c>
      <c r="Q55" s="93">
        <v>78848.350999999995</v>
      </c>
      <c r="R55" s="95">
        <v>1399.42</v>
      </c>
      <c r="S55" s="94">
        <v>1</v>
      </c>
      <c r="T55" s="93">
        <v>375648.34610752686</v>
      </c>
      <c r="U55" s="96">
        <v>1605.23</v>
      </c>
      <c r="V55" s="102">
        <f>342+1171+591+581</f>
        <v>2685</v>
      </c>
      <c r="W55" s="93">
        <v>29339.8</v>
      </c>
      <c r="X55" s="99">
        <v>73.771000000000001</v>
      </c>
      <c r="Y55" s="88">
        <v>175</v>
      </c>
      <c r="Z55" s="93">
        <v>128680</v>
      </c>
      <c r="AA55" s="88">
        <v>140</v>
      </c>
      <c r="AB55" s="93">
        <v>11711998.700000003</v>
      </c>
      <c r="AC55" s="94">
        <v>95</v>
      </c>
      <c r="AD55" s="93">
        <v>3103998.1962043</v>
      </c>
      <c r="AE55" s="95">
        <v>8769.5499999999993</v>
      </c>
      <c r="AF55" s="94">
        <v>6</v>
      </c>
      <c r="AG55" s="90">
        <f>Weather!B223</f>
        <v>14.700000000000001</v>
      </c>
      <c r="AH55" s="90">
        <f>Weather!C223</f>
        <v>103.49999999999999</v>
      </c>
      <c r="AI55" s="90">
        <f>Employment!B55</f>
        <v>6861.8</v>
      </c>
      <c r="AJ55" s="90">
        <f>Employment!C55</f>
        <v>155.9</v>
      </c>
      <c r="AK55" s="130">
        <v>586913</v>
      </c>
      <c r="AL55" s="98">
        <f t="shared" si="44"/>
        <v>30</v>
      </c>
      <c r="AM55" s="106">
        <v>20</v>
      </c>
      <c r="AN55" s="90">
        <v>54</v>
      </c>
      <c r="AO55" s="90">
        <f t="shared" ref="AO55:BC55" si="48">AO43</f>
        <v>0</v>
      </c>
      <c r="AP55" s="90">
        <f t="shared" si="48"/>
        <v>0</v>
      </c>
      <c r="AQ55" s="90">
        <f t="shared" si="48"/>
        <v>0</v>
      </c>
      <c r="AR55" s="90">
        <f t="shared" si="48"/>
        <v>0</v>
      </c>
      <c r="AS55" s="90">
        <f t="shared" si="48"/>
        <v>0</v>
      </c>
      <c r="AT55" s="90">
        <f t="shared" si="48"/>
        <v>1</v>
      </c>
      <c r="AU55" s="90">
        <f t="shared" si="48"/>
        <v>0</v>
      </c>
      <c r="AV55" s="90">
        <f t="shared" si="48"/>
        <v>0</v>
      </c>
      <c r="AW55" s="90">
        <f t="shared" si="48"/>
        <v>0</v>
      </c>
      <c r="AX55" s="90">
        <f t="shared" si="48"/>
        <v>0</v>
      </c>
      <c r="AY55" s="90">
        <f t="shared" si="48"/>
        <v>0</v>
      </c>
      <c r="AZ55" s="90">
        <f t="shared" si="48"/>
        <v>0</v>
      </c>
      <c r="BA55" s="90">
        <f t="shared" si="48"/>
        <v>0</v>
      </c>
      <c r="BB55" s="90">
        <f t="shared" si="48"/>
        <v>0</v>
      </c>
      <c r="BC55" s="90">
        <f t="shared" si="48"/>
        <v>0</v>
      </c>
    </row>
    <row r="56" spans="1:55" x14ac:dyDescent="0.3">
      <c r="A56" s="91">
        <v>41456</v>
      </c>
      <c r="B56" s="92">
        <f t="shared" si="0"/>
        <v>2013</v>
      </c>
      <c r="C56" s="93">
        <f>45319682.4+1137543</f>
        <v>46457225.399999999</v>
      </c>
      <c r="D56" s="93">
        <v>28668719.323727276</v>
      </c>
      <c r="E56" s="93">
        <f ca="1">OFFSET('Historic CDM'!$C$64,0,(ROW()-ROW(E$2))/12)/12</f>
        <v>323841.11291644699</v>
      </c>
      <c r="F56" s="93">
        <f t="shared" ca="1" si="1"/>
        <v>28992560.436643723</v>
      </c>
      <c r="G56" s="94">
        <v>26504</v>
      </c>
      <c r="H56" s="93">
        <f>239918.850804636+5967400.454</f>
        <v>6207319.3048046362</v>
      </c>
      <c r="I56" s="93">
        <f ca="1">OFFSET('Historic CDM'!$C$76,0,(ROW()-ROW(E$2))/12)/12</f>
        <v>158465.127741128</v>
      </c>
      <c r="J56" s="93">
        <f t="shared" ca="1" si="2"/>
        <v>6365784.4325457644</v>
      </c>
      <c r="K56" s="88">
        <f>28+1896</f>
        <v>1924</v>
      </c>
      <c r="L56" s="93">
        <f>15095501.7887255-Q56</f>
        <v>14527549.609125501</v>
      </c>
      <c r="M56" s="95">
        <f ca="1">OFFSET('Historic CDM'!$C$88,0,(ROW()-ROW(E$2))/12)/12</f>
        <v>348739.50644870795</v>
      </c>
      <c r="N56" s="1">
        <f ca="1">L56+M56-Q56</f>
        <v>14308336.935974209</v>
      </c>
      <c r="O56" s="3">
        <f>41709.06-R56</f>
        <v>39052.89</v>
      </c>
      <c r="P56" s="2">
        <f>210-S56</f>
        <v>209</v>
      </c>
      <c r="Q56" s="93">
        <v>567952.17960000003</v>
      </c>
      <c r="R56" s="95">
        <v>2656.17</v>
      </c>
      <c r="S56" s="94">
        <v>1</v>
      </c>
      <c r="T56" s="93">
        <v>390921.68969892472</v>
      </c>
      <c r="U56" s="96">
        <v>1598.83</v>
      </c>
      <c r="V56" s="102">
        <f>342+1170+591+581</f>
        <v>2684</v>
      </c>
      <c r="W56" s="93">
        <v>28701.75</v>
      </c>
      <c r="X56" s="99">
        <v>73.771000000000001</v>
      </c>
      <c r="Y56" s="88">
        <v>175</v>
      </c>
      <c r="Z56" s="93">
        <v>128680</v>
      </c>
      <c r="AA56" s="88">
        <v>140</v>
      </c>
      <c r="AB56" s="93">
        <v>10697586.799999984</v>
      </c>
      <c r="AC56" s="94">
        <v>95</v>
      </c>
      <c r="AD56" s="93">
        <v>3661711.9728279565</v>
      </c>
      <c r="AE56" s="95">
        <v>10241.279999999999</v>
      </c>
      <c r="AF56" s="94">
        <v>6</v>
      </c>
      <c r="AG56" s="90">
        <f>Weather!B224</f>
        <v>1.5</v>
      </c>
      <c r="AH56" s="90">
        <f>Weather!C224</f>
        <v>174.80000000000004</v>
      </c>
      <c r="AI56" s="90">
        <f>Employment!B56</f>
        <v>6917.1</v>
      </c>
      <c r="AJ56" s="90">
        <f>Employment!C56</f>
        <v>156.6</v>
      </c>
      <c r="AK56" s="130">
        <v>586913</v>
      </c>
      <c r="AL56" s="98">
        <f t="shared" si="44"/>
        <v>31</v>
      </c>
      <c r="AM56" s="106">
        <v>22</v>
      </c>
      <c r="AN56" s="90">
        <v>55</v>
      </c>
      <c r="AO56" s="90">
        <f t="shared" ref="AO56:BC56" si="49">AO44</f>
        <v>0</v>
      </c>
      <c r="AP56" s="90">
        <f t="shared" si="49"/>
        <v>0</v>
      </c>
      <c r="AQ56" s="90">
        <f t="shared" si="49"/>
        <v>0</v>
      </c>
      <c r="AR56" s="90">
        <f t="shared" si="49"/>
        <v>0</v>
      </c>
      <c r="AS56" s="90">
        <f t="shared" si="49"/>
        <v>0</v>
      </c>
      <c r="AT56" s="90">
        <f t="shared" si="49"/>
        <v>0</v>
      </c>
      <c r="AU56" s="90">
        <f t="shared" si="49"/>
        <v>1</v>
      </c>
      <c r="AV56" s="90">
        <f t="shared" si="49"/>
        <v>0</v>
      </c>
      <c r="AW56" s="90">
        <f t="shared" si="49"/>
        <v>0</v>
      </c>
      <c r="AX56" s="90">
        <f t="shared" si="49"/>
        <v>0</v>
      </c>
      <c r="AY56" s="90">
        <f t="shared" si="49"/>
        <v>0</v>
      </c>
      <c r="AZ56" s="90">
        <f t="shared" si="49"/>
        <v>0</v>
      </c>
      <c r="BA56" s="90">
        <f t="shared" si="49"/>
        <v>0</v>
      </c>
      <c r="BB56" s="90">
        <f t="shared" si="49"/>
        <v>0</v>
      </c>
      <c r="BC56" s="90">
        <f t="shared" si="49"/>
        <v>0</v>
      </c>
    </row>
    <row r="57" spans="1:55" x14ac:dyDescent="0.3">
      <c r="A57" s="91">
        <v>41487</v>
      </c>
      <c r="B57" s="92">
        <f t="shared" si="0"/>
        <v>2013</v>
      </c>
      <c r="C57" s="93">
        <f>42366722.475+1083780</f>
        <v>43450502.475000001</v>
      </c>
      <c r="D57" s="93">
        <v>26070665.623352516</v>
      </c>
      <c r="E57" s="93">
        <f ca="1">OFFSET('Historic CDM'!$C$64,0,(ROW()-ROW(E$2))/12)/12</f>
        <v>323841.11291644699</v>
      </c>
      <c r="F57" s="93">
        <f t="shared" ca="1" si="1"/>
        <v>26394506.736268964</v>
      </c>
      <c r="G57" s="94">
        <v>26591</v>
      </c>
      <c r="H57" s="93">
        <f>242600.762145824+5811919+15</f>
        <v>6054534.7621458238</v>
      </c>
      <c r="I57" s="93">
        <f ca="1">OFFSET('Historic CDM'!$C$76,0,(ROW()-ROW(E$2))/12)/12</f>
        <v>158465.127741128</v>
      </c>
      <c r="J57" s="93">
        <f t="shared" ca="1" si="2"/>
        <v>6212999.889886952</v>
      </c>
      <c r="K57" s="88">
        <f>28+1873</f>
        <v>1901</v>
      </c>
      <c r="L57" s="93">
        <f>15420557.7238291-Q57</f>
        <v>14947581.8698291</v>
      </c>
      <c r="M57" s="95">
        <f ca="1">OFFSET('Historic CDM'!$C$88,0,(ROW()-ROW(E$2))/12)/12</f>
        <v>348739.50644870795</v>
      </c>
      <c r="N57" s="1">
        <f ca="1">L57+M57-Q57</f>
        <v>14823345.522277808</v>
      </c>
      <c r="O57" s="3">
        <f>41873.36-R57</f>
        <v>37920.67</v>
      </c>
      <c r="P57" s="2">
        <f>209-S57</f>
        <v>208</v>
      </c>
      <c r="Q57" s="93">
        <v>472975.85399999999</v>
      </c>
      <c r="R57" s="95">
        <v>3952.69</v>
      </c>
      <c r="S57" s="94">
        <v>1</v>
      </c>
      <c r="T57" s="93">
        <v>437338.61709677434</v>
      </c>
      <c r="U57" s="96">
        <v>1579.44</v>
      </c>
      <c r="V57" s="102">
        <f>342+1170+590+581</f>
        <v>2683</v>
      </c>
      <c r="W57" s="93">
        <v>30245.3</v>
      </c>
      <c r="X57" s="99">
        <v>73.771000000000001</v>
      </c>
      <c r="Y57" s="88">
        <v>175</v>
      </c>
      <c r="Z57" s="93">
        <v>128680</v>
      </c>
      <c r="AA57" s="88">
        <v>140</v>
      </c>
      <c r="AB57" s="93">
        <v>10904435.4</v>
      </c>
      <c r="AC57" s="94">
        <v>95</v>
      </c>
      <c r="AD57" s="93">
        <v>3280259.404193548</v>
      </c>
      <c r="AE57" s="95">
        <v>9294.64</v>
      </c>
      <c r="AF57" s="94">
        <v>6</v>
      </c>
      <c r="AG57" s="90">
        <f>Weather!B225</f>
        <v>1.2</v>
      </c>
      <c r="AH57" s="90">
        <f>Weather!C225</f>
        <v>134.29999999999998</v>
      </c>
      <c r="AI57" s="90">
        <f>Employment!B57</f>
        <v>6934.7</v>
      </c>
      <c r="AJ57" s="90">
        <f>Employment!C57</f>
        <v>156.5</v>
      </c>
      <c r="AK57" s="130">
        <v>586913</v>
      </c>
      <c r="AL57" s="98">
        <f t="shared" si="44"/>
        <v>31</v>
      </c>
      <c r="AM57" s="106">
        <v>21</v>
      </c>
      <c r="AN57" s="90">
        <v>56</v>
      </c>
      <c r="AO57" s="90">
        <f t="shared" ref="AO57:BC57" si="50">AO45</f>
        <v>0</v>
      </c>
      <c r="AP57" s="90">
        <f t="shared" si="50"/>
        <v>0</v>
      </c>
      <c r="AQ57" s="90">
        <f t="shared" si="50"/>
        <v>0</v>
      </c>
      <c r="AR57" s="90">
        <f t="shared" si="50"/>
        <v>0</v>
      </c>
      <c r="AS57" s="90">
        <f t="shared" si="50"/>
        <v>0</v>
      </c>
      <c r="AT57" s="90">
        <f t="shared" si="50"/>
        <v>0</v>
      </c>
      <c r="AU57" s="90">
        <f t="shared" si="50"/>
        <v>0</v>
      </c>
      <c r="AV57" s="90">
        <f t="shared" si="50"/>
        <v>1</v>
      </c>
      <c r="AW57" s="90">
        <f t="shared" si="50"/>
        <v>0</v>
      </c>
      <c r="AX57" s="90">
        <f t="shared" si="50"/>
        <v>0</v>
      </c>
      <c r="AY57" s="90">
        <f t="shared" si="50"/>
        <v>0</v>
      </c>
      <c r="AZ57" s="90">
        <f t="shared" si="50"/>
        <v>0</v>
      </c>
      <c r="BA57" s="90">
        <f t="shared" si="50"/>
        <v>0</v>
      </c>
      <c r="BB57" s="90">
        <f t="shared" si="50"/>
        <v>0</v>
      </c>
      <c r="BC57" s="90">
        <f t="shared" si="50"/>
        <v>0</v>
      </c>
    </row>
    <row r="58" spans="1:55" x14ac:dyDescent="0.3">
      <c r="A58" s="91">
        <v>41518</v>
      </c>
      <c r="B58" s="92">
        <f t="shared" si="0"/>
        <v>2013</v>
      </c>
      <c r="C58" s="93">
        <f>35382416.825+1004865</f>
        <v>36387281.825000003</v>
      </c>
      <c r="D58" s="93">
        <v>21758980.590524763</v>
      </c>
      <c r="E58" s="93">
        <f ca="1">OFFSET('Historic CDM'!$C$64,0,(ROW()-ROW(E$2))/12)/12</f>
        <v>323841.11291644699</v>
      </c>
      <c r="F58" s="93">
        <f t="shared" ca="1" si="1"/>
        <v>22082821.70344121</v>
      </c>
      <c r="G58" s="94">
        <v>26486</v>
      </c>
      <c r="H58" s="93">
        <f>210461.387139002+5266307.307</f>
        <v>5476768.6941390019</v>
      </c>
      <c r="I58" s="93">
        <f ca="1">OFFSET('Historic CDM'!$C$76,0,(ROW()-ROW(E$2))/12)/12</f>
        <v>158465.127741128</v>
      </c>
      <c r="J58" s="93">
        <f t="shared" ca="1" si="2"/>
        <v>5635233.8218801301</v>
      </c>
      <c r="K58" s="88">
        <f>26+1866</f>
        <v>1892</v>
      </c>
      <c r="L58" s="93">
        <f>18628025.3114723-Q58</f>
        <v>17843498.298272301</v>
      </c>
      <c r="M58" s="95">
        <f ca="1">OFFSET('Historic CDM'!$C$88,0,(ROW()-ROW(E$2))/12)/12</f>
        <v>348739.50644870795</v>
      </c>
      <c r="N58" s="1">
        <f ca="1">L58+M58-Q58</f>
        <v>17407710.791521009</v>
      </c>
      <c r="O58" s="3">
        <f>43510.27-R58</f>
        <v>39557.089999999997</v>
      </c>
      <c r="P58" s="2">
        <f>213-S58</f>
        <v>212</v>
      </c>
      <c r="Q58" s="93">
        <v>784527.01320000004</v>
      </c>
      <c r="R58" s="95">
        <v>3953.18</v>
      </c>
      <c r="S58" s="94">
        <v>1</v>
      </c>
      <c r="T58" s="93">
        <v>492585.389204301</v>
      </c>
      <c r="U58" s="96">
        <v>1578.71</v>
      </c>
      <c r="V58" s="102">
        <f>342+1170+590+581</f>
        <v>2683</v>
      </c>
      <c r="W58" s="93">
        <v>29456.12</v>
      </c>
      <c r="X58" s="99">
        <v>73.771000000000001</v>
      </c>
      <c r="Y58" s="88">
        <v>175</v>
      </c>
      <c r="Z58" s="93">
        <v>128680</v>
      </c>
      <c r="AA58" s="88">
        <v>140</v>
      </c>
      <c r="AB58" s="93">
        <v>10333299.249999994</v>
      </c>
      <c r="AC58" s="94">
        <v>98</v>
      </c>
      <c r="AD58" s="93">
        <v>3028725.0806451617</v>
      </c>
      <c r="AE58" s="95">
        <v>9273.84</v>
      </c>
      <c r="AF58" s="94">
        <v>6</v>
      </c>
      <c r="AG58" s="90">
        <f>Weather!B226</f>
        <v>41.2</v>
      </c>
      <c r="AH58" s="90">
        <f>Weather!C226</f>
        <v>65.3</v>
      </c>
      <c r="AI58" s="90">
        <f>Employment!B58</f>
        <v>6906.9</v>
      </c>
      <c r="AJ58" s="90">
        <f>Employment!C58</f>
        <v>154.6</v>
      </c>
      <c r="AK58" s="130">
        <v>586913</v>
      </c>
      <c r="AL58" s="98">
        <f t="shared" si="44"/>
        <v>30</v>
      </c>
      <c r="AM58" s="106">
        <v>20</v>
      </c>
      <c r="AN58" s="90">
        <v>57</v>
      </c>
      <c r="AO58" s="90">
        <f t="shared" ref="AO58:BC58" si="51">AO46</f>
        <v>0</v>
      </c>
      <c r="AP58" s="90">
        <f t="shared" si="51"/>
        <v>0</v>
      </c>
      <c r="AQ58" s="90">
        <f t="shared" si="51"/>
        <v>0</v>
      </c>
      <c r="AR58" s="90">
        <f t="shared" si="51"/>
        <v>0</v>
      </c>
      <c r="AS58" s="90">
        <f t="shared" si="51"/>
        <v>0</v>
      </c>
      <c r="AT58" s="90">
        <f t="shared" si="51"/>
        <v>0</v>
      </c>
      <c r="AU58" s="90">
        <f t="shared" si="51"/>
        <v>0</v>
      </c>
      <c r="AV58" s="90">
        <f t="shared" si="51"/>
        <v>0</v>
      </c>
      <c r="AW58" s="90">
        <f t="shared" si="51"/>
        <v>1</v>
      </c>
      <c r="AX58" s="90">
        <f t="shared" si="51"/>
        <v>0</v>
      </c>
      <c r="AY58" s="90">
        <f t="shared" si="51"/>
        <v>0</v>
      </c>
      <c r="AZ58" s="90">
        <f t="shared" si="51"/>
        <v>0</v>
      </c>
      <c r="BA58" s="90">
        <f t="shared" si="51"/>
        <v>0</v>
      </c>
      <c r="BB58" s="90">
        <f t="shared" si="51"/>
        <v>0</v>
      </c>
      <c r="BC58" s="90">
        <f t="shared" si="51"/>
        <v>0</v>
      </c>
    </row>
    <row r="59" spans="1:55" x14ac:dyDescent="0.3">
      <c r="A59" s="91">
        <v>41548</v>
      </c>
      <c r="B59" s="92">
        <f t="shared" si="0"/>
        <v>2013</v>
      </c>
      <c r="C59" s="93">
        <f>30097506.775+966679</f>
        <v>31064185.774999999</v>
      </c>
      <c r="D59" s="93">
        <v>17428873.596375901</v>
      </c>
      <c r="E59" s="93">
        <f ca="1">OFFSET('Historic CDM'!$C$64,0,(ROW()-ROW(E$2))/12)/12</f>
        <v>323841.11291644699</v>
      </c>
      <c r="F59" s="93">
        <f t="shared" ca="1" si="1"/>
        <v>17752714.709292348</v>
      </c>
      <c r="G59" s="94">
        <v>26526</v>
      </c>
      <c r="H59" s="93">
        <f>221979.402307122+4863665.813</f>
        <v>5085645.2153071221</v>
      </c>
      <c r="I59" s="93">
        <f ca="1">OFFSET('Historic CDM'!$C$76,0,(ROW()-ROW(E$2))/12)/12</f>
        <v>158465.127741128</v>
      </c>
      <c r="J59" s="93">
        <f t="shared" ca="1" si="2"/>
        <v>5244110.3430482503</v>
      </c>
      <c r="K59" s="88">
        <f>25+1867</f>
        <v>1892</v>
      </c>
      <c r="L59" s="93">
        <f>14372185.3002037-Q59</f>
        <v>14339183.6292037</v>
      </c>
      <c r="M59" s="95">
        <f ca="1">OFFSET('Historic CDM'!$C$88,0,(ROW()-ROW(E$2))/12)/12</f>
        <v>348739.50644870795</v>
      </c>
      <c r="N59" s="1">
        <f ca="1">L59+M59-Q59</f>
        <v>14654921.464652408</v>
      </c>
      <c r="O59" s="3">
        <f>37374.56-R59</f>
        <v>37093.299999999996</v>
      </c>
      <c r="P59" s="2">
        <f>210-S59</f>
        <v>209</v>
      </c>
      <c r="Q59" s="93">
        <v>33001.671000000002</v>
      </c>
      <c r="R59" s="95">
        <v>281.26</v>
      </c>
      <c r="S59" s="94">
        <v>1</v>
      </c>
      <c r="T59" s="93">
        <v>586886.75015053782</v>
      </c>
      <c r="U59" s="96">
        <v>1590.83</v>
      </c>
      <c r="V59" s="102">
        <f>342+1173+616+579</f>
        <v>2710</v>
      </c>
      <c r="W59" s="93">
        <v>29542.880000000001</v>
      </c>
      <c r="X59" s="99">
        <v>73.771000000000001</v>
      </c>
      <c r="Y59" s="88">
        <v>175</v>
      </c>
      <c r="Z59" s="93">
        <v>128680</v>
      </c>
      <c r="AA59" s="88">
        <v>140</v>
      </c>
      <c r="AB59" s="93">
        <v>10789127.525000006</v>
      </c>
      <c r="AC59" s="94">
        <v>98</v>
      </c>
      <c r="AD59" s="93">
        <v>2909405.2025806457</v>
      </c>
      <c r="AE59" s="95">
        <v>6893.84</v>
      </c>
      <c r="AF59" s="94">
        <v>6</v>
      </c>
      <c r="AG59" s="90">
        <f>Weather!B227</f>
        <v>170.49999999999997</v>
      </c>
      <c r="AH59" s="90">
        <f>Weather!C227</f>
        <v>19.899999999999999</v>
      </c>
      <c r="AI59" s="90">
        <f>Employment!B59</f>
        <v>6889</v>
      </c>
      <c r="AJ59" s="90">
        <f>Employment!C59</f>
        <v>155.80000000000001</v>
      </c>
      <c r="AK59" s="130">
        <v>586913</v>
      </c>
      <c r="AL59" s="98">
        <f t="shared" si="44"/>
        <v>31</v>
      </c>
      <c r="AM59" s="106">
        <v>22</v>
      </c>
      <c r="AN59" s="90">
        <v>58</v>
      </c>
      <c r="AO59" s="90">
        <f t="shared" ref="AO59:BC59" si="52">AO47</f>
        <v>0</v>
      </c>
      <c r="AP59" s="90">
        <f t="shared" si="52"/>
        <v>0</v>
      </c>
      <c r="AQ59" s="90">
        <f t="shared" si="52"/>
        <v>0</v>
      </c>
      <c r="AR59" s="90">
        <f t="shared" si="52"/>
        <v>0</v>
      </c>
      <c r="AS59" s="90">
        <f t="shared" si="52"/>
        <v>0</v>
      </c>
      <c r="AT59" s="90">
        <f t="shared" si="52"/>
        <v>0</v>
      </c>
      <c r="AU59" s="90">
        <f t="shared" si="52"/>
        <v>0</v>
      </c>
      <c r="AV59" s="90">
        <f t="shared" si="52"/>
        <v>0</v>
      </c>
      <c r="AW59" s="90">
        <f t="shared" si="52"/>
        <v>0</v>
      </c>
      <c r="AX59" s="90">
        <f t="shared" si="52"/>
        <v>1</v>
      </c>
      <c r="AY59" s="90">
        <f t="shared" si="52"/>
        <v>0</v>
      </c>
      <c r="AZ59" s="90">
        <f t="shared" si="52"/>
        <v>0</v>
      </c>
      <c r="BA59" s="90">
        <f t="shared" si="52"/>
        <v>0</v>
      </c>
      <c r="BB59" s="90">
        <f t="shared" si="52"/>
        <v>1</v>
      </c>
      <c r="BC59" s="90">
        <f t="shared" si="52"/>
        <v>1</v>
      </c>
    </row>
    <row r="60" spans="1:55" x14ac:dyDescent="0.3">
      <c r="A60" s="91">
        <v>41579</v>
      </c>
      <c r="B60" s="92">
        <f t="shared" si="0"/>
        <v>2013</v>
      </c>
      <c r="C60" s="93">
        <f>30852157.525+877996</f>
        <v>31730153.524999999</v>
      </c>
      <c r="D60" s="93">
        <v>18265418.488098886</v>
      </c>
      <c r="E60" s="93">
        <f ca="1">OFFSET('Historic CDM'!$C$64,0,(ROW()-ROW(E$2))/12)/12</f>
        <v>323841.11291644699</v>
      </c>
      <c r="F60" s="93">
        <f t="shared" ca="1" si="1"/>
        <v>18589259.601015333</v>
      </c>
      <c r="G60" s="94">
        <v>26624</v>
      </c>
      <c r="H60" s="93">
        <f>241351.227710956+4878703.206</f>
        <v>5120054.433710956</v>
      </c>
      <c r="I60" s="93">
        <f ca="1">OFFSET('Historic CDM'!$C$76,0,(ROW()-ROW(E$2))/12)/12</f>
        <v>158465.127741128</v>
      </c>
      <c r="J60" s="93">
        <f t="shared" ca="1" si="2"/>
        <v>5278519.5614520842</v>
      </c>
      <c r="K60" s="88">
        <f>26+1881</f>
        <v>1907</v>
      </c>
      <c r="L60" s="93">
        <f>13705288.4698593-Q60</f>
        <v>13705072.769859301</v>
      </c>
      <c r="M60" s="95">
        <f ca="1">OFFSET('Historic CDM'!$C$88,0,(ROW()-ROW(E$2))/12)/12</f>
        <v>348739.50644870795</v>
      </c>
      <c r="N60" s="1">
        <f ca="1">L60+M60-Q60</f>
        <v>14053596.57630801</v>
      </c>
      <c r="O60" s="3">
        <f>33766.54-R60</f>
        <v>33766.54</v>
      </c>
      <c r="P60" s="2">
        <f>212-S60</f>
        <v>211</v>
      </c>
      <c r="Q60" s="93">
        <v>215.7</v>
      </c>
      <c r="R60" s="101">
        <v>0</v>
      </c>
      <c r="S60" s="94">
        <v>1</v>
      </c>
      <c r="T60" s="93">
        <v>617394.81784946215</v>
      </c>
      <c r="U60" s="96">
        <v>1592.1599999999999</v>
      </c>
      <c r="V60" s="102">
        <f>342+1175+616+579</f>
        <v>2712</v>
      </c>
      <c r="W60" s="93">
        <v>29374.19</v>
      </c>
      <c r="X60" s="99">
        <v>73.575999999999993</v>
      </c>
      <c r="Y60" s="88">
        <v>175</v>
      </c>
      <c r="Z60" s="93">
        <v>128665</v>
      </c>
      <c r="AA60" s="88">
        <v>137</v>
      </c>
      <c r="AB60" s="93">
        <v>10602563.625000004</v>
      </c>
      <c r="AC60" s="94">
        <v>99</v>
      </c>
      <c r="AD60" s="93">
        <v>2898724.4000860201</v>
      </c>
      <c r="AE60" s="95">
        <v>7057.3000000000011</v>
      </c>
      <c r="AF60" s="94">
        <v>6</v>
      </c>
      <c r="AG60" s="90">
        <f>Weather!B228</f>
        <v>424.9</v>
      </c>
      <c r="AH60" s="90">
        <f>Weather!C228</f>
        <v>0</v>
      </c>
      <c r="AI60" s="90">
        <f>Employment!B60</f>
        <v>6863.8</v>
      </c>
      <c r="AJ60" s="90">
        <f>Employment!C60</f>
        <v>156.69999999999999</v>
      </c>
      <c r="AK60" s="130">
        <v>586913</v>
      </c>
      <c r="AL60" s="98">
        <f t="shared" si="44"/>
        <v>30</v>
      </c>
      <c r="AM60" s="106">
        <v>21</v>
      </c>
      <c r="AN60" s="90">
        <v>59</v>
      </c>
      <c r="AO60" s="90">
        <f t="shared" ref="AO60:BC60" si="53">AO48</f>
        <v>0</v>
      </c>
      <c r="AP60" s="90">
        <f t="shared" si="53"/>
        <v>0</v>
      </c>
      <c r="AQ60" s="90">
        <f t="shared" si="53"/>
        <v>0</v>
      </c>
      <c r="AR60" s="90">
        <f t="shared" si="53"/>
        <v>0</v>
      </c>
      <c r="AS60" s="90">
        <f t="shared" si="53"/>
        <v>0</v>
      </c>
      <c r="AT60" s="90">
        <f t="shared" si="53"/>
        <v>0</v>
      </c>
      <c r="AU60" s="90">
        <f t="shared" si="53"/>
        <v>0</v>
      </c>
      <c r="AV60" s="90">
        <f t="shared" si="53"/>
        <v>0</v>
      </c>
      <c r="AW60" s="90">
        <f t="shared" si="53"/>
        <v>0</v>
      </c>
      <c r="AX60" s="90">
        <f t="shared" si="53"/>
        <v>0</v>
      </c>
      <c r="AY60" s="90">
        <f t="shared" si="53"/>
        <v>1</v>
      </c>
      <c r="AZ60" s="90">
        <f t="shared" si="53"/>
        <v>0</v>
      </c>
      <c r="BA60" s="90">
        <f t="shared" si="53"/>
        <v>0</v>
      </c>
      <c r="BB60" s="90">
        <f t="shared" si="53"/>
        <v>1</v>
      </c>
      <c r="BC60" s="90">
        <f t="shared" si="53"/>
        <v>1</v>
      </c>
    </row>
    <row r="61" spans="1:55" x14ac:dyDescent="0.3">
      <c r="A61" s="91">
        <v>41609</v>
      </c>
      <c r="B61" s="92">
        <f t="shared" si="0"/>
        <v>2013</v>
      </c>
      <c r="C61" s="93">
        <f>36147598.975+906603</f>
        <v>37054201.975000001</v>
      </c>
      <c r="D61" s="93">
        <v>21866188.589622945</v>
      </c>
      <c r="E61" s="93">
        <f ca="1">OFFSET('Historic CDM'!$C$64,0,(ROW()-ROW(E$2))/12)/12</f>
        <v>323841.11291644699</v>
      </c>
      <c r="F61" s="93">
        <f t="shared" ca="1" si="1"/>
        <v>22190029.702539392</v>
      </c>
      <c r="G61" s="94">
        <v>26488</v>
      </c>
      <c r="H61" s="93">
        <f>253612.171827936+5424037.032</f>
        <v>5677649.2038279353</v>
      </c>
      <c r="I61" s="93">
        <f ca="1">OFFSET('Historic CDM'!$C$76,0,(ROW()-ROW(E$2))/12)/12</f>
        <v>158465.127741128</v>
      </c>
      <c r="J61" s="93">
        <f t="shared" ca="1" si="2"/>
        <v>5836114.3315690635</v>
      </c>
      <c r="K61" s="88">
        <f>25+1878</f>
        <v>1903</v>
      </c>
      <c r="L61" s="93">
        <f>13856064.1683468-Q61</f>
        <v>13789022.1683468</v>
      </c>
      <c r="M61" s="95">
        <f ca="1">OFFSET('Historic CDM'!$C$88,0,(ROW()-ROW(E$2))/12)/12</f>
        <v>348739.50644870795</v>
      </c>
      <c r="N61" s="1">
        <f ca="1">L61+M61-Q61</f>
        <v>14070719.674795508</v>
      </c>
      <c r="O61" s="3">
        <f>37408.01-R61</f>
        <v>34631.810000000005</v>
      </c>
      <c r="P61" s="2">
        <f>215-S61</f>
        <v>214</v>
      </c>
      <c r="Q61" s="93">
        <v>67042</v>
      </c>
      <c r="R61" s="95">
        <v>2776.2</v>
      </c>
      <c r="S61" s="94">
        <v>1</v>
      </c>
      <c r="T61" s="93">
        <v>675890.27602150571</v>
      </c>
      <c r="U61" s="96">
        <v>1591.3</v>
      </c>
      <c r="V61" s="102">
        <f>342+1175+616+579</f>
        <v>2712</v>
      </c>
      <c r="W61" s="93">
        <v>26101.53</v>
      </c>
      <c r="X61" s="99">
        <v>73.575999999999993</v>
      </c>
      <c r="Y61" s="88">
        <v>175</v>
      </c>
      <c r="Z61" s="93">
        <v>128665</v>
      </c>
      <c r="AA61" s="88">
        <v>137</v>
      </c>
      <c r="AB61" s="93">
        <v>8986542.4000000022</v>
      </c>
      <c r="AC61" s="94">
        <v>101</v>
      </c>
      <c r="AD61" s="93">
        <v>3146942.3470107522</v>
      </c>
      <c r="AE61" s="95">
        <v>7513.43</v>
      </c>
      <c r="AF61" s="94">
        <v>6</v>
      </c>
      <c r="AG61" s="90">
        <f>Weather!B229</f>
        <v>614.30000000000007</v>
      </c>
      <c r="AH61" s="90">
        <f>Weather!C229</f>
        <v>0</v>
      </c>
      <c r="AI61" s="90">
        <f>Employment!B61</f>
        <v>6849.3</v>
      </c>
      <c r="AJ61" s="90">
        <f>Employment!C61</f>
        <v>159.19999999999999</v>
      </c>
      <c r="AK61" s="130">
        <v>586913</v>
      </c>
      <c r="AL61" s="98">
        <f t="shared" si="44"/>
        <v>31</v>
      </c>
      <c r="AM61" s="106">
        <v>20</v>
      </c>
      <c r="AN61" s="90">
        <v>60</v>
      </c>
      <c r="AO61" s="90">
        <f t="shared" ref="AO61:BC61" si="54">AO49</f>
        <v>0</v>
      </c>
      <c r="AP61" s="90">
        <f t="shared" si="54"/>
        <v>0</v>
      </c>
      <c r="AQ61" s="90">
        <f t="shared" si="54"/>
        <v>0</v>
      </c>
      <c r="AR61" s="90">
        <f t="shared" si="54"/>
        <v>0</v>
      </c>
      <c r="AS61" s="90">
        <f t="shared" si="54"/>
        <v>0</v>
      </c>
      <c r="AT61" s="90">
        <f t="shared" si="54"/>
        <v>0</v>
      </c>
      <c r="AU61" s="90">
        <f t="shared" si="54"/>
        <v>0</v>
      </c>
      <c r="AV61" s="90">
        <f t="shared" si="54"/>
        <v>0</v>
      </c>
      <c r="AW61" s="90">
        <f t="shared" si="54"/>
        <v>0</v>
      </c>
      <c r="AX61" s="90">
        <f t="shared" si="54"/>
        <v>0</v>
      </c>
      <c r="AY61" s="90">
        <f t="shared" si="54"/>
        <v>0</v>
      </c>
      <c r="AZ61" s="90">
        <f t="shared" si="54"/>
        <v>1</v>
      </c>
      <c r="BA61" s="90">
        <f t="shared" si="54"/>
        <v>0</v>
      </c>
      <c r="BB61" s="90">
        <f t="shared" si="54"/>
        <v>0</v>
      </c>
      <c r="BC61" s="90">
        <f t="shared" si="54"/>
        <v>0</v>
      </c>
    </row>
    <row r="62" spans="1:55" x14ac:dyDescent="0.3">
      <c r="A62" s="91">
        <v>41640</v>
      </c>
      <c r="B62" s="92">
        <f t="shared" si="0"/>
        <v>2014</v>
      </c>
      <c r="C62" s="93">
        <f>36911651.9416666+892709</f>
        <v>37804360.941666603</v>
      </c>
      <c r="D62" s="93">
        <v>22431856.165665917</v>
      </c>
      <c r="E62" s="93">
        <f ca="1">OFFSET('Historic CDM'!$C$64,0,(ROW()-ROW(E$2))/12)/12</f>
        <v>409691.26556814712</v>
      </c>
      <c r="F62" s="93">
        <f t="shared" ca="1" si="1"/>
        <v>22841547.431234065</v>
      </c>
      <c r="G62" s="94">
        <v>26476</v>
      </c>
      <c r="H62" s="93">
        <f>5734789.94472543+229974.898</f>
        <v>5964764.8427254297</v>
      </c>
      <c r="I62" s="93">
        <f ca="1">OFFSET('Historic CDM'!$C$76,0,(ROW()-ROW(E$2))/12)/12</f>
        <v>195312.06947167395</v>
      </c>
      <c r="J62" s="93">
        <f t="shared" ca="1" si="2"/>
        <v>6160076.9121971037</v>
      </c>
      <c r="K62" s="88">
        <f>1883+16</f>
        <v>1899</v>
      </c>
      <c r="L62" s="93">
        <f>14437294.4377778-Q62</f>
        <v>14434682.7217778</v>
      </c>
      <c r="M62" s="95">
        <f ca="1">OFFSET('Historic CDM'!$C$88,0,(ROW()-ROW(E$2))/12)/12</f>
        <v>443574.7020507566</v>
      </c>
      <c r="N62" s="1">
        <f ca="1">L62+M62-Q62</f>
        <v>14875645.707828557</v>
      </c>
      <c r="O62" s="3">
        <f>34456.54-R62</f>
        <v>34294.050000000003</v>
      </c>
      <c r="P62" s="2">
        <f>212-S62</f>
        <v>211</v>
      </c>
      <c r="Q62" s="93">
        <v>2611.7159999999999</v>
      </c>
      <c r="R62" s="95">
        <v>162.49</v>
      </c>
      <c r="S62" s="94">
        <v>1</v>
      </c>
      <c r="T62" s="93">
        <v>666318.68064516108</v>
      </c>
      <c r="U62" s="96">
        <v>1591.3</v>
      </c>
      <c r="V62" s="102">
        <f>342+1175+616+579</f>
        <v>2712</v>
      </c>
      <c r="W62" s="93">
        <v>32738.33</v>
      </c>
      <c r="X62" s="99">
        <v>73.771000000000001</v>
      </c>
      <c r="Y62" s="88">
        <v>175</v>
      </c>
      <c r="Z62" s="93">
        <v>129846</v>
      </c>
      <c r="AA62" s="88">
        <v>141</v>
      </c>
      <c r="AB62" s="93">
        <v>11565941.599999988</v>
      </c>
      <c r="AC62" s="94">
        <v>102</v>
      </c>
      <c r="AD62" s="93">
        <v>3490024.4977419358</v>
      </c>
      <c r="AE62" s="95">
        <v>8019.36</v>
      </c>
      <c r="AF62" s="94">
        <v>6</v>
      </c>
      <c r="AG62" s="90">
        <f>Weather!B230</f>
        <v>784.99999999999977</v>
      </c>
      <c r="AH62" s="90">
        <f>Weather!C230</f>
        <v>0</v>
      </c>
      <c r="AI62" s="90">
        <f>Employment!B62</f>
        <v>6806.1</v>
      </c>
      <c r="AJ62" s="90">
        <f>Employment!C62</f>
        <v>157.1</v>
      </c>
      <c r="AK62" s="130">
        <v>602010.30000000005</v>
      </c>
      <c r="AL62" s="98">
        <f t="shared" si="44"/>
        <v>31</v>
      </c>
      <c r="AM62" s="106">
        <v>22</v>
      </c>
      <c r="AN62" s="90">
        <v>61</v>
      </c>
      <c r="AO62" s="90">
        <f t="shared" ref="AO62:BC62" si="55">AO50</f>
        <v>1</v>
      </c>
      <c r="AP62" s="90">
        <f t="shared" si="55"/>
        <v>0</v>
      </c>
      <c r="AQ62" s="90">
        <f t="shared" si="55"/>
        <v>0</v>
      </c>
      <c r="AR62" s="90">
        <f t="shared" si="55"/>
        <v>0</v>
      </c>
      <c r="AS62" s="90">
        <f t="shared" si="55"/>
        <v>0</v>
      </c>
      <c r="AT62" s="90">
        <f t="shared" si="55"/>
        <v>0</v>
      </c>
      <c r="AU62" s="90">
        <f t="shared" si="55"/>
        <v>0</v>
      </c>
      <c r="AV62" s="90">
        <f t="shared" si="55"/>
        <v>0</v>
      </c>
      <c r="AW62" s="90">
        <f t="shared" si="55"/>
        <v>0</v>
      </c>
      <c r="AX62" s="90">
        <f t="shared" si="55"/>
        <v>0</v>
      </c>
      <c r="AY62" s="90">
        <f t="shared" si="55"/>
        <v>0</v>
      </c>
      <c r="AZ62" s="90">
        <f t="shared" si="55"/>
        <v>0</v>
      </c>
      <c r="BA62" s="90">
        <f t="shared" si="55"/>
        <v>0</v>
      </c>
      <c r="BB62" s="90">
        <f t="shared" si="55"/>
        <v>0</v>
      </c>
      <c r="BC62" s="90">
        <f t="shared" si="55"/>
        <v>0</v>
      </c>
    </row>
    <row r="63" spans="1:55" x14ac:dyDescent="0.3">
      <c r="A63" s="91">
        <v>41671</v>
      </c>
      <c r="B63" s="92">
        <f t="shared" si="0"/>
        <v>2014</v>
      </c>
      <c r="C63" s="93">
        <f>32201195.5833333+805244</f>
        <v>33006439.583333299</v>
      </c>
      <c r="D63" s="93">
        <v>19378318.747917414</v>
      </c>
      <c r="E63" s="93">
        <f ca="1">OFFSET('Historic CDM'!$C$64,0,(ROW()-ROW(E$2))/12)/12</f>
        <v>409691.26556814712</v>
      </c>
      <c r="F63" s="93">
        <f t="shared" ca="1" si="1"/>
        <v>19788010.013485562</v>
      </c>
      <c r="G63" s="94">
        <v>26426</v>
      </c>
      <c r="H63" s="93">
        <f>5184506.13249626+203709.208</f>
        <v>5388215.3404962597</v>
      </c>
      <c r="I63" s="93">
        <f ca="1">OFFSET('Historic CDM'!$C$76,0,(ROW()-ROW(E$2))/12)/12</f>
        <v>195312.06947167395</v>
      </c>
      <c r="J63" s="93">
        <f t="shared" ca="1" si="2"/>
        <v>5583527.4099679338</v>
      </c>
      <c r="K63" s="88">
        <f>1885+16</f>
        <v>1901</v>
      </c>
      <c r="L63" s="93">
        <f>13239013.0597132-Q63</f>
        <v>13239000.4947132</v>
      </c>
      <c r="M63" s="95">
        <f ca="1">OFFSET('Historic CDM'!$C$88,0,(ROW()-ROW(E$2))/12)/12</f>
        <v>443574.7020507566</v>
      </c>
      <c r="N63" s="1">
        <f ca="1">L63+M63-Q63</f>
        <v>13682562.631763957</v>
      </c>
      <c r="O63" s="3">
        <f>32265.23-R63</f>
        <v>32265.23</v>
      </c>
      <c r="P63" s="2">
        <f>211-S63</f>
        <v>210</v>
      </c>
      <c r="Q63" s="93">
        <v>12.565</v>
      </c>
      <c r="R63" s="101">
        <v>0</v>
      </c>
      <c r="S63" s="94">
        <v>1</v>
      </c>
      <c r="T63" s="93">
        <v>599874.93999999994</v>
      </c>
      <c r="U63" s="96">
        <v>1591.1799999999998</v>
      </c>
      <c r="V63" s="102">
        <f t="shared" ref="V63:V69" si="56">342+1177+615+579</f>
        <v>2713</v>
      </c>
      <c r="W63" s="93">
        <v>29375.63</v>
      </c>
      <c r="X63" s="99">
        <v>73.186000000000007</v>
      </c>
      <c r="Y63" s="88">
        <v>173</v>
      </c>
      <c r="Z63" s="93">
        <v>129706</v>
      </c>
      <c r="AA63" s="88">
        <v>140</v>
      </c>
      <c r="AB63" s="93">
        <v>9995306.5249999966</v>
      </c>
      <c r="AC63" s="94">
        <v>102</v>
      </c>
      <c r="AD63" s="93">
        <v>3101237.7347235028</v>
      </c>
      <c r="AE63" s="95">
        <v>7578.6200000000008</v>
      </c>
      <c r="AF63" s="94">
        <v>6</v>
      </c>
      <c r="AG63" s="90">
        <f>Weather!B231</f>
        <v>674.19999999999982</v>
      </c>
      <c r="AH63" s="90">
        <f>Weather!C231</f>
        <v>0</v>
      </c>
      <c r="AI63" s="90">
        <f>Employment!B63</f>
        <v>6772.3</v>
      </c>
      <c r="AJ63" s="90">
        <f>Employment!C63</f>
        <v>154.69999999999999</v>
      </c>
      <c r="AK63" s="130">
        <v>602010.30000000005</v>
      </c>
      <c r="AL63" s="98">
        <f t="shared" si="44"/>
        <v>28</v>
      </c>
      <c r="AM63" s="106">
        <v>19</v>
      </c>
      <c r="AN63" s="90">
        <v>62</v>
      </c>
      <c r="AO63" s="90">
        <f t="shared" ref="AO63:BC63" si="57">AO51</f>
        <v>0</v>
      </c>
      <c r="AP63" s="90">
        <f t="shared" si="57"/>
        <v>1</v>
      </c>
      <c r="AQ63" s="90">
        <f t="shared" si="57"/>
        <v>0</v>
      </c>
      <c r="AR63" s="90">
        <f t="shared" si="57"/>
        <v>0</v>
      </c>
      <c r="AS63" s="90">
        <f t="shared" si="57"/>
        <v>0</v>
      </c>
      <c r="AT63" s="90">
        <f t="shared" si="57"/>
        <v>0</v>
      </c>
      <c r="AU63" s="90">
        <f t="shared" si="57"/>
        <v>0</v>
      </c>
      <c r="AV63" s="90">
        <f t="shared" si="57"/>
        <v>0</v>
      </c>
      <c r="AW63" s="90">
        <f t="shared" si="57"/>
        <v>0</v>
      </c>
      <c r="AX63" s="90">
        <f t="shared" si="57"/>
        <v>0</v>
      </c>
      <c r="AY63" s="90">
        <f t="shared" si="57"/>
        <v>0</v>
      </c>
      <c r="AZ63" s="90">
        <f t="shared" si="57"/>
        <v>0</v>
      </c>
      <c r="BA63" s="90">
        <f t="shared" si="57"/>
        <v>0</v>
      </c>
      <c r="BB63" s="90">
        <f t="shared" si="57"/>
        <v>0</v>
      </c>
      <c r="BC63" s="90">
        <f t="shared" si="57"/>
        <v>0</v>
      </c>
    </row>
    <row r="64" spans="1:55" x14ac:dyDescent="0.3">
      <c r="A64" s="91">
        <v>41699</v>
      </c>
      <c r="B64" s="92">
        <f t="shared" si="0"/>
        <v>2014</v>
      </c>
      <c r="C64" s="93">
        <f>31012253.8833333+908382</f>
        <v>31920635.883333299</v>
      </c>
      <c r="D64" s="93">
        <v>19313954.998032402</v>
      </c>
      <c r="E64" s="93">
        <f ca="1">OFFSET('Historic CDM'!$C$64,0,(ROW()-ROW(E$2))/12)/12</f>
        <v>409691.26556814712</v>
      </c>
      <c r="F64" s="93">
        <f t="shared" ca="1" si="1"/>
        <v>19723646.263600551</v>
      </c>
      <c r="G64" s="94">
        <v>26488</v>
      </c>
      <c r="H64" s="93">
        <f>5357434.62787415+212255.442</f>
        <v>5569690.0698741497</v>
      </c>
      <c r="I64" s="93">
        <f ca="1">OFFSET('Historic CDM'!$C$76,0,(ROW()-ROW(E$2))/12)/12</f>
        <v>195312.06947167395</v>
      </c>
      <c r="J64" s="93">
        <f t="shared" ca="1" si="2"/>
        <v>5765002.1393458238</v>
      </c>
      <c r="K64" s="88">
        <f>1889+16</f>
        <v>1905</v>
      </c>
      <c r="L64" s="93">
        <f>13881707.6986385-Q64</f>
        <v>13881701.188638501</v>
      </c>
      <c r="M64" s="95">
        <f ca="1">OFFSET('Historic CDM'!$C$88,0,(ROW()-ROW(E$2))/12)/12</f>
        <v>443574.7020507566</v>
      </c>
      <c r="N64" s="1">
        <f ca="1">L64+M64-Q64</f>
        <v>14325269.380689258</v>
      </c>
      <c r="O64" s="3">
        <f>32022.14-R64</f>
        <v>32021.27</v>
      </c>
      <c r="P64" s="2">
        <f>214-S64</f>
        <v>213</v>
      </c>
      <c r="Q64" s="93">
        <v>6.51</v>
      </c>
      <c r="R64" s="95">
        <v>0.87</v>
      </c>
      <c r="S64" s="94">
        <v>1</v>
      </c>
      <c r="T64" s="93">
        <v>558889.76580645167</v>
      </c>
      <c r="U64" s="96">
        <v>1586.81</v>
      </c>
      <c r="V64" s="102">
        <f t="shared" si="56"/>
        <v>2713</v>
      </c>
      <c r="W64" s="93">
        <v>29040.82</v>
      </c>
      <c r="X64" s="99">
        <v>72.991</v>
      </c>
      <c r="Y64" s="88">
        <v>172</v>
      </c>
      <c r="Z64" s="93">
        <v>129706</v>
      </c>
      <c r="AA64" s="88">
        <v>140</v>
      </c>
      <c r="AB64" s="93">
        <v>12424227.5</v>
      </c>
      <c r="AC64" s="94">
        <v>102</v>
      </c>
      <c r="AD64" s="93">
        <v>3182337.956244241</v>
      </c>
      <c r="AE64" s="95">
        <v>7398.630000000001</v>
      </c>
      <c r="AF64" s="94">
        <v>6</v>
      </c>
      <c r="AG64" s="90">
        <f>Weather!B232</f>
        <v>591.90000000000009</v>
      </c>
      <c r="AH64" s="90">
        <f>Weather!C232</f>
        <v>0</v>
      </c>
      <c r="AI64" s="90">
        <f>Employment!B64</f>
        <v>6751.3</v>
      </c>
      <c r="AJ64" s="90">
        <f>Employment!C64</f>
        <v>152.4</v>
      </c>
      <c r="AK64" s="130">
        <v>602010.30000000005</v>
      </c>
      <c r="AL64" s="98">
        <f t="shared" si="44"/>
        <v>31</v>
      </c>
      <c r="AM64" s="106">
        <v>21</v>
      </c>
      <c r="AN64" s="90">
        <v>63</v>
      </c>
      <c r="AO64" s="90">
        <f t="shared" ref="AO64:BC64" si="58">AO52</f>
        <v>0</v>
      </c>
      <c r="AP64" s="90">
        <f t="shared" si="58"/>
        <v>0</v>
      </c>
      <c r="AQ64" s="90">
        <f t="shared" si="58"/>
        <v>1</v>
      </c>
      <c r="AR64" s="90">
        <f t="shared" si="58"/>
        <v>0</v>
      </c>
      <c r="AS64" s="90">
        <f t="shared" si="58"/>
        <v>0</v>
      </c>
      <c r="AT64" s="90">
        <f t="shared" si="58"/>
        <v>0</v>
      </c>
      <c r="AU64" s="90">
        <f t="shared" si="58"/>
        <v>0</v>
      </c>
      <c r="AV64" s="90">
        <f t="shared" si="58"/>
        <v>0</v>
      </c>
      <c r="AW64" s="90">
        <f t="shared" si="58"/>
        <v>0</v>
      </c>
      <c r="AX64" s="90">
        <f t="shared" si="58"/>
        <v>0</v>
      </c>
      <c r="AY64" s="90">
        <f t="shared" si="58"/>
        <v>0</v>
      </c>
      <c r="AZ64" s="90">
        <f t="shared" si="58"/>
        <v>0</v>
      </c>
      <c r="BA64" s="90">
        <f t="shared" si="58"/>
        <v>1</v>
      </c>
      <c r="BB64" s="90">
        <f t="shared" si="58"/>
        <v>0</v>
      </c>
      <c r="BC64" s="90">
        <f t="shared" si="58"/>
        <v>1</v>
      </c>
    </row>
    <row r="65" spans="1:55" x14ac:dyDescent="0.3">
      <c r="A65" s="91">
        <v>41730</v>
      </c>
      <c r="B65" s="92">
        <f t="shared" si="0"/>
        <v>2014</v>
      </c>
      <c r="C65" s="93">
        <f>22883426.1+913419</f>
        <v>23796845.100000001</v>
      </c>
      <c r="D65" s="93">
        <v>16231420.601271654</v>
      </c>
      <c r="E65" s="93">
        <f ca="1">OFFSET('Historic CDM'!$C$64,0,(ROW()-ROW(E$2))/12)/12</f>
        <v>409691.26556814712</v>
      </c>
      <c r="F65" s="93">
        <f t="shared" ca="1" si="1"/>
        <v>16641111.8668398</v>
      </c>
      <c r="G65" s="94">
        <v>26497</v>
      </c>
      <c r="H65" s="93">
        <f>4654522.80405306+197350.032</f>
        <v>4851872.8360530594</v>
      </c>
      <c r="I65" s="93">
        <f ca="1">OFFSET('Historic CDM'!$C$76,0,(ROW()-ROW(E$2))/12)/12</f>
        <v>195312.06947167395</v>
      </c>
      <c r="J65" s="93">
        <f t="shared" ca="1" si="2"/>
        <v>5047184.9055247335</v>
      </c>
      <c r="K65" s="88">
        <f>1884+17</f>
        <v>1901</v>
      </c>
      <c r="L65" s="93">
        <f>11903768.0616901-Q65</f>
        <v>11903767.844690099</v>
      </c>
      <c r="M65" s="95">
        <f ca="1">OFFSET('Historic CDM'!$C$88,0,(ROW()-ROW(E$2))/12)/12</f>
        <v>443574.7020507566</v>
      </c>
      <c r="N65" s="1">
        <f ca="1">L65+M65-Q65</f>
        <v>12347342.329740856</v>
      </c>
      <c r="O65" s="3">
        <f>30566.15-R65</f>
        <v>30566.15</v>
      </c>
      <c r="P65" s="2">
        <f>212-S65</f>
        <v>211</v>
      </c>
      <c r="Q65" s="93">
        <v>0.217</v>
      </c>
      <c r="R65" s="95">
        <v>0</v>
      </c>
      <c r="S65" s="94">
        <v>1</v>
      </c>
      <c r="T65" s="93">
        <v>468886.78352688177</v>
      </c>
      <c r="U65" s="96">
        <v>1586.81</v>
      </c>
      <c r="V65" s="102">
        <f t="shared" si="56"/>
        <v>2713</v>
      </c>
      <c r="W65" s="93">
        <v>29023</v>
      </c>
      <c r="X65" s="99">
        <v>72.991</v>
      </c>
      <c r="Y65" s="88">
        <v>172</v>
      </c>
      <c r="Z65" s="93">
        <v>129706</v>
      </c>
      <c r="AA65" s="88">
        <v>140</v>
      </c>
      <c r="AB65" s="93">
        <v>13991157.975000007</v>
      </c>
      <c r="AC65" s="94">
        <v>102</v>
      </c>
      <c r="AD65" s="93">
        <v>2976480.5359462365</v>
      </c>
      <c r="AE65" s="95">
        <v>7173.25</v>
      </c>
      <c r="AF65" s="94">
        <v>6</v>
      </c>
      <c r="AG65" s="90">
        <f>Weather!B233</f>
        <v>253.7</v>
      </c>
      <c r="AH65" s="90">
        <f>Weather!C233</f>
        <v>0</v>
      </c>
      <c r="AI65" s="90">
        <f>Employment!B65</f>
        <v>6785</v>
      </c>
      <c r="AJ65" s="90">
        <f>Employment!C65</f>
        <v>151.1</v>
      </c>
      <c r="AK65" s="130">
        <v>602010.30000000005</v>
      </c>
      <c r="AL65" s="98">
        <f t="shared" si="44"/>
        <v>30</v>
      </c>
      <c r="AM65" s="106">
        <v>20</v>
      </c>
      <c r="AN65" s="90">
        <v>64</v>
      </c>
      <c r="AO65" s="90">
        <f t="shared" ref="AO65:BC65" si="59">AO53</f>
        <v>0</v>
      </c>
      <c r="AP65" s="90">
        <f t="shared" si="59"/>
        <v>0</v>
      </c>
      <c r="AQ65" s="90">
        <f t="shared" si="59"/>
        <v>0</v>
      </c>
      <c r="AR65" s="90">
        <f t="shared" si="59"/>
        <v>1</v>
      </c>
      <c r="AS65" s="90">
        <f t="shared" si="59"/>
        <v>0</v>
      </c>
      <c r="AT65" s="90">
        <f t="shared" si="59"/>
        <v>0</v>
      </c>
      <c r="AU65" s="90">
        <f t="shared" si="59"/>
        <v>0</v>
      </c>
      <c r="AV65" s="90">
        <f t="shared" si="59"/>
        <v>0</v>
      </c>
      <c r="AW65" s="90">
        <f t="shared" si="59"/>
        <v>0</v>
      </c>
      <c r="AX65" s="90">
        <f t="shared" si="59"/>
        <v>0</v>
      </c>
      <c r="AY65" s="90">
        <f t="shared" si="59"/>
        <v>0</v>
      </c>
      <c r="AZ65" s="90">
        <f t="shared" si="59"/>
        <v>0</v>
      </c>
      <c r="BA65" s="90">
        <f t="shared" si="59"/>
        <v>1</v>
      </c>
      <c r="BB65" s="90">
        <f t="shared" si="59"/>
        <v>0</v>
      </c>
      <c r="BC65" s="90">
        <f t="shared" si="59"/>
        <v>1</v>
      </c>
    </row>
    <row r="66" spans="1:55" x14ac:dyDescent="0.3">
      <c r="A66" s="91">
        <v>41760</v>
      </c>
      <c r="B66" s="92">
        <f t="shared" si="0"/>
        <v>2014</v>
      </c>
      <c r="C66" s="93">
        <f>26430415.2916667+1001545</f>
        <v>27431960.291666701</v>
      </c>
      <c r="D66" s="93">
        <v>17420019.301335745</v>
      </c>
      <c r="E66" s="93">
        <f ca="1">OFFSET('Historic CDM'!$C$64,0,(ROW()-ROW(E$2))/12)/12</f>
        <v>409691.26556814712</v>
      </c>
      <c r="F66" s="93">
        <f t="shared" ca="1" si="1"/>
        <v>17829710.566903893</v>
      </c>
      <c r="G66" s="94">
        <v>26591</v>
      </c>
      <c r="H66" s="93">
        <f>4938919.27166763+207238.202</f>
        <v>5146157.47366763</v>
      </c>
      <c r="I66" s="93">
        <f ca="1">OFFSET('Historic CDM'!$C$76,0,(ROW()-ROW(E$2))/12)/12</f>
        <v>195312.06947167395</v>
      </c>
      <c r="J66" s="93">
        <f t="shared" ca="1" si="2"/>
        <v>5341469.543139304</v>
      </c>
      <c r="K66" s="88">
        <f>1889+17</f>
        <v>1906</v>
      </c>
      <c r="L66" s="93">
        <f>12583472.49549-Q66</f>
        <v>12583472.49549</v>
      </c>
      <c r="M66" s="95">
        <f ca="1">OFFSET('Historic CDM'!$C$88,0,(ROW()-ROW(E$2))/12)/12</f>
        <v>443574.7020507566</v>
      </c>
      <c r="N66" s="1">
        <f ca="1">L66+M66-Q66</f>
        <v>13027047.197540756</v>
      </c>
      <c r="O66" s="3">
        <f>34232.03-R66</f>
        <v>34232.03</v>
      </c>
      <c r="P66" s="2">
        <f>214-S66</f>
        <v>213</v>
      </c>
      <c r="Q66" s="93">
        <v>0</v>
      </c>
      <c r="R66" s="95">
        <v>0</v>
      </c>
      <c r="S66" s="94">
        <v>1</v>
      </c>
      <c r="T66" s="93">
        <v>421881.19195698906</v>
      </c>
      <c r="U66" s="96">
        <v>1586.5900000000001</v>
      </c>
      <c r="V66" s="102">
        <f t="shared" si="56"/>
        <v>2713</v>
      </c>
      <c r="W66" s="93">
        <v>28819.94</v>
      </c>
      <c r="X66" s="99">
        <v>72.991</v>
      </c>
      <c r="Y66" s="88">
        <v>172</v>
      </c>
      <c r="Z66" s="93">
        <v>129706</v>
      </c>
      <c r="AA66" s="88">
        <v>140</v>
      </c>
      <c r="AB66" s="93">
        <v>12476483.799999988</v>
      </c>
      <c r="AC66" s="94">
        <v>102</v>
      </c>
      <c r="AD66" s="93">
        <v>3042347.9027634398</v>
      </c>
      <c r="AE66" s="95">
        <v>7125.02</v>
      </c>
      <c r="AF66" s="94">
        <v>6</v>
      </c>
      <c r="AG66" s="90">
        <f>Weather!B234</f>
        <v>90.600000000000009</v>
      </c>
      <c r="AH66" s="90">
        <f>Weather!C234</f>
        <v>36.4</v>
      </c>
      <c r="AI66" s="90">
        <f>Employment!B66</f>
        <v>6842.6</v>
      </c>
      <c r="AJ66" s="90">
        <f>Employment!C66</f>
        <v>151.19999999999999</v>
      </c>
      <c r="AK66" s="130">
        <v>602010.30000000005</v>
      </c>
      <c r="AL66" s="98">
        <f t="shared" si="44"/>
        <v>31</v>
      </c>
      <c r="AM66" s="106">
        <v>22</v>
      </c>
      <c r="AN66" s="90">
        <v>65</v>
      </c>
      <c r="AO66" s="90">
        <f t="shared" ref="AO66:BC66" si="60">AO54</f>
        <v>0</v>
      </c>
      <c r="AP66" s="90">
        <f t="shared" si="60"/>
        <v>0</v>
      </c>
      <c r="AQ66" s="90">
        <f t="shared" si="60"/>
        <v>0</v>
      </c>
      <c r="AR66" s="90">
        <f t="shared" si="60"/>
        <v>0</v>
      </c>
      <c r="AS66" s="90">
        <f t="shared" si="60"/>
        <v>1</v>
      </c>
      <c r="AT66" s="90">
        <f t="shared" si="60"/>
        <v>0</v>
      </c>
      <c r="AU66" s="90">
        <f t="shared" si="60"/>
        <v>0</v>
      </c>
      <c r="AV66" s="90">
        <f t="shared" si="60"/>
        <v>0</v>
      </c>
      <c r="AW66" s="90">
        <f t="shared" si="60"/>
        <v>0</v>
      </c>
      <c r="AX66" s="90">
        <f t="shared" si="60"/>
        <v>0</v>
      </c>
      <c r="AY66" s="90">
        <f t="shared" si="60"/>
        <v>0</v>
      </c>
      <c r="AZ66" s="90">
        <f t="shared" si="60"/>
        <v>0</v>
      </c>
      <c r="BA66" s="90">
        <f t="shared" si="60"/>
        <v>1</v>
      </c>
      <c r="BB66" s="90">
        <f t="shared" si="60"/>
        <v>0</v>
      </c>
      <c r="BC66" s="90">
        <f t="shared" si="60"/>
        <v>1</v>
      </c>
    </row>
    <row r="67" spans="1:55" x14ac:dyDescent="0.3">
      <c r="A67" s="91">
        <v>41791</v>
      </c>
      <c r="B67" s="92">
        <f t="shared" ref="B67:B97" si="61">YEAR(A67)</f>
        <v>2014</v>
      </c>
      <c r="C67" s="93">
        <f>37688076.3833333+1065682</f>
        <v>38753758.383333303</v>
      </c>
      <c r="D67" s="93">
        <v>23223294.840498503</v>
      </c>
      <c r="E67" s="93">
        <f ca="1">OFFSET('Historic CDM'!$C$64,0,(ROW()-ROW(E$2))/12)/12</f>
        <v>409691.26556814712</v>
      </c>
      <c r="F67" s="93">
        <f t="shared" ref="F67:F97" ca="1" si="62">D67+E67</f>
        <v>23632986.106066652</v>
      </c>
      <c r="G67" s="94">
        <v>26581</v>
      </c>
      <c r="H67" s="93">
        <f>5461974.72628119+216490.659</f>
        <v>5678465.3852811903</v>
      </c>
      <c r="I67" s="93">
        <f ca="1">OFFSET('Historic CDM'!$C$76,0,(ROW()-ROW(E$2))/12)/12</f>
        <v>195312.06947167395</v>
      </c>
      <c r="J67" s="93">
        <f t="shared" ref="J67:J97" ca="1" si="63">H67+I67</f>
        <v>5873777.4547528643</v>
      </c>
      <c r="K67" s="88">
        <f>1892+17</f>
        <v>1909</v>
      </c>
      <c r="L67" s="93">
        <f>14331819.268066-Q67</f>
        <v>14311232.920066001</v>
      </c>
      <c r="M67" s="95">
        <f ca="1">OFFSET('Historic CDM'!$C$88,0,(ROW()-ROW(E$2))/12)/12</f>
        <v>443574.7020507566</v>
      </c>
      <c r="N67" s="1">
        <f ca="1">L67+M67-Q67</f>
        <v>14734221.274116758</v>
      </c>
      <c r="O67" s="3">
        <f>38654.5-R67</f>
        <v>38654.5</v>
      </c>
      <c r="P67" s="2">
        <f>215-S67</f>
        <v>214</v>
      </c>
      <c r="Q67" s="93">
        <v>20586.348000000002</v>
      </c>
      <c r="R67" s="101">
        <v>0</v>
      </c>
      <c r="S67" s="94">
        <v>1</v>
      </c>
      <c r="T67" s="93">
        <v>371131.98070967733</v>
      </c>
      <c r="U67" s="96">
        <v>1585.93</v>
      </c>
      <c r="V67" s="102">
        <f t="shared" si="56"/>
        <v>2713</v>
      </c>
      <c r="W67" s="93">
        <v>29152.15</v>
      </c>
      <c r="X67" s="99">
        <v>72.991</v>
      </c>
      <c r="Y67" s="88">
        <v>172</v>
      </c>
      <c r="Z67" s="93">
        <v>129492</v>
      </c>
      <c r="AA67" s="88">
        <v>139</v>
      </c>
      <c r="AB67" s="93">
        <v>11597802.375000007</v>
      </c>
      <c r="AC67" s="94">
        <v>103</v>
      </c>
      <c r="AD67" s="93">
        <v>3409531.0815698914</v>
      </c>
      <c r="AE67" s="95">
        <v>8831.73</v>
      </c>
      <c r="AF67" s="94">
        <v>6</v>
      </c>
      <c r="AG67" s="90">
        <f>Weather!B235</f>
        <v>2.4000000000000004</v>
      </c>
      <c r="AH67" s="90">
        <f>Weather!C235</f>
        <v>123.29999999999997</v>
      </c>
      <c r="AI67" s="90">
        <f>Employment!B67</f>
        <v>6912.9</v>
      </c>
      <c r="AJ67" s="90">
        <f>Employment!C67</f>
        <v>150.9</v>
      </c>
      <c r="AK67" s="130">
        <v>602010.30000000005</v>
      </c>
      <c r="AL67" s="98">
        <f t="shared" si="44"/>
        <v>30</v>
      </c>
      <c r="AM67" s="106">
        <v>21</v>
      </c>
      <c r="AN67" s="90">
        <v>66</v>
      </c>
      <c r="AO67" s="90">
        <f t="shared" ref="AO67:BC67" si="64">AO55</f>
        <v>0</v>
      </c>
      <c r="AP67" s="90">
        <f t="shared" si="64"/>
        <v>0</v>
      </c>
      <c r="AQ67" s="90">
        <f t="shared" si="64"/>
        <v>0</v>
      </c>
      <c r="AR67" s="90">
        <f t="shared" si="64"/>
        <v>0</v>
      </c>
      <c r="AS67" s="90">
        <f t="shared" si="64"/>
        <v>0</v>
      </c>
      <c r="AT67" s="90">
        <f t="shared" si="64"/>
        <v>1</v>
      </c>
      <c r="AU67" s="90">
        <f t="shared" si="64"/>
        <v>0</v>
      </c>
      <c r="AV67" s="90">
        <f t="shared" si="64"/>
        <v>0</v>
      </c>
      <c r="AW67" s="90">
        <f t="shared" si="64"/>
        <v>0</v>
      </c>
      <c r="AX67" s="90">
        <f t="shared" si="64"/>
        <v>0</v>
      </c>
      <c r="AY67" s="90">
        <f t="shared" si="64"/>
        <v>0</v>
      </c>
      <c r="AZ67" s="90">
        <f t="shared" si="64"/>
        <v>0</v>
      </c>
      <c r="BA67" s="90">
        <f t="shared" si="64"/>
        <v>0</v>
      </c>
      <c r="BB67" s="90">
        <f t="shared" si="64"/>
        <v>0</v>
      </c>
      <c r="BC67" s="90">
        <f t="shared" si="64"/>
        <v>0</v>
      </c>
    </row>
    <row r="68" spans="1:55" x14ac:dyDescent="0.3">
      <c r="A68" s="91">
        <v>41821</v>
      </c>
      <c r="B68" s="92">
        <f t="shared" si="61"/>
        <v>2014</v>
      </c>
      <c r="C68" s="93">
        <f>38601186.125+1072616</f>
        <v>39673802.125</v>
      </c>
      <c r="D68" s="93">
        <v>26224874.37755568</v>
      </c>
      <c r="E68" s="93">
        <f ca="1">OFFSET('Historic CDM'!$C$64,0,(ROW()-ROW(E$2))/12)/12</f>
        <v>409691.26556814712</v>
      </c>
      <c r="F68" s="93">
        <f t="shared" ca="1" si="62"/>
        <v>26634565.643123828</v>
      </c>
      <c r="G68" s="94">
        <v>26628</v>
      </c>
      <c r="H68" s="93">
        <f>5749955.0731766+221934.391</f>
        <v>5971889.4641765999</v>
      </c>
      <c r="I68" s="93">
        <f ca="1">OFFSET('Historic CDM'!$C$76,0,(ROW()-ROW(E$2))/12)/12</f>
        <v>195312.06947167395</v>
      </c>
      <c r="J68" s="93">
        <f t="shared" ca="1" si="63"/>
        <v>6167201.5336482739</v>
      </c>
      <c r="K68" s="88">
        <f>1888+16</f>
        <v>1904</v>
      </c>
      <c r="L68" s="93">
        <f>14525737.705909-Q68</f>
        <v>14313012.108009001</v>
      </c>
      <c r="M68" s="95">
        <f ca="1">OFFSET('Historic CDM'!$C$88,0,(ROW()-ROW(E$2))/12)/12</f>
        <v>443574.7020507566</v>
      </c>
      <c r="N68" s="1">
        <f ca="1">L68+M68-Q68</f>
        <v>14543861.212159758</v>
      </c>
      <c r="O68" s="3">
        <f>37475.7-R68</f>
        <v>37475.699999999997</v>
      </c>
      <c r="P68" s="2">
        <f>215-S68</f>
        <v>214</v>
      </c>
      <c r="Q68" s="93">
        <v>212725.59789999999</v>
      </c>
      <c r="R68" s="101">
        <v>0</v>
      </c>
      <c r="S68" s="94">
        <v>1</v>
      </c>
      <c r="T68" s="93">
        <v>392570.11767741916</v>
      </c>
      <c r="U68" s="96">
        <v>1585.93</v>
      </c>
      <c r="V68" s="102">
        <f t="shared" si="56"/>
        <v>2713</v>
      </c>
      <c r="W68" s="93">
        <v>28556.400000000001</v>
      </c>
      <c r="X68" s="99">
        <v>72.991</v>
      </c>
      <c r="Y68" s="88">
        <v>172</v>
      </c>
      <c r="Z68" s="93">
        <v>129492</v>
      </c>
      <c r="AA68" s="88">
        <v>139</v>
      </c>
      <c r="AB68" s="93">
        <v>12198192.775000015</v>
      </c>
      <c r="AC68" s="94">
        <v>103</v>
      </c>
      <c r="AD68" s="93">
        <v>3573546.6335913986</v>
      </c>
      <c r="AE68" s="95">
        <v>9036.83</v>
      </c>
      <c r="AF68" s="94">
        <v>6</v>
      </c>
      <c r="AG68" s="90">
        <f>Weather!B236</f>
        <v>0.7</v>
      </c>
      <c r="AH68" s="90">
        <f>Weather!C236</f>
        <v>113.59999999999997</v>
      </c>
      <c r="AI68" s="90">
        <f>Employment!B68</f>
        <v>6957.8</v>
      </c>
      <c r="AJ68" s="90">
        <f>Employment!C68</f>
        <v>153.6</v>
      </c>
      <c r="AK68" s="130">
        <v>602010.30000000005</v>
      </c>
      <c r="AL68" s="98">
        <f t="shared" si="44"/>
        <v>31</v>
      </c>
      <c r="AM68" s="106">
        <v>22</v>
      </c>
      <c r="AN68" s="90">
        <v>67</v>
      </c>
      <c r="AO68" s="90">
        <f t="shared" ref="AO68:BC68" si="65">AO56</f>
        <v>0</v>
      </c>
      <c r="AP68" s="90">
        <f t="shared" si="65"/>
        <v>0</v>
      </c>
      <c r="AQ68" s="90">
        <f t="shared" si="65"/>
        <v>0</v>
      </c>
      <c r="AR68" s="90">
        <f t="shared" si="65"/>
        <v>0</v>
      </c>
      <c r="AS68" s="90">
        <f t="shared" si="65"/>
        <v>0</v>
      </c>
      <c r="AT68" s="90">
        <f t="shared" si="65"/>
        <v>0</v>
      </c>
      <c r="AU68" s="90">
        <f t="shared" si="65"/>
        <v>1</v>
      </c>
      <c r="AV68" s="90">
        <f t="shared" si="65"/>
        <v>0</v>
      </c>
      <c r="AW68" s="90">
        <f t="shared" si="65"/>
        <v>0</v>
      </c>
      <c r="AX68" s="90">
        <f t="shared" si="65"/>
        <v>0</v>
      </c>
      <c r="AY68" s="90">
        <f t="shared" si="65"/>
        <v>0</v>
      </c>
      <c r="AZ68" s="90">
        <f t="shared" si="65"/>
        <v>0</v>
      </c>
      <c r="BA68" s="90">
        <f t="shared" si="65"/>
        <v>0</v>
      </c>
      <c r="BB68" s="90">
        <f t="shared" si="65"/>
        <v>0</v>
      </c>
      <c r="BC68" s="90">
        <f t="shared" si="65"/>
        <v>0</v>
      </c>
    </row>
    <row r="69" spans="1:55" x14ac:dyDescent="0.3">
      <c r="A69" s="91">
        <v>41852</v>
      </c>
      <c r="B69" s="92">
        <f t="shared" si="61"/>
        <v>2014</v>
      </c>
      <c r="C69" s="93">
        <f>40878364.8916667+1094139</f>
        <v>41972503.891666703</v>
      </c>
      <c r="D69" s="93">
        <v>25672215.715964895</v>
      </c>
      <c r="E69" s="93">
        <f ca="1">OFFSET('Historic CDM'!$C$64,0,(ROW()-ROW(E$2))/12)/12</f>
        <v>409691.26556814712</v>
      </c>
      <c r="F69" s="93">
        <f t="shared" ca="1" si="62"/>
        <v>26081906.981533043</v>
      </c>
      <c r="G69" s="94">
        <v>26757</v>
      </c>
      <c r="H69" s="93">
        <f>5771314.78666087+222745.43</f>
        <v>5994060.2166608693</v>
      </c>
      <c r="I69" s="93">
        <f ca="1">OFFSET('Historic CDM'!$C$76,0,(ROW()-ROW(E$2))/12)/12</f>
        <v>195312.06947167395</v>
      </c>
      <c r="J69" s="93">
        <f t="shared" ca="1" si="63"/>
        <v>6189372.2861325433</v>
      </c>
      <c r="K69" s="88">
        <f>1899+16</f>
        <v>1915</v>
      </c>
      <c r="L69" s="93">
        <f>15535531.21705-Q69</f>
        <v>15322805.61915</v>
      </c>
      <c r="M69" s="95">
        <f ca="1">OFFSET('Historic CDM'!$C$88,0,(ROW()-ROW(E$2))/12)/12</f>
        <v>443574.7020507566</v>
      </c>
      <c r="N69" s="1">
        <f ca="1">L69+M69-Q69</f>
        <v>15553654.723300757</v>
      </c>
      <c r="O69" s="3">
        <f>40484.61-R69</f>
        <v>38551.5</v>
      </c>
      <c r="P69" s="2">
        <f>214-S69</f>
        <v>213</v>
      </c>
      <c r="Q69" s="93">
        <v>212725.59789999999</v>
      </c>
      <c r="R69" s="95">
        <v>1933.11</v>
      </c>
      <c r="S69" s="94">
        <v>1</v>
      </c>
      <c r="T69" s="93">
        <v>439340.9793548389</v>
      </c>
      <c r="U69" s="96">
        <v>1585.93</v>
      </c>
      <c r="V69" s="102">
        <f t="shared" si="56"/>
        <v>2713</v>
      </c>
      <c r="W69" s="93">
        <v>28895.56</v>
      </c>
      <c r="X69" s="99">
        <v>72.991</v>
      </c>
      <c r="Y69" s="88">
        <v>172</v>
      </c>
      <c r="Z69" s="93">
        <v>129492</v>
      </c>
      <c r="AA69" s="88">
        <v>139</v>
      </c>
      <c r="AB69" s="93">
        <v>10717726.725000005</v>
      </c>
      <c r="AC69" s="94">
        <v>105</v>
      </c>
      <c r="AD69" s="93">
        <v>2693258.5554838711</v>
      </c>
      <c r="AE69" s="95">
        <v>8234.61</v>
      </c>
      <c r="AF69" s="94">
        <v>6</v>
      </c>
      <c r="AG69" s="90">
        <f>Weather!B237</f>
        <v>0.7</v>
      </c>
      <c r="AH69" s="90">
        <f>Weather!C237</f>
        <v>130.19999999999996</v>
      </c>
      <c r="AI69" s="90">
        <f>Employment!B69</f>
        <v>6969.7</v>
      </c>
      <c r="AJ69" s="90">
        <f>Employment!C69</f>
        <v>154.5</v>
      </c>
      <c r="AK69" s="130">
        <v>602010.30000000005</v>
      </c>
      <c r="AL69" s="98">
        <f t="shared" si="44"/>
        <v>31</v>
      </c>
      <c r="AM69" s="106">
        <v>20</v>
      </c>
      <c r="AN69" s="90">
        <v>68</v>
      </c>
      <c r="AO69" s="90">
        <f t="shared" ref="AO69:BC69" si="66">AO57</f>
        <v>0</v>
      </c>
      <c r="AP69" s="90">
        <f t="shared" si="66"/>
        <v>0</v>
      </c>
      <c r="AQ69" s="90">
        <f t="shared" si="66"/>
        <v>0</v>
      </c>
      <c r="AR69" s="90">
        <f t="shared" si="66"/>
        <v>0</v>
      </c>
      <c r="AS69" s="90">
        <f t="shared" si="66"/>
        <v>0</v>
      </c>
      <c r="AT69" s="90">
        <f t="shared" si="66"/>
        <v>0</v>
      </c>
      <c r="AU69" s="90">
        <f t="shared" si="66"/>
        <v>0</v>
      </c>
      <c r="AV69" s="90">
        <f t="shared" si="66"/>
        <v>1</v>
      </c>
      <c r="AW69" s="90">
        <f t="shared" si="66"/>
        <v>0</v>
      </c>
      <c r="AX69" s="90">
        <f t="shared" si="66"/>
        <v>0</v>
      </c>
      <c r="AY69" s="90">
        <f t="shared" si="66"/>
        <v>0</v>
      </c>
      <c r="AZ69" s="90">
        <f t="shared" si="66"/>
        <v>0</v>
      </c>
      <c r="BA69" s="90">
        <f t="shared" si="66"/>
        <v>0</v>
      </c>
      <c r="BB69" s="90">
        <f t="shared" si="66"/>
        <v>0</v>
      </c>
      <c r="BC69" s="90">
        <f t="shared" si="66"/>
        <v>0</v>
      </c>
    </row>
    <row r="70" spans="1:55" x14ac:dyDescent="0.3">
      <c r="A70" s="91">
        <v>41883</v>
      </c>
      <c r="B70" s="92">
        <f t="shared" si="61"/>
        <v>2014</v>
      </c>
      <c r="C70" s="93">
        <f>33868847.8333333+999252</f>
        <v>34868099.833333299</v>
      </c>
      <c r="D70" s="93">
        <v>20441256.87788403</v>
      </c>
      <c r="E70" s="93">
        <f ca="1">OFFSET('Historic CDM'!$C$64,0,(ROW()-ROW(E$2))/12)/12</f>
        <v>409691.26556814712</v>
      </c>
      <c r="F70" s="93">
        <f t="shared" ca="1" si="62"/>
        <v>20850948.143452179</v>
      </c>
      <c r="G70" s="94">
        <v>26650</v>
      </c>
      <c r="H70" s="93">
        <f>5060965.32300741+178003.877</f>
        <v>5238969.2000074107</v>
      </c>
      <c r="I70" s="93">
        <f ca="1">OFFSET('Historic CDM'!$C$76,0,(ROW()-ROW(E$2))/12)/12</f>
        <v>195312.06947167395</v>
      </c>
      <c r="J70" s="93">
        <f t="shared" ca="1" si="63"/>
        <v>5434281.2694790848</v>
      </c>
      <c r="K70" s="88">
        <f>1899+14</f>
        <v>1913</v>
      </c>
      <c r="L70" s="93">
        <f>15185804.3566373-Q70</f>
        <v>15115116.478937302</v>
      </c>
      <c r="M70" s="95">
        <f ca="1">OFFSET('Historic CDM'!$C$88,0,(ROW()-ROW(E$2))/12)/12</f>
        <v>443574.7020507566</v>
      </c>
      <c r="N70" s="1">
        <f ca="1">L70+M70-Q70</f>
        <v>15488003.303288059</v>
      </c>
      <c r="O70" s="3">
        <f>40805.79-R70</f>
        <v>39269.440000000002</v>
      </c>
      <c r="P70" s="2">
        <f>215-S70</f>
        <v>214</v>
      </c>
      <c r="Q70" s="93">
        <v>70687.877699999997</v>
      </c>
      <c r="R70" s="95">
        <v>1536.35</v>
      </c>
      <c r="S70" s="94">
        <v>1</v>
      </c>
      <c r="T70" s="93">
        <v>494492.97030107508</v>
      </c>
      <c r="U70" s="96">
        <v>1585.6399999999999</v>
      </c>
      <c r="V70" s="102">
        <f>342+1171+619+579</f>
        <v>2711</v>
      </c>
      <c r="W70" s="93">
        <v>28936.79</v>
      </c>
      <c r="X70" s="99">
        <v>72.991</v>
      </c>
      <c r="Y70" s="88">
        <v>172</v>
      </c>
      <c r="Z70" s="93">
        <v>129492</v>
      </c>
      <c r="AA70" s="88">
        <v>139</v>
      </c>
      <c r="AB70" s="93">
        <v>10723381.049999997</v>
      </c>
      <c r="AC70" s="94">
        <v>105</v>
      </c>
      <c r="AD70" s="93">
        <v>3111798.5992580657</v>
      </c>
      <c r="AE70" s="95">
        <v>8751.16</v>
      </c>
      <c r="AF70" s="94">
        <v>6</v>
      </c>
      <c r="AG70" s="90">
        <f>Weather!B238</f>
        <v>57.20000000000001</v>
      </c>
      <c r="AH70" s="90">
        <f>Weather!C238</f>
        <v>50.499999999999979</v>
      </c>
      <c r="AI70" s="90">
        <f>Employment!B70</f>
        <v>6944.1</v>
      </c>
      <c r="AJ70" s="90">
        <f>Employment!C70</f>
        <v>156.6</v>
      </c>
      <c r="AK70" s="130">
        <v>602010.30000000005</v>
      </c>
      <c r="AL70" s="98">
        <f t="shared" si="44"/>
        <v>30</v>
      </c>
      <c r="AM70" s="106">
        <v>21</v>
      </c>
      <c r="AN70" s="90">
        <v>69</v>
      </c>
      <c r="AO70" s="90">
        <f t="shared" ref="AO70:BC70" si="67">AO58</f>
        <v>0</v>
      </c>
      <c r="AP70" s="90">
        <f t="shared" si="67"/>
        <v>0</v>
      </c>
      <c r="AQ70" s="90">
        <f t="shared" si="67"/>
        <v>0</v>
      </c>
      <c r="AR70" s="90">
        <f t="shared" si="67"/>
        <v>0</v>
      </c>
      <c r="AS70" s="90">
        <f t="shared" si="67"/>
        <v>0</v>
      </c>
      <c r="AT70" s="90">
        <f t="shared" si="67"/>
        <v>0</v>
      </c>
      <c r="AU70" s="90">
        <f t="shared" si="67"/>
        <v>0</v>
      </c>
      <c r="AV70" s="90">
        <f t="shared" si="67"/>
        <v>0</v>
      </c>
      <c r="AW70" s="90">
        <f t="shared" si="67"/>
        <v>1</v>
      </c>
      <c r="AX70" s="90">
        <f t="shared" si="67"/>
        <v>0</v>
      </c>
      <c r="AY70" s="90">
        <f t="shared" si="67"/>
        <v>0</v>
      </c>
      <c r="AZ70" s="90">
        <f t="shared" si="67"/>
        <v>0</v>
      </c>
      <c r="BA70" s="90">
        <f t="shared" si="67"/>
        <v>0</v>
      </c>
      <c r="BB70" s="90">
        <f t="shared" si="67"/>
        <v>0</v>
      </c>
      <c r="BC70" s="90">
        <f t="shared" si="67"/>
        <v>0</v>
      </c>
    </row>
    <row r="71" spans="1:55" x14ac:dyDescent="0.3">
      <c r="A71" s="91">
        <v>41913</v>
      </c>
      <c r="B71" s="92">
        <f t="shared" si="61"/>
        <v>2014</v>
      </c>
      <c r="C71" s="93">
        <f>28497337.5916667+967335</f>
        <v>29464672.591666698</v>
      </c>
      <c r="D71" s="93">
        <v>16498969.223520724</v>
      </c>
      <c r="E71" s="93">
        <f ca="1">OFFSET('Historic CDM'!$C$64,0,(ROW()-ROW(E$2))/12)/12</f>
        <v>409691.26556814712</v>
      </c>
      <c r="F71" s="93">
        <f t="shared" ca="1" si="62"/>
        <v>16908660.489088871</v>
      </c>
      <c r="G71" s="94">
        <v>26699</v>
      </c>
      <c r="H71" s="93">
        <f>4704621.86975167+194607.034</f>
        <v>4899228.9037516704</v>
      </c>
      <c r="I71" s="93">
        <f ca="1">OFFSET('Historic CDM'!$C$76,0,(ROW()-ROW(E$2))/12)/12</f>
        <v>195312.06947167395</v>
      </c>
      <c r="J71" s="93">
        <f t="shared" ca="1" si="63"/>
        <v>5094540.9732233444</v>
      </c>
      <c r="K71" s="88">
        <f>1909+22</f>
        <v>1931</v>
      </c>
      <c r="L71" s="93">
        <f>13783867.2641386-Q71</f>
        <v>13738402.941138599</v>
      </c>
      <c r="M71" s="95">
        <f ca="1">OFFSET('Historic CDM'!$C$88,0,(ROW()-ROW(E$2))/12)/12</f>
        <v>443574.7020507566</v>
      </c>
      <c r="N71" s="1">
        <f ca="1">L71+M71-Q71</f>
        <v>14136513.320189355</v>
      </c>
      <c r="O71" s="4">
        <f>9474.09-R71</f>
        <v>9474.09</v>
      </c>
      <c r="P71" s="2">
        <f>215-S71</f>
        <v>214</v>
      </c>
      <c r="Q71" s="93">
        <v>45464.322999999997</v>
      </c>
      <c r="R71" s="101">
        <v>0</v>
      </c>
      <c r="S71" s="94">
        <v>1</v>
      </c>
      <c r="T71" s="93">
        <v>584978.8703440862</v>
      </c>
      <c r="U71" s="100">
        <v>0</v>
      </c>
      <c r="V71" s="102">
        <f>342+1173+620+579</f>
        <v>2714</v>
      </c>
      <c r="W71" s="93">
        <v>28805.119999999999</v>
      </c>
      <c r="X71" s="99">
        <v>72.991</v>
      </c>
      <c r="Y71" s="88">
        <v>172</v>
      </c>
      <c r="Z71" s="93">
        <v>129492</v>
      </c>
      <c r="AA71" s="88">
        <v>139</v>
      </c>
      <c r="AB71" s="93">
        <v>10952960.624999994</v>
      </c>
      <c r="AC71" s="94">
        <v>107</v>
      </c>
      <c r="AD71" s="93">
        <v>2963385.0591290318</v>
      </c>
      <c r="AE71" s="101">
        <v>0</v>
      </c>
      <c r="AF71" s="94">
        <v>6</v>
      </c>
      <c r="AG71" s="90">
        <f>Weather!B239</f>
        <v>179.7</v>
      </c>
      <c r="AH71" s="90">
        <f>Weather!C239</f>
        <v>3.9</v>
      </c>
      <c r="AI71" s="90">
        <f>Employment!B71</f>
        <v>6936.6</v>
      </c>
      <c r="AJ71" s="90">
        <f>Employment!C71</f>
        <v>158.30000000000001</v>
      </c>
      <c r="AK71" s="130">
        <v>602010.30000000005</v>
      </c>
      <c r="AL71" s="98">
        <f t="shared" si="44"/>
        <v>31</v>
      </c>
      <c r="AM71" s="106">
        <v>22</v>
      </c>
      <c r="AN71" s="90">
        <v>70</v>
      </c>
      <c r="AO71" s="90">
        <f t="shared" ref="AO71:BC71" si="68">AO59</f>
        <v>0</v>
      </c>
      <c r="AP71" s="90">
        <f t="shared" si="68"/>
        <v>0</v>
      </c>
      <c r="AQ71" s="90">
        <f t="shared" si="68"/>
        <v>0</v>
      </c>
      <c r="AR71" s="90">
        <f t="shared" si="68"/>
        <v>0</v>
      </c>
      <c r="AS71" s="90">
        <f t="shared" si="68"/>
        <v>0</v>
      </c>
      <c r="AT71" s="90">
        <f t="shared" si="68"/>
        <v>0</v>
      </c>
      <c r="AU71" s="90">
        <f t="shared" si="68"/>
        <v>0</v>
      </c>
      <c r="AV71" s="90">
        <f t="shared" si="68"/>
        <v>0</v>
      </c>
      <c r="AW71" s="90">
        <f t="shared" si="68"/>
        <v>0</v>
      </c>
      <c r="AX71" s="90">
        <f t="shared" si="68"/>
        <v>1</v>
      </c>
      <c r="AY71" s="90">
        <f t="shared" si="68"/>
        <v>0</v>
      </c>
      <c r="AZ71" s="90">
        <f t="shared" si="68"/>
        <v>0</v>
      </c>
      <c r="BA71" s="90">
        <f t="shared" si="68"/>
        <v>0</v>
      </c>
      <c r="BB71" s="90">
        <f t="shared" si="68"/>
        <v>1</v>
      </c>
      <c r="BC71" s="90">
        <f t="shared" si="68"/>
        <v>1</v>
      </c>
    </row>
    <row r="72" spans="1:55" x14ac:dyDescent="0.3">
      <c r="A72" s="91">
        <v>41944</v>
      </c>
      <c r="B72" s="92">
        <f t="shared" si="61"/>
        <v>2014</v>
      </c>
      <c r="C72" s="93">
        <f>31317652.3416666+878259</f>
        <v>32195911.341666602</v>
      </c>
      <c r="D72" s="93">
        <v>18153521.452626154</v>
      </c>
      <c r="E72" s="93">
        <f ca="1">OFFSET('Historic CDM'!$C$64,0,(ROW()-ROW(E$2))/12)/12</f>
        <v>409691.26556814712</v>
      </c>
      <c r="F72" s="93">
        <f t="shared" ca="1" si="62"/>
        <v>18563212.718194302</v>
      </c>
      <c r="G72" s="94">
        <v>26657</v>
      </c>
      <c r="H72" s="93">
        <f>4895209.19302415+231434.229</f>
        <v>5126643.4220241504</v>
      </c>
      <c r="I72" s="93">
        <f ca="1">OFFSET('Historic CDM'!$C$76,0,(ROW()-ROW(E$2))/12)/12</f>
        <v>195312.06947167395</v>
      </c>
      <c r="J72" s="93">
        <f t="shared" ca="1" si="63"/>
        <v>5321955.4914958244</v>
      </c>
      <c r="K72" s="88">
        <f>1894+22</f>
        <v>1916</v>
      </c>
      <c r="L72" s="93">
        <f>13875333.5419237-Q72</f>
        <v>13873911.4279237</v>
      </c>
      <c r="M72" s="95">
        <f ca="1">OFFSET('Historic CDM'!$C$88,0,(ROW()-ROW(E$2))/12)/12</f>
        <v>443574.7020507566</v>
      </c>
      <c r="N72" s="1">
        <f ca="1">L72+M72-Q72</f>
        <v>14316064.015974456</v>
      </c>
      <c r="O72" s="3">
        <f>33904.09-R72</f>
        <v>33904.089999999997</v>
      </c>
      <c r="P72" s="2">
        <f>204-S72</f>
        <v>203</v>
      </c>
      <c r="Q72" s="93">
        <v>1422.114</v>
      </c>
      <c r="R72" s="101">
        <v>0</v>
      </c>
      <c r="S72" s="94">
        <v>1</v>
      </c>
      <c r="T72" s="93">
        <v>615178.17365591379</v>
      </c>
      <c r="U72" s="96">
        <v>1586.1999999999998</v>
      </c>
      <c r="V72" s="102">
        <f>342+1173+620+579</f>
        <v>2714</v>
      </c>
      <c r="W72" s="93">
        <v>28450.35</v>
      </c>
      <c r="X72" s="99">
        <v>72.991</v>
      </c>
      <c r="Y72" s="88">
        <v>172</v>
      </c>
      <c r="Z72" s="93">
        <v>129708</v>
      </c>
      <c r="AA72" s="88">
        <v>141</v>
      </c>
      <c r="AB72" s="93">
        <v>10511825.174999995</v>
      </c>
      <c r="AC72" s="94">
        <v>108</v>
      </c>
      <c r="AD72" s="93">
        <v>3181573.1145376354</v>
      </c>
      <c r="AE72" s="95">
        <v>12248.460000000001</v>
      </c>
      <c r="AF72" s="94">
        <v>6</v>
      </c>
      <c r="AG72" s="90">
        <f>Weather!B240</f>
        <v>442</v>
      </c>
      <c r="AH72" s="90">
        <f>Weather!C240</f>
        <v>0</v>
      </c>
      <c r="AI72" s="90">
        <f>Employment!B72</f>
        <v>6914.3</v>
      </c>
      <c r="AJ72" s="90">
        <f>Employment!C72</f>
        <v>159.30000000000001</v>
      </c>
      <c r="AK72" s="130">
        <v>602010.30000000005</v>
      </c>
      <c r="AL72" s="98">
        <f t="shared" si="44"/>
        <v>30</v>
      </c>
      <c r="AM72" s="106">
        <v>20</v>
      </c>
      <c r="AN72" s="90">
        <v>71</v>
      </c>
      <c r="AO72" s="90">
        <f t="shared" ref="AO72:BC72" si="69">AO60</f>
        <v>0</v>
      </c>
      <c r="AP72" s="90">
        <f t="shared" si="69"/>
        <v>0</v>
      </c>
      <c r="AQ72" s="90">
        <f t="shared" si="69"/>
        <v>0</v>
      </c>
      <c r="AR72" s="90">
        <f t="shared" si="69"/>
        <v>0</v>
      </c>
      <c r="AS72" s="90">
        <f t="shared" si="69"/>
        <v>0</v>
      </c>
      <c r="AT72" s="90">
        <f t="shared" si="69"/>
        <v>0</v>
      </c>
      <c r="AU72" s="90">
        <f t="shared" si="69"/>
        <v>0</v>
      </c>
      <c r="AV72" s="90">
        <f t="shared" si="69"/>
        <v>0</v>
      </c>
      <c r="AW72" s="90">
        <f t="shared" si="69"/>
        <v>0</v>
      </c>
      <c r="AX72" s="90">
        <f t="shared" si="69"/>
        <v>0</v>
      </c>
      <c r="AY72" s="90">
        <f t="shared" si="69"/>
        <v>1</v>
      </c>
      <c r="AZ72" s="90">
        <f t="shared" si="69"/>
        <v>0</v>
      </c>
      <c r="BA72" s="90">
        <f t="shared" si="69"/>
        <v>0</v>
      </c>
      <c r="BB72" s="90">
        <f t="shared" si="69"/>
        <v>1</v>
      </c>
      <c r="BC72" s="90">
        <f t="shared" si="69"/>
        <v>1</v>
      </c>
    </row>
    <row r="73" spans="1:55" x14ac:dyDescent="0.3">
      <c r="A73" s="91">
        <v>41974</v>
      </c>
      <c r="B73" s="92">
        <f t="shared" si="61"/>
        <v>2014</v>
      </c>
      <c r="C73" s="93">
        <f>36550456.9916667+910827</f>
        <v>37461283.991666697</v>
      </c>
      <c r="D73" s="93">
        <v>20562250.661753833</v>
      </c>
      <c r="E73" s="93">
        <f ca="1">OFFSET('Historic CDM'!$C$64,0,(ROW()-ROW(E$2))/12)/12</f>
        <v>409691.26556814712</v>
      </c>
      <c r="F73" s="93">
        <f t="shared" ca="1" si="62"/>
        <v>20971941.927321982</v>
      </c>
      <c r="G73" s="94">
        <v>26632</v>
      </c>
      <c r="H73" s="93">
        <f>5136380.61464962+275673.084</f>
        <v>5412053.6986496197</v>
      </c>
      <c r="I73" s="93">
        <f ca="1">OFFSET('Historic CDM'!$C$76,0,(ROW()-ROW(E$2))/12)/12</f>
        <v>195312.06947167395</v>
      </c>
      <c r="J73" s="93">
        <f t="shared" ca="1" si="63"/>
        <v>5607365.7681212937</v>
      </c>
      <c r="K73" s="88">
        <f>1895+22</f>
        <v>1917</v>
      </c>
      <c r="L73" s="93">
        <f>13953578.9020394-Q73</f>
        <v>13951664.273039399</v>
      </c>
      <c r="M73" s="95">
        <f ca="1">OFFSET('Historic CDM'!$C$88,0,(ROW()-ROW(E$2))/12)/12</f>
        <v>443574.7020507566</v>
      </c>
      <c r="N73" s="1">
        <f ca="1">L73+M73-Q73</f>
        <v>14393324.346090155</v>
      </c>
      <c r="O73" s="3">
        <f>35802.44-R73</f>
        <v>33906.19</v>
      </c>
      <c r="P73" s="2">
        <f>208-S73</f>
        <v>207</v>
      </c>
      <c r="Q73" s="93">
        <v>1914.6289999999999</v>
      </c>
      <c r="R73" s="95">
        <v>1896.25</v>
      </c>
      <c r="S73" s="94">
        <v>1</v>
      </c>
      <c r="T73" s="93">
        <v>673213.40279569884</v>
      </c>
      <c r="U73" s="100">
        <v>0</v>
      </c>
      <c r="V73" s="102">
        <f>342+1171+620+579</f>
        <v>2712</v>
      </c>
      <c r="W73" s="93">
        <v>28723.64</v>
      </c>
      <c r="X73" s="99">
        <v>72.465999999999994</v>
      </c>
      <c r="Y73" s="88">
        <v>172</v>
      </c>
      <c r="Z73" s="93">
        <v>129708</v>
      </c>
      <c r="AA73" s="88">
        <v>141</v>
      </c>
      <c r="AB73" s="93">
        <v>7350885.3750000065</v>
      </c>
      <c r="AC73" s="94">
        <v>108</v>
      </c>
      <c r="AD73" s="93">
        <v>3333306.3464301089</v>
      </c>
      <c r="AE73" s="101">
        <v>54.88</v>
      </c>
      <c r="AF73" s="94">
        <v>6</v>
      </c>
      <c r="AG73" s="90">
        <f>Weather!B241</f>
        <v>513.9</v>
      </c>
      <c r="AH73" s="90">
        <f>Weather!C241</f>
        <v>0</v>
      </c>
      <c r="AI73" s="90">
        <f>Employment!B73</f>
        <v>6903.2</v>
      </c>
      <c r="AJ73" s="90">
        <f>Employment!C73</f>
        <v>161.1</v>
      </c>
      <c r="AK73" s="130">
        <v>602010.30000000005</v>
      </c>
      <c r="AL73" s="98">
        <f t="shared" si="44"/>
        <v>31</v>
      </c>
      <c r="AM73" s="106">
        <v>21</v>
      </c>
      <c r="AN73" s="90">
        <v>72</v>
      </c>
      <c r="AO73" s="90">
        <f t="shared" ref="AO73:BC73" si="70">AO61</f>
        <v>0</v>
      </c>
      <c r="AP73" s="90">
        <f t="shared" si="70"/>
        <v>0</v>
      </c>
      <c r="AQ73" s="90">
        <f t="shared" si="70"/>
        <v>0</v>
      </c>
      <c r="AR73" s="90">
        <f t="shared" si="70"/>
        <v>0</v>
      </c>
      <c r="AS73" s="90">
        <f t="shared" si="70"/>
        <v>0</v>
      </c>
      <c r="AT73" s="90">
        <f t="shared" si="70"/>
        <v>0</v>
      </c>
      <c r="AU73" s="90">
        <f t="shared" si="70"/>
        <v>0</v>
      </c>
      <c r="AV73" s="90">
        <f t="shared" si="70"/>
        <v>0</v>
      </c>
      <c r="AW73" s="90">
        <f t="shared" si="70"/>
        <v>0</v>
      </c>
      <c r="AX73" s="90">
        <f t="shared" si="70"/>
        <v>0</v>
      </c>
      <c r="AY73" s="90">
        <f t="shared" si="70"/>
        <v>0</v>
      </c>
      <c r="AZ73" s="90">
        <f t="shared" si="70"/>
        <v>1</v>
      </c>
      <c r="BA73" s="90">
        <f t="shared" si="70"/>
        <v>0</v>
      </c>
      <c r="BB73" s="90">
        <f t="shared" si="70"/>
        <v>0</v>
      </c>
      <c r="BC73" s="90">
        <f t="shared" si="70"/>
        <v>0</v>
      </c>
    </row>
    <row r="74" spans="1:55" x14ac:dyDescent="0.3">
      <c r="A74" s="91">
        <v>42005</v>
      </c>
      <c r="B74" s="92">
        <f t="shared" si="61"/>
        <v>2015</v>
      </c>
      <c r="C74" s="93">
        <f>37101139.8333333+885078</f>
        <v>37986217.833333299</v>
      </c>
      <c r="D74" s="93">
        <v>21144902.536918789</v>
      </c>
      <c r="E74" s="93">
        <f ca="1">OFFSET('Historic CDM'!$C$64,0,(ROW()-ROW(E$2))/12)/12</f>
        <v>501265.59768422303</v>
      </c>
      <c r="F74" s="93">
        <f t="shared" ca="1" si="62"/>
        <v>21646168.134603012</v>
      </c>
      <c r="G74" s="94">
        <v>26696</v>
      </c>
      <c r="H74" s="93">
        <f>5493441.55321127+294355.614</f>
        <v>5787797.16721127</v>
      </c>
      <c r="I74" s="93">
        <f ca="1">OFFSET('Historic CDM'!$C$76,0,(ROW()-ROW(E$2))/12)/12</f>
        <v>350857.72791108629</v>
      </c>
      <c r="J74" s="93">
        <f t="shared" ca="1" si="63"/>
        <v>6138654.8951223567</v>
      </c>
      <c r="K74" s="88">
        <f>1911+22</f>
        <v>1933</v>
      </c>
      <c r="L74" s="93">
        <f>14432946.4439258-Q74</f>
        <v>14382674.0819258</v>
      </c>
      <c r="M74" s="95">
        <f ca="1">OFFSET('Historic CDM'!$C$88,0,(ROW()-ROW(E$2))/12)/12</f>
        <v>845370.26307037659</v>
      </c>
      <c r="N74" s="1">
        <f ca="1">L74+M74-Q74</f>
        <v>15177771.982996177</v>
      </c>
      <c r="O74" s="3">
        <f>34483.97-R74</f>
        <v>32214.21</v>
      </c>
      <c r="P74" s="2">
        <f>211-S74</f>
        <v>210</v>
      </c>
      <c r="Q74" s="93">
        <v>50272.362000000001</v>
      </c>
      <c r="R74" s="95">
        <v>2269.7600000000002</v>
      </c>
      <c r="S74" s="94">
        <v>1</v>
      </c>
      <c r="T74" s="93">
        <v>663671.72387096775</v>
      </c>
      <c r="U74" s="96">
        <v>1584.98</v>
      </c>
      <c r="V74" s="102">
        <f>342+1171+620+579</f>
        <v>2712</v>
      </c>
      <c r="W74" s="93">
        <v>28562.35</v>
      </c>
      <c r="X74" s="99">
        <v>73.771000000000001</v>
      </c>
      <c r="Y74" s="88">
        <v>175</v>
      </c>
      <c r="Z74" s="93">
        <v>129846</v>
      </c>
      <c r="AA74" s="88">
        <v>141</v>
      </c>
      <c r="AB74" s="93">
        <v>9518965.0249999929</v>
      </c>
      <c r="AC74" s="94">
        <v>110</v>
      </c>
      <c r="AD74" s="93">
        <v>3747991.6729032253</v>
      </c>
      <c r="AE74" s="95">
        <v>8216.33</v>
      </c>
      <c r="AF74" s="94">
        <v>6</v>
      </c>
      <c r="AG74" s="90">
        <f>Weather!B242</f>
        <v>724.69999999999982</v>
      </c>
      <c r="AH74" s="90">
        <f>Weather!C242</f>
        <v>0</v>
      </c>
      <c r="AI74" s="90">
        <f>Employment!B74</f>
        <v>6845.1</v>
      </c>
      <c r="AJ74" s="90">
        <f>Employment!C74</f>
        <v>159.30000000000001</v>
      </c>
      <c r="AK74" s="130">
        <v>617456.5</v>
      </c>
      <c r="AL74" s="98">
        <f t="shared" si="44"/>
        <v>31</v>
      </c>
      <c r="AM74" s="106">
        <v>21</v>
      </c>
      <c r="AN74" s="90">
        <v>73</v>
      </c>
      <c r="AO74" s="90">
        <f t="shared" ref="AO74:BC74" si="71">AO62</f>
        <v>1</v>
      </c>
      <c r="AP74" s="90">
        <f t="shared" si="71"/>
        <v>0</v>
      </c>
      <c r="AQ74" s="90">
        <f t="shared" si="71"/>
        <v>0</v>
      </c>
      <c r="AR74" s="90">
        <f t="shared" si="71"/>
        <v>0</v>
      </c>
      <c r="AS74" s="90">
        <f t="shared" si="71"/>
        <v>0</v>
      </c>
      <c r="AT74" s="90">
        <f t="shared" si="71"/>
        <v>0</v>
      </c>
      <c r="AU74" s="90">
        <f t="shared" si="71"/>
        <v>0</v>
      </c>
      <c r="AV74" s="90">
        <f t="shared" si="71"/>
        <v>0</v>
      </c>
      <c r="AW74" s="90">
        <f t="shared" si="71"/>
        <v>0</v>
      </c>
      <c r="AX74" s="90">
        <f t="shared" si="71"/>
        <v>0</v>
      </c>
      <c r="AY74" s="90">
        <f t="shared" si="71"/>
        <v>0</v>
      </c>
      <c r="AZ74" s="90">
        <f t="shared" si="71"/>
        <v>0</v>
      </c>
      <c r="BA74" s="90">
        <f t="shared" si="71"/>
        <v>0</v>
      </c>
      <c r="BB74" s="90">
        <f t="shared" si="71"/>
        <v>0</v>
      </c>
      <c r="BC74" s="90">
        <f t="shared" si="71"/>
        <v>0</v>
      </c>
    </row>
    <row r="75" spans="1:55" x14ac:dyDescent="0.3">
      <c r="A75" s="91">
        <v>42036</v>
      </c>
      <c r="B75" s="92">
        <f t="shared" si="61"/>
        <v>2015</v>
      </c>
      <c r="C75" s="93">
        <f>32855830.2583334+786287</f>
        <v>33642117.2583334</v>
      </c>
      <c r="D75" s="93">
        <v>18981596.480313338</v>
      </c>
      <c r="E75" s="93">
        <f ca="1">OFFSET('Historic CDM'!$C$64,0,(ROW()-ROW(E$2))/12)/12</f>
        <v>501265.59768422303</v>
      </c>
      <c r="F75" s="93">
        <f t="shared" ca="1" si="62"/>
        <v>19482862.077997562</v>
      </c>
      <c r="G75" s="94">
        <v>26689</v>
      </c>
      <c r="H75" s="93">
        <f>5124600.0122406+289490.352</f>
        <v>5414090.3642405998</v>
      </c>
      <c r="I75" s="93">
        <f ca="1">OFFSET('Historic CDM'!$C$76,0,(ROW()-ROW(E$2))/12)/12</f>
        <v>350857.72791108629</v>
      </c>
      <c r="J75" s="93">
        <f t="shared" ca="1" si="63"/>
        <v>5764948.0921516865</v>
      </c>
      <c r="K75" s="88">
        <f>1914+22</f>
        <v>1936</v>
      </c>
      <c r="L75" s="93">
        <f>12761674.9236474-Q75</f>
        <v>12760001.305647399</v>
      </c>
      <c r="M75" s="95">
        <f ca="1">OFFSET('Historic CDM'!$C$88,0,(ROW()-ROW(E$2))/12)/12</f>
        <v>845370.26307037659</v>
      </c>
      <c r="N75" s="1">
        <f ca="1">L75+M75-Q75</f>
        <v>13603697.950717775</v>
      </c>
      <c r="O75" s="3">
        <f>36312.48-R75</f>
        <v>34206.710000000006</v>
      </c>
      <c r="P75" s="2">
        <f>210-S75</f>
        <v>209</v>
      </c>
      <c r="Q75" s="93">
        <v>1673.6179999999999</v>
      </c>
      <c r="R75" s="95">
        <v>2105.77</v>
      </c>
      <c r="S75" s="94">
        <v>1</v>
      </c>
      <c r="T75" s="93">
        <v>596898.43999999994</v>
      </c>
      <c r="U75" s="96">
        <v>1583.46</v>
      </c>
      <c r="V75" s="102">
        <f>342+1169+622+578</f>
        <v>2711</v>
      </c>
      <c r="W75" s="93">
        <v>25375.119999999999</v>
      </c>
      <c r="X75" s="99">
        <v>73.575999999999993</v>
      </c>
      <c r="Y75" s="88">
        <v>175</v>
      </c>
      <c r="Z75" s="93">
        <v>129846</v>
      </c>
      <c r="AA75" s="88">
        <v>141</v>
      </c>
      <c r="AB75" s="93">
        <v>10020039.149999985</v>
      </c>
      <c r="AC75" s="94">
        <v>110</v>
      </c>
      <c r="AD75" s="93">
        <v>3564671.3903571423</v>
      </c>
      <c r="AE75" s="95">
        <v>8552.2599999999984</v>
      </c>
      <c r="AF75" s="94">
        <v>6</v>
      </c>
      <c r="AG75" s="90">
        <f>Weather!B243</f>
        <v>757.39999999999986</v>
      </c>
      <c r="AH75" s="90">
        <f>Weather!C243</f>
        <v>0</v>
      </c>
      <c r="AI75" s="90">
        <f>Employment!B75</f>
        <v>6810.3</v>
      </c>
      <c r="AJ75" s="90">
        <f>Employment!C75</f>
        <v>159.1</v>
      </c>
      <c r="AK75" s="130">
        <v>617456.5</v>
      </c>
      <c r="AL75" s="98">
        <f t="shared" si="44"/>
        <v>28</v>
      </c>
      <c r="AM75" s="106">
        <v>19</v>
      </c>
      <c r="AN75" s="90">
        <v>74</v>
      </c>
      <c r="AO75" s="90">
        <f t="shared" ref="AO75:BC75" si="72">AO63</f>
        <v>0</v>
      </c>
      <c r="AP75" s="90">
        <f t="shared" si="72"/>
        <v>1</v>
      </c>
      <c r="AQ75" s="90">
        <f t="shared" si="72"/>
        <v>0</v>
      </c>
      <c r="AR75" s="90">
        <f t="shared" si="72"/>
        <v>0</v>
      </c>
      <c r="AS75" s="90">
        <f t="shared" si="72"/>
        <v>0</v>
      </c>
      <c r="AT75" s="90">
        <f t="shared" si="72"/>
        <v>0</v>
      </c>
      <c r="AU75" s="90">
        <f t="shared" si="72"/>
        <v>0</v>
      </c>
      <c r="AV75" s="90">
        <f t="shared" si="72"/>
        <v>0</v>
      </c>
      <c r="AW75" s="90">
        <f t="shared" si="72"/>
        <v>0</v>
      </c>
      <c r="AX75" s="90">
        <f t="shared" si="72"/>
        <v>0</v>
      </c>
      <c r="AY75" s="90">
        <f t="shared" si="72"/>
        <v>0</v>
      </c>
      <c r="AZ75" s="90">
        <f t="shared" si="72"/>
        <v>0</v>
      </c>
      <c r="BA75" s="90">
        <f t="shared" si="72"/>
        <v>0</v>
      </c>
      <c r="BB75" s="90">
        <f t="shared" si="72"/>
        <v>0</v>
      </c>
      <c r="BC75" s="90">
        <f t="shared" si="72"/>
        <v>0</v>
      </c>
    </row>
    <row r="76" spans="1:55" x14ac:dyDescent="0.3">
      <c r="A76" s="91">
        <v>42064</v>
      </c>
      <c r="B76" s="92">
        <f t="shared" si="61"/>
        <v>2015</v>
      </c>
      <c r="C76" s="93">
        <f>29464934.025+890807</f>
        <v>30355741.024999999</v>
      </c>
      <c r="D76" s="93">
        <v>18468773.038460109</v>
      </c>
      <c r="E76" s="93">
        <f ca="1">OFFSET('Historic CDM'!$C$64,0,(ROW()-ROW(E$2))/12)/12</f>
        <v>501265.59768422303</v>
      </c>
      <c r="F76" s="93">
        <f t="shared" ca="1" si="62"/>
        <v>18970038.636144333</v>
      </c>
      <c r="G76" s="94">
        <v>26693</v>
      </c>
      <c r="H76" s="93">
        <f>5192414.16928117+334017.949</f>
        <v>5526432.1182811698</v>
      </c>
      <c r="I76" s="93">
        <f ca="1">OFFSET('Historic CDM'!$C$76,0,(ROW()-ROW(E$2))/12)/12</f>
        <v>350857.72791108629</v>
      </c>
      <c r="J76" s="93">
        <f t="shared" ca="1" si="63"/>
        <v>5877289.8461922556</v>
      </c>
      <c r="K76" s="88">
        <f>1898+24</f>
        <v>1922</v>
      </c>
      <c r="L76" s="93">
        <f>13288528.0041637-Q76</f>
        <v>13288528.004163699</v>
      </c>
      <c r="M76" s="95">
        <f ca="1">OFFSET('Historic CDM'!$C$88,0,(ROW()-ROW(E$2))/12)/12</f>
        <v>845370.26307037659</v>
      </c>
      <c r="N76" s="1">
        <f ca="1">L76+M76-Q76</f>
        <v>14133898.267234076</v>
      </c>
      <c r="O76" s="3">
        <f>33050.21-R76</f>
        <v>33050.21</v>
      </c>
      <c r="P76" s="2">
        <f>209-S76</f>
        <v>209</v>
      </c>
      <c r="Q76" s="93">
        <v>0</v>
      </c>
      <c r="R76" s="95">
        <v>0</v>
      </c>
      <c r="S76" s="94">
        <v>0</v>
      </c>
      <c r="T76" s="93">
        <v>556096.50516129029</v>
      </c>
      <c r="U76" s="96">
        <v>1578.88</v>
      </c>
      <c r="V76" s="102">
        <f>342+1169+622+578</f>
        <v>2711</v>
      </c>
      <c r="W76" s="93">
        <v>31348.16</v>
      </c>
      <c r="X76" s="99">
        <v>73.381</v>
      </c>
      <c r="Y76" s="88">
        <v>174</v>
      </c>
      <c r="Z76" s="93">
        <v>129846</v>
      </c>
      <c r="AA76" s="88">
        <v>141</v>
      </c>
      <c r="AB76" s="93">
        <v>12587058.849999994</v>
      </c>
      <c r="AC76" s="94">
        <v>111</v>
      </c>
      <c r="AD76" s="93">
        <v>3449912.4741589865</v>
      </c>
      <c r="AE76" s="95">
        <v>8104.84</v>
      </c>
      <c r="AF76" s="94">
        <v>6</v>
      </c>
      <c r="AG76" s="90">
        <f>Weather!B244</f>
        <v>508.7</v>
      </c>
      <c r="AH76" s="90">
        <f>Weather!C244</f>
        <v>0</v>
      </c>
      <c r="AI76" s="90">
        <f>Employment!B76</f>
        <v>6783.7</v>
      </c>
      <c r="AJ76" s="90">
        <f>Employment!C76</f>
        <v>156.1</v>
      </c>
      <c r="AK76" s="130">
        <v>617456.5</v>
      </c>
      <c r="AL76" s="98">
        <f t="shared" si="44"/>
        <v>31</v>
      </c>
      <c r="AM76" s="106">
        <v>22</v>
      </c>
      <c r="AN76" s="90">
        <v>75</v>
      </c>
      <c r="AO76" s="90">
        <f t="shared" ref="AO76:BC76" si="73">AO64</f>
        <v>0</v>
      </c>
      <c r="AP76" s="90">
        <f t="shared" si="73"/>
        <v>0</v>
      </c>
      <c r="AQ76" s="90">
        <f t="shared" si="73"/>
        <v>1</v>
      </c>
      <c r="AR76" s="90">
        <f t="shared" si="73"/>
        <v>0</v>
      </c>
      <c r="AS76" s="90">
        <f t="shared" si="73"/>
        <v>0</v>
      </c>
      <c r="AT76" s="90">
        <f t="shared" si="73"/>
        <v>0</v>
      </c>
      <c r="AU76" s="90">
        <f t="shared" si="73"/>
        <v>0</v>
      </c>
      <c r="AV76" s="90">
        <f t="shared" si="73"/>
        <v>0</v>
      </c>
      <c r="AW76" s="90">
        <f t="shared" si="73"/>
        <v>0</v>
      </c>
      <c r="AX76" s="90">
        <f t="shared" si="73"/>
        <v>0</v>
      </c>
      <c r="AY76" s="90">
        <f t="shared" si="73"/>
        <v>0</v>
      </c>
      <c r="AZ76" s="90">
        <f t="shared" si="73"/>
        <v>0</v>
      </c>
      <c r="BA76" s="90">
        <f t="shared" si="73"/>
        <v>1</v>
      </c>
      <c r="BB76" s="90">
        <f t="shared" si="73"/>
        <v>0</v>
      </c>
      <c r="BC76" s="90">
        <f t="shared" si="73"/>
        <v>1</v>
      </c>
    </row>
    <row r="77" spans="1:55" x14ac:dyDescent="0.3">
      <c r="A77" s="91">
        <v>42095</v>
      </c>
      <c r="B77" s="92">
        <f t="shared" si="61"/>
        <v>2015</v>
      </c>
      <c r="C77" s="93">
        <f>26156212.9333333+895865</f>
        <v>27052077.9333333</v>
      </c>
      <c r="D77" s="93">
        <v>15860000.307653211</v>
      </c>
      <c r="E77" s="93">
        <f ca="1">OFFSET('Historic CDM'!$C$64,0,(ROW()-ROW(E$2))/12)/12</f>
        <v>501265.59768422303</v>
      </c>
      <c r="F77" s="93">
        <f t="shared" ca="1" si="62"/>
        <v>16361265.905337434</v>
      </c>
      <c r="G77" s="94">
        <v>26705</v>
      </c>
      <c r="H77" s="93">
        <f>4602737.43310704+303058.771</f>
        <v>4905796.2041070396</v>
      </c>
      <c r="I77" s="93">
        <f ca="1">OFFSET('Historic CDM'!$C$76,0,(ROW()-ROW(E$2))/12)/12</f>
        <v>350857.72791108629</v>
      </c>
      <c r="J77" s="93">
        <f t="shared" ca="1" si="63"/>
        <v>5256653.9320181254</v>
      </c>
      <c r="K77" s="88">
        <f>1908+25</f>
        <v>1933</v>
      </c>
      <c r="L77" s="93">
        <f>12590304.3127611-Q77</f>
        <v>12590304.3127611</v>
      </c>
      <c r="M77" s="95">
        <f ca="1">OFFSET('Historic CDM'!$C$88,0,(ROW()-ROW(E$2))/12)/12</f>
        <v>845370.26307037659</v>
      </c>
      <c r="N77" s="1">
        <f ca="1">L77+M77-Q77</f>
        <v>13435674.575831477</v>
      </c>
      <c r="O77" s="3">
        <f>36905.54-R77</f>
        <v>36905.54</v>
      </c>
      <c r="P77" s="2">
        <f>209-S77</f>
        <v>209</v>
      </c>
      <c r="Q77" s="93">
        <v>0</v>
      </c>
      <c r="R77" s="95">
        <v>0</v>
      </c>
      <c r="S77" s="94">
        <v>0</v>
      </c>
      <c r="T77" s="93">
        <v>466543.74117204297</v>
      </c>
      <c r="U77" s="96">
        <v>1578.88</v>
      </c>
      <c r="V77" s="102">
        <f>342+1169+622+578</f>
        <v>2711</v>
      </c>
      <c r="W77" s="93">
        <v>28925.040000000001</v>
      </c>
      <c r="X77" s="99">
        <v>73.381</v>
      </c>
      <c r="Y77" s="88">
        <v>174</v>
      </c>
      <c r="Z77" s="93">
        <v>129846</v>
      </c>
      <c r="AA77" s="88">
        <v>141</v>
      </c>
      <c r="AB77" s="93">
        <v>11348000.475000009</v>
      </c>
      <c r="AC77" s="94">
        <v>122</v>
      </c>
      <c r="AD77" s="93">
        <v>3013820.8871505372</v>
      </c>
      <c r="AE77" s="95">
        <v>7557.72</v>
      </c>
      <c r="AF77" s="94">
        <v>6</v>
      </c>
      <c r="AG77" s="90">
        <f>Weather!B245</f>
        <v>257.39999999999992</v>
      </c>
      <c r="AH77" s="90">
        <f>Weather!C245</f>
        <v>0</v>
      </c>
      <c r="AI77" s="90">
        <f>Employment!B77</f>
        <v>6805.6</v>
      </c>
      <c r="AJ77" s="90">
        <f>Employment!C77</f>
        <v>156.4</v>
      </c>
      <c r="AK77" s="130">
        <v>617456.5</v>
      </c>
      <c r="AL77" s="98">
        <f t="shared" si="44"/>
        <v>30</v>
      </c>
      <c r="AM77" s="106">
        <v>20</v>
      </c>
      <c r="AN77" s="90">
        <v>76</v>
      </c>
      <c r="AO77" s="90">
        <f t="shared" ref="AO77:BC77" si="74">AO65</f>
        <v>0</v>
      </c>
      <c r="AP77" s="90">
        <f t="shared" si="74"/>
        <v>0</v>
      </c>
      <c r="AQ77" s="90">
        <f t="shared" si="74"/>
        <v>0</v>
      </c>
      <c r="AR77" s="90">
        <f t="shared" si="74"/>
        <v>1</v>
      </c>
      <c r="AS77" s="90">
        <f t="shared" si="74"/>
        <v>0</v>
      </c>
      <c r="AT77" s="90">
        <f t="shared" si="74"/>
        <v>0</v>
      </c>
      <c r="AU77" s="90">
        <f t="shared" si="74"/>
        <v>0</v>
      </c>
      <c r="AV77" s="90">
        <f t="shared" si="74"/>
        <v>0</v>
      </c>
      <c r="AW77" s="90">
        <f t="shared" si="74"/>
        <v>0</v>
      </c>
      <c r="AX77" s="90">
        <f t="shared" si="74"/>
        <v>0</v>
      </c>
      <c r="AY77" s="90">
        <f t="shared" si="74"/>
        <v>0</v>
      </c>
      <c r="AZ77" s="90">
        <f t="shared" si="74"/>
        <v>0</v>
      </c>
      <c r="BA77" s="90">
        <f t="shared" si="74"/>
        <v>1</v>
      </c>
      <c r="BB77" s="90">
        <f t="shared" si="74"/>
        <v>0</v>
      </c>
      <c r="BC77" s="90">
        <f t="shared" si="74"/>
        <v>1</v>
      </c>
    </row>
    <row r="78" spans="1:55" x14ac:dyDescent="0.3">
      <c r="A78" s="91">
        <v>42125</v>
      </c>
      <c r="B78" s="92">
        <f t="shared" si="61"/>
        <v>2015</v>
      </c>
      <c r="C78" s="93">
        <f>29234027.5166667+1032506</f>
        <v>30266533.516666699</v>
      </c>
      <c r="D78" s="93">
        <v>18146670.997808222</v>
      </c>
      <c r="E78" s="93">
        <f ca="1">OFFSET('Historic CDM'!$C$64,0,(ROW()-ROW(E$2))/12)/12</f>
        <v>501265.59768422303</v>
      </c>
      <c r="F78" s="93">
        <f t="shared" ca="1" si="62"/>
        <v>18647936.595492445</v>
      </c>
      <c r="G78" s="94">
        <v>26784</v>
      </c>
      <c r="H78" s="93">
        <f>4927693.58068249+245333.49</f>
        <v>5173027.0706824902</v>
      </c>
      <c r="I78" s="93">
        <f ca="1">OFFSET('Historic CDM'!$C$76,0,(ROW()-ROW(E$2))/12)/12</f>
        <v>350857.72791108629</v>
      </c>
      <c r="J78" s="93">
        <f t="shared" ca="1" si="63"/>
        <v>5523884.798593577</v>
      </c>
      <c r="K78" s="88">
        <f>1914+24</f>
        <v>1938</v>
      </c>
      <c r="L78" s="93">
        <f>13166429.8753755-Q78</f>
        <v>13166429.8753755</v>
      </c>
      <c r="M78" s="95">
        <f ca="1">OFFSET('Historic CDM'!$C$88,0,(ROW()-ROW(E$2))/12)/12</f>
        <v>845370.26307037659</v>
      </c>
      <c r="N78" s="1">
        <f ca="1">L78+M78-Q78</f>
        <v>14011800.138445877</v>
      </c>
      <c r="O78" s="3">
        <f>38440.32-R78</f>
        <v>38440.32</v>
      </c>
      <c r="P78" s="2">
        <f>209-S78</f>
        <v>209</v>
      </c>
      <c r="Q78" s="93">
        <v>0</v>
      </c>
      <c r="R78" s="95">
        <v>0</v>
      </c>
      <c r="S78" s="94">
        <v>0</v>
      </c>
      <c r="T78" s="93">
        <v>418301.06237634399</v>
      </c>
      <c r="U78" s="96">
        <v>1577.22</v>
      </c>
      <c r="V78" s="102">
        <f>342+1170+616+566</f>
        <v>2694</v>
      </c>
      <c r="W78" s="93">
        <v>28223.26</v>
      </c>
      <c r="X78" s="99">
        <v>73.381</v>
      </c>
      <c r="Y78" s="88">
        <v>174</v>
      </c>
      <c r="Z78" s="93">
        <v>129846</v>
      </c>
      <c r="AA78" s="88">
        <v>141</v>
      </c>
      <c r="AB78" s="93">
        <v>10912242.225000003</v>
      </c>
      <c r="AC78" s="94">
        <v>122</v>
      </c>
      <c r="AD78" s="93">
        <v>2960403.2767204312</v>
      </c>
      <c r="AE78" s="95">
        <v>7989.75</v>
      </c>
      <c r="AF78" s="94">
        <v>6</v>
      </c>
      <c r="AG78" s="90">
        <f>Weather!B246</f>
        <v>68.7</v>
      </c>
      <c r="AH78" s="90">
        <f>Weather!C246</f>
        <v>64.099999999999994</v>
      </c>
      <c r="AI78" s="90">
        <f>Employment!B78</f>
        <v>6870.9</v>
      </c>
      <c r="AJ78" s="90">
        <f>Employment!C78</f>
        <v>159.1</v>
      </c>
      <c r="AK78" s="130">
        <v>617456.5</v>
      </c>
      <c r="AL78" s="98">
        <f t="shared" si="44"/>
        <v>31</v>
      </c>
      <c r="AM78" s="106">
        <v>20</v>
      </c>
      <c r="AN78" s="90">
        <v>77</v>
      </c>
      <c r="AO78" s="90">
        <f t="shared" ref="AO78:BC78" si="75">AO66</f>
        <v>0</v>
      </c>
      <c r="AP78" s="90">
        <f t="shared" si="75"/>
        <v>0</v>
      </c>
      <c r="AQ78" s="90">
        <f t="shared" si="75"/>
        <v>0</v>
      </c>
      <c r="AR78" s="90">
        <f t="shared" si="75"/>
        <v>0</v>
      </c>
      <c r="AS78" s="90">
        <f t="shared" si="75"/>
        <v>1</v>
      </c>
      <c r="AT78" s="90">
        <f t="shared" si="75"/>
        <v>0</v>
      </c>
      <c r="AU78" s="90">
        <f t="shared" si="75"/>
        <v>0</v>
      </c>
      <c r="AV78" s="90">
        <f t="shared" si="75"/>
        <v>0</v>
      </c>
      <c r="AW78" s="90">
        <f t="shared" si="75"/>
        <v>0</v>
      </c>
      <c r="AX78" s="90">
        <f t="shared" si="75"/>
        <v>0</v>
      </c>
      <c r="AY78" s="90">
        <f t="shared" si="75"/>
        <v>0</v>
      </c>
      <c r="AZ78" s="90">
        <f t="shared" si="75"/>
        <v>0</v>
      </c>
      <c r="BA78" s="90">
        <f t="shared" si="75"/>
        <v>1</v>
      </c>
      <c r="BB78" s="90">
        <f t="shared" si="75"/>
        <v>0</v>
      </c>
      <c r="BC78" s="90">
        <f t="shared" si="75"/>
        <v>1</v>
      </c>
    </row>
    <row r="79" spans="1:55" x14ac:dyDescent="0.3">
      <c r="A79" s="91">
        <v>42156</v>
      </c>
      <c r="B79" s="92">
        <f t="shared" si="61"/>
        <v>2015</v>
      </c>
      <c r="C79" s="93">
        <f>36453831.3916667+1045403</f>
        <v>37499234.391666703</v>
      </c>
      <c r="D79" s="93">
        <v>21678045.174554426</v>
      </c>
      <c r="E79" s="93">
        <f ca="1">OFFSET('Historic CDM'!$C$64,0,(ROW()-ROW(E$2))/12)/12</f>
        <v>501265.59768422303</v>
      </c>
      <c r="F79" s="93">
        <f t="shared" ca="1" si="62"/>
        <v>22179310.772238649</v>
      </c>
      <c r="G79" s="94">
        <v>26847</v>
      </c>
      <c r="H79" s="93">
        <f>5197417.04087498+263188.794</f>
        <v>5460605.8348749802</v>
      </c>
      <c r="I79" s="93">
        <f ca="1">OFFSET('Historic CDM'!$C$76,0,(ROW()-ROW(E$2))/12)/12</f>
        <v>350857.72791108629</v>
      </c>
      <c r="J79" s="93">
        <f t="shared" ca="1" si="63"/>
        <v>5811463.5627860669</v>
      </c>
      <c r="K79" s="88">
        <f>1912+23</f>
        <v>1935</v>
      </c>
      <c r="L79" s="93">
        <f>13859094.1055026-Q79</f>
        <v>13859094.1055026</v>
      </c>
      <c r="M79" s="95">
        <f ca="1">OFFSET('Historic CDM'!$C$88,0,(ROW()-ROW(E$2))/12)/12</f>
        <v>845370.26307037659</v>
      </c>
      <c r="N79" s="1">
        <f ca="1">L79+M79-Q79</f>
        <v>14704464.368572976</v>
      </c>
      <c r="O79" s="3">
        <f>41486.72-R79</f>
        <v>41486.720000000001</v>
      </c>
      <c r="P79" s="2">
        <f>210-S79</f>
        <v>210</v>
      </c>
      <c r="Q79" s="93">
        <v>0</v>
      </c>
      <c r="R79" s="95">
        <v>0</v>
      </c>
      <c r="S79" s="94">
        <v>0</v>
      </c>
      <c r="T79" s="93">
        <v>367932.77495698922</v>
      </c>
      <c r="U79" s="96">
        <v>1572.26</v>
      </c>
      <c r="V79" s="102">
        <f>342+1170+616+566</f>
        <v>2694</v>
      </c>
      <c r="W79" s="93">
        <v>28389.27</v>
      </c>
      <c r="X79" s="99">
        <v>73.381</v>
      </c>
      <c r="Y79" s="88">
        <v>174</v>
      </c>
      <c r="Z79" s="93">
        <v>129846</v>
      </c>
      <c r="AA79" s="88">
        <v>141</v>
      </c>
      <c r="AB79" s="93">
        <v>9436155.7999999989</v>
      </c>
      <c r="AC79" s="94">
        <v>122</v>
      </c>
      <c r="AD79" s="93">
        <v>3221522.3712795703</v>
      </c>
      <c r="AE79" s="95">
        <v>8550.31</v>
      </c>
      <c r="AF79" s="94">
        <v>6</v>
      </c>
      <c r="AG79" s="90">
        <f>Weather!B247</f>
        <v>13.1</v>
      </c>
      <c r="AH79" s="90">
        <f>Weather!C247</f>
        <v>89.59999999999998</v>
      </c>
      <c r="AI79" s="90">
        <f>Employment!B79</f>
        <v>6965.8</v>
      </c>
      <c r="AJ79" s="90">
        <f>Employment!C79</f>
        <v>163.9</v>
      </c>
      <c r="AK79" s="130">
        <v>617456.5</v>
      </c>
      <c r="AL79" s="98">
        <f t="shared" si="44"/>
        <v>30</v>
      </c>
      <c r="AM79" s="106">
        <v>22</v>
      </c>
      <c r="AN79" s="90">
        <v>78</v>
      </c>
      <c r="AO79" s="90">
        <f t="shared" ref="AO79:BC79" si="76">AO67</f>
        <v>0</v>
      </c>
      <c r="AP79" s="90">
        <f t="shared" si="76"/>
        <v>0</v>
      </c>
      <c r="AQ79" s="90">
        <f t="shared" si="76"/>
        <v>0</v>
      </c>
      <c r="AR79" s="90">
        <f t="shared" si="76"/>
        <v>0</v>
      </c>
      <c r="AS79" s="90">
        <f t="shared" si="76"/>
        <v>0</v>
      </c>
      <c r="AT79" s="90">
        <f t="shared" si="76"/>
        <v>1</v>
      </c>
      <c r="AU79" s="90">
        <f t="shared" si="76"/>
        <v>0</v>
      </c>
      <c r="AV79" s="90">
        <f t="shared" si="76"/>
        <v>0</v>
      </c>
      <c r="AW79" s="90">
        <f t="shared" si="76"/>
        <v>0</v>
      </c>
      <c r="AX79" s="90">
        <f t="shared" si="76"/>
        <v>0</v>
      </c>
      <c r="AY79" s="90">
        <f t="shared" si="76"/>
        <v>0</v>
      </c>
      <c r="AZ79" s="90">
        <f t="shared" si="76"/>
        <v>0</v>
      </c>
      <c r="BA79" s="90">
        <f t="shared" si="76"/>
        <v>0</v>
      </c>
      <c r="BB79" s="90">
        <f t="shared" si="76"/>
        <v>0</v>
      </c>
      <c r="BC79" s="90">
        <f t="shared" si="76"/>
        <v>0</v>
      </c>
    </row>
    <row r="80" spans="1:55" x14ac:dyDescent="0.3">
      <c r="A80" s="91">
        <v>42186</v>
      </c>
      <c r="B80" s="92">
        <f t="shared" si="61"/>
        <v>2015</v>
      </c>
      <c r="C80" s="93">
        <f>46760067.5583333+1127449</f>
        <v>47887516.5583333</v>
      </c>
      <c r="D80" s="93">
        <v>27487968.266794369</v>
      </c>
      <c r="E80" s="93">
        <f ca="1">OFFSET('Historic CDM'!$C$64,0,(ROW()-ROW(E$2))/12)/12</f>
        <v>501265.59768422303</v>
      </c>
      <c r="F80" s="93">
        <f t="shared" ca="1" si="62"/>
        <v>27989233.864478592</v>
      </c>
      <c r="G80" s="94">
        <v>26870</v>
      </c>
      <c r="H80" s="93">
        <f>5893906.46436799+319645.94</f>
        <v>6213552.4043679908</v>
      </c>
      <c r="I80" s="93">
        <f ca="1">OFFSET('Historic CDM'!$C$76,0,(ROW()-ROW(E$2))/12)/12</f>
        <v>350857.72791108629</v>
      </c>
      <c r="J80" s="93">
        <f t="shared" ca="1" si="63"/>
        <v>6564410.1322790775</v>
      </c>
      <c r="K80" s="88">
        <f>1929+23</f>
        <v>1952</v>
      </c>
      <c r="L80" s="93">
        <f>16203562.3543957-Q80</f>
        <v>16203562.354395701</v>
      </c>
      <c r="M80" s="95">
        <f ca="1">OFFSET('Historic CDM'!$C$88,0,(ROW()-ROW(E$2))/12)/12</f>
        <v>845370.26307037659</v>
      </c>
      <c r="N80" s="1">
        <f ca="1">L80+M80-Q80</f>
        <v>17048932.617466077</v>
      </c>
      <c r="O80" s="3">
        <f>43488.02-R80</f>
        <v>43488.02</v>
      </c>
      <c r="P80" s="2">
        <f>211-S80</f>
        <v>211</v>
      </c>
      <c r="Q80" s="93">
        <v>0</v>
      </c>
      <c r="R80" s="95">
        <v>0</v>
      </c>
      <c r="S80" s="94">
        <v>0</v>
      </c>
      <c r="T80" s="93">
        <v>389186.03568817204</v>
      </c>
      <c r="U80" s="96">
        <v>1572.26</v>
      </c>
      <c r="V80" s="102">
        <f>342+1170+616+566</f>
        <v>2694</v>
      </c>
      <c r="W80" s="93">
        <v>28171.75</v>
      </c>
      <c r="X80" s="99">
        <v>73.381</v>
      </c>
      <c r="Y80" s="88">
        <v>174</v>
      </c>
      <c r="Z80" s="93">
        <v>129846</v>
      </c>
      <c r="AA80" s="88">
        <v>141</v>
      </c>
      <c r="AB80" s="93">
        <v>9380512.1750000082</v>
      </c>
      <c r="AC80" s="94">
        <v>122</v>
      </c>
      <c r="AD80" s="93">
        <v>4072605.144849461</v>
      </c>
      <c r="AE80" s="95">
        <v>20428.809999999998</v>
      </c>
      <c r="AF80" s="94">
        <v>6</v>
      </c>
      <c r="AG80" s="90">
        <f>Weather!B248</f>
        <v>1.9</v>
      </c>
      <c r="AH80" s="90">
        <f>Weather!C248</f>
        <v>152.89999999999998</v>
      </c>
      <c r="AI80" s="90">
        <f>Employment!B80</f>
        <v>7032.3</v>
      </c>
      <c r="AJ80" s="90">
        <f>Employment!C80</f>
        <v>164.8</v>
      </c>
      <c r="AK80" s="130">
        <v>617456.5</v>
      </c>
      <c r="AL80" s="98">
        <f t="shared" si="44"/>
        <v>31</v>
      </c>
      <c r="AM80" s="106">
        <v>22</v>
      </c>
      <c r="AN80" s="90">
        <v>79</v>
      </c>
      <c r="AO80" s="90">
        <f t="shared" ref="AO80:BC80" si="77">AO68</f>
        <v>0</v>
      </c>
      <c r="AP80" s="90">
        <f t="shared" si="77"/>
        <v>0</v>
      </c>
      <c r="AQ80" s="90">
        <f t="shared" si="77"/>
        <v>0</v>
      </c>
      <c r="AR80" s="90">
        <f t="shared" si="77"/>
        <v>0</v>
      </c>
      <c r="AS80" s="90">
        <f t="shared" si="77"/>
        <v>0</v>
      </c>
      <c r="AT80" s="90">
        <f t="shared" si="77"/>
        <v>0</v>
      </c>
      <c r="AU80" s="90">
        <f t="shared" si="77"/>
        <v>1</v>
      </c>
      <c r="AV80" s="90">
        <f t="shared" si="77"/>
        <v>0</v>
      </c>
      <c r="AW80" s="90">
        <f t="shared" si="77"/>
        <v>0</v>
      </c>
      <c r="AX80" s="90">
        <f t="shared" si="77"/>
        <v>0</v>
      </c>
      <c r="AY80" s="90">
        <f t="shared" si="77"/>
        <v>0</v>
      </c>
      <c r="AZ80" s="90">
        <f t="shared" si="77"/>
        <v>0</v>
      </c>
      <c r="BA80" s="90">
        <f t="shared" si="77"/>
        <v>0</v>
      </c>
      <c r="BB80" s="90">
        <f t="shared" si="77"/>
        <v>0</v>
      </c>
      <c r="BC80" s="90">
        <f t="shared" si="77"/>
        <v>0</v>
      </c>
    </row>
    <row r="81" spans="1:55" x14ac:dyDescent="0.3">
      <c r="A81" s="91">
        <v>42217</v>
      </c>
      <c r="B81" s="92">
        <f t="shared" si="61"/>
        <v>2015</v>
      </c>
      <c r="C81" s="93">
        <f>44995166.15+1125561</f>
        <v>46120727.149999999</v>
      </c>
      <c r="D81" s="93">
        <v>28198521.483793493</v>
      </c>
      <c r="E81" s="93">
        <f ca="1">OFFSET('Historic CDM'!$C$64,0,(ROW()-ROW(E$2))/12)/12</f>
        <v>501265.59768422303</v>
      </c>
      <c r="F81" s="93">
        <f t="shared" ca="1" si="62"/>
        <v>28699787.081477717</v>
      </c>
      <c r="G81" s="94">
        <v>26865</v>
      </c>
      <c r="H81" s="93">
        <f>5985562.89477421+280226.087</f>
        <v>6265788.98177421</v>
      </c>
      <c r="I81" s="93">
        <f ca="1">OFFSET('Historic CDM'!$C$76,0,(ROW()-ROW(E$2))/12)/12</f>
        <v>350857.72791108629</v>
      </c>
      <c r="J81" s="93">
        <f t="shared" ca="1" si="63"/>
        <v>6616646.7096852958</v>
      </c>
      <c r="K81" s="88">
        <f>1904+23</f>
        <v>1927</v>
      </c>
      <c r="L81" s="93">
        <f>16257143.5963399-Q81</f>
        <v>16257143.5963399</v>
      </c>
      <c r="M81" s="95">
        <f ca="1">OFFSET('Historic CDM'!$C$88,0,(ROW()-ROW(E$2))/12)/12</f>
        <v>845370.26307037659</v>
      </c>
      <c r="N81" s="1">
        <f ca="1">L81+M81-Q81</f>
        <v>17102513.859410278</v>
      </c>
      <c r="O81" s="3">
        <f>43026.24-R81</f>
        <v>43026.239999999998</v>
      </c>
      <c r="P81" s="2">
        <f>213-S81</f>
        <v>213</v>
      </c>
      <c r="Q81" s="93">
        <v>0</v>
      </c>
      <c r="R81" s="95">
        <v>0</v>
      </c>
      <c r="S81" s="94">
        <v>0</v>
      </c>
      <c r="T81" s="93">
        <v>424948.41967741953</v>
      </c>
      <c r="U81" s="96">
        <v>1572.26</v>
      </c>
      <c r="V81" s="102">
        <f>342+1170+616+566</f>
        <v>2694</v>
      </c>
      <c r="W81" s="93">
        <v>28439.15</v>
      </c>
      <c r="X81" s="99">
        <v>73.381</v>
      </c>
      <c r="Y81" s="88">
        <v>174</v>
      </c>
      <c r="Z81" s="93">
        <v>129846</v>
      </c>
      <c r="AA81" s="88">
        <v>141</v>
      </c>
      <c r="AB81" s="93">
        <v>9578386.1999999955</v>
      </c>
      <c r="AC81" s="94">
        <v>123</v>
      </c>
      <c r="AD81" s="93">
        <v>3555685.4567741938</v>
      </c>
      <c r="AE81" s="95">
        <v>8965.11</v>
      </c>
      <c r="AF81" s="94">
        <v>6</v>
      </c>
      <c r="AG81" s="90">
        <f>Weather!B249</f>
        <v>3.2</v>
      </c>
      <c r="AH81" s="90">
        <f>Weather!C249</f>
        <v>138.69999999999999</v>
      </c>
      <c r="AI81" s="90">
        <f>Employment!B81</f>
        <v>7045.7</v>
      </c>
      <c r="AJ81" s="90">
        <f>Employment!C81</f>
        <v>160.80000000000001</v>
      </c>
      <c r="AK81" s="130">
        <v>617456.5</v>
      </c>
      <c r="AL81" s="98">
        <f t="shared" si="44"/>
        <v>31</v>
      </c>
      <c r="AM81" s="106">
        <v>20</v>
      </c>
      <c r="AN81" s="90">
        <v>80</v>
      </c>
      <c r="AO81" s="90">
        <f t="shared" ref="AO81:BC81" si="78">AO69</f>
        <v>0</v>
      </c>
      <c r="AP81" s="90">
        <f t="shared" si="78"/>
        <v>0</v>
      </c>
      <c r="AQ81" s="90">
        <f t="shared" si="78"/>
        <v>0</v>
      </c>
      <c r="AR81" s="90">
        <f t="shared" si="78"/>
        <v>0</v>
      </c>
      <c r="AS81" s="90">
        <f t="shared" si="78"/>
        <v>0</v>
      </c>
      <c r="AT81" s="90">
        <f t="shared" si="78"/>
        <v>0</v>
      </c>
      <c r="AU81" s="90">
        <f t="shared" si="78"/>
        <v>0</v>
      </c>
      <c r="AV81" s="90">
        <f t="shared" si="78"/>
        <v>1</v>
      </c>
      <c r="AW81" s="90">
        <f t="shared" si="78"/>
        <v>0</v>
      </c>
      <c r="AX81" s="90">
        <f t="shared" si="78"/>
        <v>0</v>
      </c>
      <c r="AY81" s="90">
        <f t="shared" si="78"/>
        <v>0</v>
      </c>
      <c r="AZ81" s="90">
        <f t="shared" si="78"/>
        <v>0</v>
      </c>
      <c r="BA81" s="90">
        <f t="shared" si="78"/>
        <v>0</v>
      </c>
      <c r="BB81" s="90">
        <f t="shared" si="78"/>
        <v>0</v>
      </c>
      <c r="BC81" s="90">
        <f t="shared" si="78"/>
        <v>0</v>
      </c>
    </row>
    <row r="82" spans="1:55" x14ac:dyDescent="0.3">
      <c r="A82" s="91">
        <v>42248</v>
      </c>
      <c r="B82" s="92">
        <f t="shared" si="61"/>
        <v>2015</v>
      </c>
      <c r="C82" s="93">
        <f>41127603.4166667+1044219</f>
        <v>42171822.416666701</v>
      </c>
      <c r="D82" s="93">
        <v>22310368.243970346</v>
      </c>
      <c r="E82" s="93">
        <f ca="1">OFFSET('Historic CDM'!$C$64,0,(ROW()-ROW(E$2))/12)/12</f>
        <v>501265.59768422303</v>
      </c>
      <c r="F82" s="93">
        <f t="shared" ca="1" si="62"/>
        <v>22811633.841654569</v>
      </c>
      <c r="G82" s="94">
        <v>26902</v>
      </c>
      <c r="H82" s="93">
        <f>5360675.13793021+265974.507</f>
        <v>5626649.64493021</v>
      </c>
      <c r="I82" s="93">
        <f ca="1">OFFSET('Historic CDM'!$C$76,0,(ROW()-ROW(E$2))/12)/12</f>
        <v>350857.72791108629</v>
      </c>
      <c r="J82" s="93">
        <f t="shared" ca="1" si="63"/>
        <v>5977507.3728412967</v>
      </c>
      <c r="K82" s="88">
        <f>1916+23</f>
        <v>1939</v>
      </c>
      <c r="L82" s="93">
        <f>16858791.7239787-Q82</f>
        <v>16858791.723978698</v>
      </c>
      <c r="M82" s="95">
        <f ca="1">OFFSET('Historic CDM'!$C$88,0,(ROW()-ROW(E$2))/12)/12</f>
        <v>845370.26307037659</v>
      </c>
      <c r="N82" s="1">
        <f ca="1">L82+M82-Q82</f>
        <v>17704161.987049073</v>
      </c>
      <c r="O82" s="3">
        <f>45383.63-R82</f>
        <v>45383.63</v>
      </c>
      <c r="P82" s="2">
        <f>221-S82</f>
        <v>221</v>
      </c>
      <c r="Q82" s="93">
        <v>0</v>
      </c>
      <c r="R82" s="95">
        <v>0</v>
      </c>
      <c r="S82" s="94">
        <v>0</v>
      </c>
      <c r="T82" s="93">
        <v>491516.65430107515</v>
      </c>
      <c r="U82" s="96">
        <v>1576.54</v>
      </c>
      <c r="V82" s="102">
        <f>342+1173+616+564</f>
        <v>2695</v>
      </c>
      <c r="W82" s="93">
        <v>28945.87</v>
      </c>
      <c r="X82" s="99">
        <v>73.381</v>
      </c>
      <c r="Y82" s="88">
        <v>174</v>
      </c>
      <c r="Z82" s="93">
        <v>129846</v>
      </c>
      <c r="AA82" s="88">
        <v>141</v>
      </c>
      <c r="AB82" s="93">
        <v>9386864.1999999899</v>
      </c>
      <c r="AC82" s="94">
        <v>123</v>
      </c>
      <c r="AD82" s="93">
        <v>3226818.3953763442</v>
      </c>
      <c r="AE82" s="95">
        <v>9208.8599999999988</v>
      </c>
      <c r="AF82" s="94">
        <v>6</v>
      </c>
      <c r="AG82" s="90">
        <f>Weather!B250</f>
        <v>10.8</v>
      </c>
      <c r="AH82" s="90">
        <f>Weather!C250</f>
        <v>109.19999999999997</v>
      </c>
      <c r="AI82" s="90">
        <f>Employment!B82</f>
        <v>6994.9</v>
      </c>
      <c r="AJ82" s="90">
        <f>Employment!C82</f>
        <v>156.69999999999999</v>
      </c>
      <c r="AK82" s="130">
        <v>617456.5</v>
      </c>
      <c r="AL82" s="98">
        <f t="shared" si="44"/>
        <v>30</v>
      </c>
      <c r="AM82" s="106">
        <v>21</v>
      </c>
      <c r="AN82" s="90">
        <v>81</v>
      </c>
      <c r="AO82" s="90">
        <f t="shared" ref="AO82:BC82" si="79">AO70</f>
        <v>0</v>
      </c>
      <c r="AP82" s="90">
        <f t="shared" si="79"/>
        <v>0</v>
      </c>
      <c r="AQ82" s="90">
        <f t="shared" si="79"/>
        <v>0</v>
      </c>
      <c r="AR82" s="90">
        <f t="shared" si="79"/>
        <v>0</v>
      </c>
      <c r="AS82" s="90">
        <f t="shared" si="79"/>
        <v>0</v>
      </c>
      <c r="AT82" s="90">
        <f t="shared" si="79"/>
        <v>0</v>
      </c>
      <c r="AU82" s="90">
        <f t="shared" si="79"/>
        <v>0</v>
      </c>
      <c r="AV82" s="90">
        <f t="shared" si="79"/>
        <v>0</v>
      </c>
      <c r="AW82" s="90">
        <f t="shared" si="79"/>
        <v>1</v>
      </c>
      <c r="AX82" s="90">
        <f t="shared" si="79"/>
        <v>0</v>
      </c>
      <c r="AY82" s="90">
        <f t="shared" si="79"/>
        <v>0</v>
      </c>
      <c r="AZ82" s="90">
        <f t="shared" si="79"/>
        <v>0</v>
      </c>
      <c r="BA82" s="90">
        <f t="shared" si="79"/>
        <v>0</v>
      </c>
      <c r="BB82" s="90">
        <f t="shared" si="79"/>
        <v>0</v>
      </c>
      <c r="BC82" s="90">
        <f t="shared" si="79"/>
        <v>0</v>
      </c>
    </row>
    <row r="83" spans="1:55" x14ac:dyDescent="0.3">
      <c r="A83" s="91">
        <v>42278</v>
      </c>
      <c r="B83" s="92">
        <f t="shared" si="61"/>
        <v>2015</v>
      </c>
      <c r="C83" s="93">
        <f>29631966.0833333+931215</f>
        <v>30563181.083333299</v>
      </c>
      <c r="D83" s="93">
        <v>16809564.168180183</v>
      </c>
      <c r="E83" s="93">
        <f ca="1">OFFSET('Historic CDM'!$C$64,0,(ROW()-ROW(E$2))/12)/12</f>
        <v>501265.59768422303</v>
      </c>
      <c r="F83" s="93">
        <f t="shared" ca="1" si="62"/>
        <v>17310829.765864406</v>
      </c>
      <c r="G83" s="94">
        <v>27019</v>
      </c>
      <c r="H83" s="93">
        <f>4798850.69341669+224004.029</f>
        <v>5022854.7224166906</v>
      </c>
      <c r="I83" s="93">
        <f ca="1">OFFSET('Historic CDM'!$C$76,0,(ROW()-ROW(E$2))/12)/12</f>
        <v>350857.72791108629</v>
      </c>
      <c r="J83" s="93">
        <f t="shared" ca="1" si="63"/>
        <v>5373712.4503277764</v>
      </c>
      <c r="K83" s="88">
        <f>1924+23</f>
        <v>1947</v>
      </c>
      <c r="L83" s="93">
        <f>14885839.6033179-Q83</f>
        <v>14885839.6033179</v>
      </c>
      <c r="M83" s="95">
        <f ca="1">OFFSET('Historic CDM'!$C$88,0,(ROW()-ROW(E$2))/12)/12</f>
        <v>845370.26307037659</v>
      </c>
      <c r="N83" s="1">
        <f ca="1">L83+M83-Q83</f>
        <v>15731209.866388276</v>
      </c>
      <c r="O83" s="3">
        <f>32315.7-R83</f>
        <v>32315.7</v>
      </c>
      <c r="P83" s="2">
        <f>212-S83</f>
        <v>212</v>
      </c>
      <c r="Q83" s="93">
        <v>0</v>
      </c>
      <c r="R83" s="95">
        <v>0</v>
      </c>
      <c r="S83" s="94">
        <v>0</v>
      </c>
      <c r="T83" s="93">
        <v>569456.54344086023</v>
      </c>
      <c r="U83" s="100">
        <v>668.19</v>
      </c>
      <c r="V83" s="102">
        <f>342+1173+616+564</f>
        <v>2695</v>
      </c>
      <c r="W83" s="93">
        <v>27826.31</v>
      </c>
      <c r="X83" s="99">
        <v>73.381</v>
      </c>
      <c r="Y83" s="88">
        <v>174</v>
      </c>
      <c r="Z83" s="93">
        <v>129846</v>
      </c>
      <c r="AA83" s="88">
        <v>141</v>
      </c>
      <c r="AB83" s="93">
        <v>9422553.9749999922</v>
      </c>
      <c r="AC83" s="94">
        <v>123</v>
      </c>
      <c r="AD83" s="93">
        <v>2870640.9004301084</v>
      </c>
      <c r="AE83" s="95">
        <v>7009.0700000000006</v>
      </c>
      <c r="AF83" s="94">
        <v>6</v>
      </c>
      <c r="AG83" s="90">
        <f>Weather!B251</f>
        <v>157.80000000000001</v>
      </c>
      <c r="AH83" s="90">
        <f>Weather!C251</f>
        <v>2.6</v>
      </c>
      <c r="AI83" s="90">
        <f>Employment!B83</f>
        <v>6969</v>
      </c>
      <c r="AJ83" s="90">
        <f>Employment!C83</f>
        <v>155.1</v>
      </c>
      <c r="AK83" s="130">
        <v>617456.5</v>
      </c>
      <c r="AL83" s="98">
        <f t="shared" si="44"/>
        <v>31</v>
      </c>
      <c r="AM83" s="106">
        <v>21</v>
      </c>
      <c r="AN83" s="90">
        <v>82</v>
      </c>
      <c r="AO83" s="90">
        <f t="shared" ref="AO83:BC83" si="80">AO71</f>
        <v>0</v>
      </c>
      <c r="AP83" s="90">
        <f t="shared" si="80"/>
        <v>0</v>
      </c>
      <c r="AQ83" s="90">
        <f t="shared" si="80"/>
        <v>0</v>
      </c>
      <c r="AR83" s="90">
        <f t="shared" si="80"/>
        <v>0</v>
      </c>
      <c r="AS83" s="90">
        <f t="shared" si="80"/>
        <v>0</v>
      </c>
      <c r="AT83" s="90">
        <f t="shared" si="80"/>
        <v>0</v>
      </c>
      <c r="AU83" s="90">
        <f t="shared" si="80"/>
        <v>0</v>
      </c>
      <c r="AV83" s="90">
        <f t="shared" si="80"/>
        <v>0</v>
      </c>
      <c r="AW83" s="90">
        <f t="shared" si="80"/>
        <v>0</v>
      </c>
      <c r="AX83" s="90">
        <f t="shared" si="80"/>
        <v>1</v>
      </c>
      <c r="AY83" s="90">
        <f t="shared" si="80"/>
        <v>0</v>
      </c>
      <c r="AZ83" s="90">
        <f t="shared" si="80"/>
        <v>0</v>
      </c>
      <c r="BA83" s="90">
        <f t="shared" si="80"/>
        <v>0</v>
      </c>
      <c r="BB83" s="90">
        <f t="shared" si="80"/>
        <v>1</v>
      </c>
      <c r="BC83" s="90">
        <f t="shared" si="80"/>
        <v>1</v>
      </c>
    </row>
    <row r="84" spans="1:55" x14ac:dyDescent="0.3">
      <c r="A84" s="91">
        <v>42309</v>
      </c>
      <c r="B84" s="92">
        <f t="shared" si="61"/>
        <v>2015</v>
      </c>
      <c r="C84" s="93">
        <f>29677720.5416667+875685</f>
        <v>30553405.541666701</v>
      </c>
      <c r="D84" s="93">
        <v>16511877.946045045</v>
      </c>
      <c r="E84" s="93">
        <f ca="1">OFFSET('Historic CDM'!$C$64,0,(ROW()-ROW(E$2))/12)/12</f>
        <v>501265.59768422303</v>
      </c>
      <c r="F84" s="93">
        <f t="shared" ca="1" si="62"/>
        <v>17013143.543729268</v>
      </c>
      <c r="G84" s="94">
        <v>26903</v>
      </c>
      <c r="H84" s="93">
        <f>4627444.69948454+219432.638</f>
        <v>4846877.3374845404</v>
      </c>
      <c r="I84" s="93">
        <f ca="1">OFFSET('Historic CDM'!$C$76,0,(ROW()-ROW(E$2))/12)/12</f>
        <v>350857.72791108629</v>
      </c>
      <c r="J84" s="93">
        <f t="shared" ca="1" si="63"/>
        <v>5197735.0653956272</v>
      </c>
      <c r="K84" s="88">
        <f>1914+23</f>
        <v>1937</v>
      </c>
      <c r="L84" s="93">
        <f>14269209.2316697-Q84</f>
        <v>14269209.2316697</v>
      </c>
      <c r="M84" s="95">
        <f ca="1">OFFSET('Historic CDM'!$C$88,0,(ROW()-ROW(E$2))/12)/12</f>
        <v>845370.26307037659</v>
      </c>
      <c r="N84" s="1">
        <f ca="1">L84+M84-Q84</f>
        <v>15114579.494740076</v>
      </c>
      <c r="O84" s="3">
        <f>35927.85-R84</f>
        <v>35927.85</v>
      </c>
      <c r="P84" s="2">
        <f>214-S84</f>
        <v>214</v>
      </c>
      <c r="Q84" s="93">
        <v>0</v>
      </c>
      <c r="R84" s="95">
        <v>0</v>
      </c>
      <c r="S84" s="94">
        <v>0</v>
      </c>
      <c r="T84" s="93">
        <v>612027.67189247312</v>
      </c>
      <c r="U84" s="96">
        <v>1579.1799999999998</v>
      </c>
      <c r="V84" s="102">
        <f>343+1163+621+571</f>
        <v>2698</v>
      </c>
      <c r="W84" s="93">
        <v>26973.29</v>
      </c>
      <c r="X84" s="99">
        <v>73.186000000000007</v>
      </c>
      <c r="Y84" s="88">
        <v>173</v>
      </c>
      <c r="Z84" s="93">
        <v>129846</v>
      </c>
      <c r="AA84" s="88">
        <v>141</v>
      </c>
      <c r="AB84" s="93">
        <v>8533754.4000000004</v>
      </c>
      <c r="AC84" s="94">
        <v>123</v>
      </c>
      <c r="AD84" s="93">
        <v>2607046.8809032259</v>
      </c>
      <c r="AE84" s="95">
        <v>6169.45</v>
      </c>
      <c r="AF84" s="94">
        <v>4</v>
      </c>
      <c r="AG84" s="90">
        <f>Weather!B252</f>
        <v>286.60000000000002</v>
      </c>
      <c r="AH84" s="90">
        <f>Weather!C252</f>
        <v>0.5</v>
      </c>
      <c r="AI84" s="90">
        <f>Employment!B84</f>
        <v>6936.9</v>
      </c>
      <c r="AJ84" s="90">
        <f>Employment!C84</f>
        <v>155.19999999999999</v>
      </c>
      <c r="AK84" s="130">
        <v>617456.5</v>
      </c>
      <c r="AL84" s="98">
        <f t="shared" si="44"/>
        <v>30</v>
      </c>
      <c r="AM84" s="106">
        <v>21</v>
      </c>
      <c r="AN84" s="90">
        <v>83</v>
      </c>
      <c r="AO84" s="90">
        <f t="shared" ref="AO84:BC84" si="81">AO72</f>
        <v>0</v>
      </c>
      <c r="AP84" s="90">
        <f t="shared" si="81"/>
        <v>0</v>
      </c>
      <c r="AQ84" s="90">
        <f t="shared" si="81"/>
        <v>0</v>
      </c>
      <c r="AR84" s="90">
        <f t="shared" si="81"/>
        <v>0</v>
      </c>
      <c r="AS84" s="90">
        <f t="shared" si="81"/>
        <v>0</v>
      </c>
      <c r="AT84" s="90">
        <f t="shared" si="81"/>
        <v>0</v>
      </c>
      <c r="AU84" s="90">
        <f t="shared" si="81"/>
        <v>0</v>
      </c>
      <c r="AV84" s="90">
        <f t="shared" si="81"/>
        <v>0</v>
      </c>
      <c r="AW84" s="90">
        <f t="shared" si="81"/>
        <v>0</v>
      </c>
      <c r="AX84" s="90">
        <f t="shared" si="81"/>
        <v>0</v>
      </c>
      <c r="AY84" s="90">
        <f t="shared" si="81"/>
        <v>1</v>
      </c>
      <c r="AZ84" s="90">
        <f t="shared" si="81"/>
        <v>0</v>
      </c>
      <c r="BA84" s="90">
        <f t="shared" si="81"/>
        <v>0</v>
      </c>
      <c r="BB84" s="90">
        <f t="shared" si="81"/>
        <v>1</v>
      </c>
      <c r="BC84" s="90">
        <f t="shared" si="81"/>
        <v>1</v>
      </c>
    </row>
    <row r="85" spans="1:55" x14ac:dyDescent="0.3">
      <c r="A85" s="91">
        <v>42339</v>
      </c>
      <c r="B85" s="92">
        <f t="shared" si="61"/>
        <v>2015</v>
      </c>
      <c r="C85" s="93">
        <f>33645243.2666667+897127</f>
        <v>34542370.266666703</v>
      </c>
      <c r="D85" s="93">
        <v>19158950.834403008</v>
      </c>
      <c r="E85" s="93">
        <f ca="1">OFFSET('Historic CDM'!$C$64,0,(ROW()-ROW(E$2))/12)/12</f>
        <v>501265.59768422303</v>
      </c>
      <c r="F85" s="93">
        <f t="shared" ca="1" si="62"/>
        <v>19660216.432087231</v>
      </c>
      <c r="G85" s="94">
        <v>26808</v>
      </c>
      <c r="H85" s="93">
        <f>4848708.86073439+237398.564</f>
        <v>5086107.4247343903</v>
      </c>
      <c r="I85" s="93">
        <f ca="1">OFFSET('Historic CDM'!$C$76,0,(ROW()-ROW(E$2))/12)/12</f>
        <v>350857.72791108629</v>
      </c>
      <c r="J85" s="93">
        <f t="shared" ca="1" si="63"/>
        <v>5436965.1526454762</v>
      </c>
      <c r="K85" s="88">
        <f>1906+23</f>
        <v>1929</v>
      </c>
      <c r="L85" s="93">
        <f>13404433.2913804-Q85</f>
        <v>13404433.2913804</v>
      </c>
      <c r="M85" s="95">
        <f ca="1">OFFSET('Historic CDM'!$C$88,0,(ROW()-ROW(E$2))/12)/12</f>
        <v>845370.26307037659</v>
      </c>
      <c r="N85" s="1">
        <f ca="1">L85+M85-Q85</f>
        <v>14249803.554450776</v>
      </c>
      <c r="O85" s="3">
        <f>42708.33-R85</f>
        <v>42708.33</v>
      </c>
      <c r="P85" s="2">
        <f>216-S85</f>
        <v>216</v>
      </c>
      <c r="Q85" s="93">
        <v>0</v>
      </c>
      <c r="R85" s="95">
        <v>0</v>
      </c>
      <c r="S85" s="94">
        <v>0</v>
      </c>
      <c r="T85" s="93">
        <v>670483.25262365583</v>
      </c>
      <c r="U85" s="96">
        <v>1578.57</v>
      </c>
      <c r="V85" s="102">
        <f>343+1163+621+571</f>
        <v>2698</v>
      </c>
      <c r="W85" s="93">
        <v>29956.05</v>
      </c>
      <c r="X85" s="99">
        <v>73.186000000000007</v>
      </c>
      <c r="Y85" s="88">
        <v>173</v>
      </c>
      <c r="Z85" s="93">
        <v>129846</v>
      </c>
      <c r="AA85" s="88">
        <v>141</v>
      </c>
      <c r="AB85" s="93">
        <v>7068793.7749999939</v>
      </c>
      <c r="AC85" s="94">
        <v>123</v>
      </c>
      <c r="AD85" s="93">
        <v>2364501.2390967743</v>
      </c>
      <c r="AE85" s="95">
        <v>6045.3099999999995</v>
      </c>
      <c r="AF85" s="94">
        <v>4</v>
      </c>
      <c r="AG85" s="90">
        <f>Weather!B253</f>
        <v>392.2</v>
      </c>
      <c r="AH85" s="90">
        <f>Weather!C253</f>
        <v>0</v>
      </c>
      <c r="AI85" s="90">
        <f>Employment!B85</f>
        <v>6948.2</v>
      </c>
      <c r="AJ85" s="90">
        <f>Employment!C85</f>
        <v>155.19999999999999</v>
      </c>
      <c r="AK85" s="130">
        <v>617456.5</v>
      </c>
      <c r="AL85" s="98">
        <f t="shared" si="44"/>
        <v>31</v>
      </c>
      <c r="AM85" s="106">
        <v>21</v>
      </c>
      <c r="AN85" s="90">
        <v>84</v>
      </c>
      <c r="AO85" s="90">
        <f t="shared" ref="AO85:BC85" si="82">AO73</f>
        <v>0</v>
      </c>
      <c r="AP85" s="90">
        <f t="shared" si="82"/>
        <v>0</v>
      </c>
      <c r="AQ85" s="90">
        <f t="shared" si="82"/>
        <v>0</v>
      </c>
      <c r="AR85" s="90">
        <f t="shared" si="82"/>
        <v>0</v>
      </c>
      <c r="AS85" s="90">
        <f t="shared" si="82"/>
        <v>0</v>
      </c>
      <c r="AT85" s="90">
        <f t="shared" si="82"/>
        <v>0</v>
      </c>
      <c r="AU85" s="90">
        <f t="shared" si="82"/>
        <v>0</v>
      </c>
      <c r="AV85" s="90">
        <f t="shared" si="82"/>
        <v>0</v>
      </c>
      <c r="AW85" s="90">
        <f t="shared" si="82"/>
        <v>0</v>
      </c>
      <c r="AX85" s="90">
        <f t="shared" si="82"/>
        <v>0</v>
      </c>
      <c r="AY85" s="90">
        <f t="shared" si="82"/>
        <v>0</v>
      </c>
      <c r="AZ85" s="90">
        <f t="shared" si="82"/>
        <v>1</v>
      </c>
      <c r="BA85" s="90">
        <f t="shared" si="82"/>
        <v>0</v>
      </c>
      <c r="BB85" s="90">
        <f t="shared" si="82"/>
        <v>0</v>
      </c>
      <c r="BC85" s="90">
        <f t="shared" si="82"/>
        <v>0</v>
      </c>
    </row>
    <row r="86" spans="1:55" x14ac:dyDescent="0.3">
      <c r="A86" s="91">
        <v>42370</v>
      </c>
      <c r="B86" s="92">
        <f t="shared" si="61"/>
        <v>2016</v>
      </c>
      <c r="C86" s="93">
        <f>33943259.875+858693</f>
        <v>34801952.875</v>
      </c>
      <c r="D86" s="93">
        <v>19916070.899167106</v>
      </c>
      <c r="E86" s="93">
        <f ca="1">OFFSET('Historic CDM'!$C$64,0,(ROW()-ROW(E$2))/12)/12</f>
        <v>486683.10675352643</v>
      </c>
      <c r="F86" s="93">
        <f t="shared" ca="1" si="62"/>
        <v>20402754.005920634</v>
      </c>
      <c r="G86" s="94">
        <v>26937</v>
      </c>
      <c r="H86" s="93">
        <f>5244952.23873981+256146.95</f>
        <v>5501099.1887398101</v>
      </c>
      <c r="I86" s="93">
        <f ca="1">OFFSET('Historic CDM'!$C$76,0,(ROW()-ROW(E$2))/12)/12</f>
        <v>482645.36095961212</v>
      </c>
      <c r="J86" s="93">
        <f t="shared" ca="1" si="63"/>
        <v>5983744.549699422</v>
      </c>
      <c r="K86" s="88">
        <f>1921+24</f>
        <v>1945</v>
      </c>
      <c r="L86" s="93">
        <f>13987491.5025047-Q86</f>
        <v>13987491.502504701</v>
      </c>
      <c r="M86" s="95">
        <f ca="1">OFFSET('Historic CDM'!$C$88,0,(ROW()-ROW(E$2))/12)/12</f>
        <v>1182255.3094457663</v>
      </c>
      <c r="N86" s="1">
        <f ca="1">L86+M86-Q86</f>
        <v>15169746.811950468</v>
      </c>
      <c r="O86" s="3">
        <f>35724.19-R86</f>
        <v>35724.19</v>
      </c>
      <c r="P86" s="2">
        <f>213-S86</f>
        <v>213</v>
      </c>
      <c r="Q86" s="93">
        <v>0</v>
      </c>
      <c r="R86" s="95">
        <v>0</v>
      </c>
      <c r="S86" s="94">
        <v>0</v>
      </c>
      <c r="T86" s="93">
        <v>660988.14870967774</v>
      </c>
      <c r="U86" s="96">
        <v>1578.57</v>
      </c>
      <c r="V86" s="102">
        <f>343+1163+621+571</f>
        <v>2698</v>
      </c>
      <c r="W86" s="93">
        <v>27634.7</v>
      </c>
      <c r="X86" s="99">
        <v>73.381</v>
      </c>
      <c r="Y86" s="88">
        <v>174</v>
      </c>
      <c r="Z86" s="93">
        <v>129846</v>
      </c>
      <c r="AA86" s="88">
        <v>141</v>
      </c>
      <c r="AB86" s="93">
        <v>8815806.375</v>
      </c>
      <c r="AC86" s="94">
        <v>123</v>
      </c>
      <c r="AD86" s="93">
        <v>2580597.5019354834</v>
      </c>
      <c r="AE86" s="95">
        <v>6607.96</v>
      </c>
      <c r="AF86" s="94">
        <v>3</v>
      </c>
      <c r="AG86" s="90">
        <f>Weather!B254</f>
        <v>618.5</v>
      </c>
      <c r="AH86" s="90">
        <f>Weather!C254</f>
        <v>0</v>
      </c>
      <c r="AI86" s="90">
        <f>Employment!B86</f>
        <v>6919.2</v>
      </c>
      <c r="AJ86" s="90">
        <f>Employment!C86</f>
        <v>155</v>
      </c>
      <c r="AK86" s="130">
        <v>633508.5</v>
      </c>
      <c r="AL86" s="98">
        <f t="shared" si="44"/>
        <v>31</v>
      </c>
      <c r="AM86" s="106">
        <v>20</v>
      </c>
      <c r="AN86" s="90">
        <v>85</v>
      </c>
      <c r="AO86" s="90">
        <f t="shared" ref="AO86:BC86" si="83">AO74</f>
        <v>1</v>
      </c>
      <c r="AP86" s="90">
        <f t="shared" si="83"/>
        <v>0</v>
      </c>
      <c r="AQ86" s="90">
        <f t="shared" si="83"/>
        <v>0</v>
      </c>
      <c r="AR86" s="90">
        <f t="shared" si="83"/>
        <v>0</v>
      </c>
      <c r="AS86" s="90">
        <f t="shared" si="83"/>
        <v>0</v>
      </c>
      <c r="AT86" s="90">
        <f t="shared" si="83"/>
        <v>0</v>
      </c>
      <c r="AU86" s="90">
        <f t="shared" si="83"/>
        <v>0</v>
      </c>
      <c r="AV86" s="90">
        <f t="shared" si="83"/>
        <v>0</v>
      </c>
      <c r="AW86" s="90">
        <f t="shared" si="83"/>
        <v>0</v>
      </c>
      <c r="AX86" s="90">
        <f t="shared" si="83"/>
        <v>0</v>
      </c>
      <c r="AY86" s="90">
        <f t="shared" si="83"/>
        <v>0</v>
      </c>
      <c r="AZ86" s="90">
        <f t="shared" si="83"/>
        <v>0</v>
      </c>
      <c r="BA86" s="90">
        <f t="shared" si="83"/>
        <v>0</v>
      </c>
      <c r="BB86" s="90">
        <f t="shared" si="83"/>
        <v>0</v>
      </c>
      <c r="BC86" s="90">
        <f t="shared" si="83"/>
        <v>0</v>
      </c>
    </row>
    <row r="87" spans="1:55" x14ac:dyDescent="0.3">
      <c r="A87" s="91">
        <v>42401</v>
      </c>
      <c r="B87" s="92">
        <f t="shared" si="61"/>
        <v>2016</v>
      </c>
      <c r="C87" s="93">
        <f>30885481.8+811250</f>
        <v>31696731.800000001</v>
      </c>
      <c r="D87" s="93">
        <v>17661312.888307393</v>
      </c>
      <c r="E87" s="93">
        <f ca="1">OFFSET('Historic CDM'!$C$64,0,(ROW()-ROW(E$2))/12)/12</f>
        <v>486683.10675352643</v>
      </c>
      <c r="F87" s="93">
        <f t="shared" ca="1" si="62"/>
        <v>18147995.995060921</v>
      </c>
      <c r="G87" s="94">
        <v>26929</v>
      </c>
      <c r="H87" s="93">
        <f>4948425.96864714+227629.772</f>
        <v>5176055.74064714</v>
      </c>
      <c r="I87" s="93">
        <f ca="1">OFFSET('Historic CDM'!$C$76,0,(ROW()-ROW(E$2))/12)/12</f>
        <v>482645.36095961212</v>
      </c>
      <c r="J87" s="93">
        <f t="shared" ca="1" si="63"/>
        <v>5658701.1016067518</v>
      </c>
      <c r="K87" s="88">
        <f>1929+23</f>
        <v>1952</v>
      </c>
      <c r="L87" s="93">
        <f>13586930.9108676-Q87</f>
        <v>13586930.9108676</v>
      </c>
      <c r="M87" s="95">
        <f ca="1">OFFSET('Historic CDM'!$C$88,0,(ROW()-ROW(E$2))/12)/12</f>
        <v>1182255.3094457663</v>
      </c>
      <c r="N87" s="1">
        <f ca="1">L87+M87-Q87</f>
        <v>14769186.220313367</v>
      </c>
      <c r="O87" s="3">
        <f>34535.39-R87</f>
        <v>34535.39</v>
      </c>
      <c r="P87" s="2">
        <f>213-S87</f>
        <v>213</v>
      </c>
      <c r="Q87" s="93">
        <v>0</v>
      </c>
      <c r="R87" s="95">
        <v>0</v>
      </c>
      <c r="S87" s="94">
        <v>0</v>
      </c>
      <c r="T87" s="93">
        <v>546957.50000000023</v>
      </c>
      <c r="U87" s="96">
        <v>1531.58</v>
      </c>
      <c r="V87" s="102">
        <f>343+1163+621+571</f>
        <v>2698</v>
      </c>
      <c r="W87" s="93">
        <v>27248.9</v>
      </c>
      <c r="X87" s="99">
        <v>73.381</v>
      </c>
      <c r="Y87" s="88">
        <v>174</v>
      </c>
      <c r="Z87" s="93">
        <v>129846</v>
      </c>
      <c r="AA87" s="88">
        <v>141</v>
      </c>
      <c r="AB87" s="93">
        <v>8700347.5749999955</v>
      </c>
      <c r="AC87" s="94">
        <v>145</v>
      </c>
      <c r="AD87" s="93">
        <v>2518508.9251056714</v>
      </c>
      <c r="AE87" s="95">
        <v>6325.4</v>
      </c>
      <c r="AF87" s="94">
        <v>3</v>
      </c>
      <c r="AG87" s="90">
        <f>Weather!B255</f>
        <v>510.5</v>
      </c>
      <c r="AH87" s="90">
        <f>Weather!C255</f>
        <v>0</v>
      </c>
      <c r="AI87" s="90">
        <f>Employment!B87</f>
        <v>6896.8</v>
      </c>
      <c r="AJ87" s="90">
        <f>Employment!C87</f>
        <v>156</v>
      </c>
      <c r="AK87" s="130">
        <v>633508.5</v>
      </c>
      <c r="AL87" s="98">
        <f t="shared" si="44"/>
        <v>29</v>
      </c>
      <c r="AM87" s="106">
        <v>20</v>
      </c>
      <c r="AN87" s="90">
        <v>86</v>
      </c>
      <c r="AO87" s="90">
        <f t="shared" ref="AO87:BC87" si="84">AO75</f>
        <v>0</v>
      </c>
      <c r="AP87" s="90">
        <f t="shared" si="84"/>
        <v>1</v>
      </c>
      <c r="AQ87" s="90">
        <f t="shared" si="84"/>
        <v>0</v>
      </c>
      <c r="AR87" s="90">
        <f t="shared" si="84"/>
        <v>0</v>
      </c>
      <c r="AS87" s="90">
        <f t="shared" si="84"/>
        <v>0</v>
      </c>
      <c r="AT87" s="90">
        <f t="shared" si="84"/>
        <v>0</v>
      </c>
      <c r="AU87" s="90">
        <f t="shared" si="84"/>
        <v>0</v>
      </c>
      <c r="AV87" s="90">
        <f t="shared" si="84"/>
        <v>0</v>
      </c>
      <c r="AW87" s="90">
        <f t="shared" si="84"/>
        <v>0</v>
      </c>
      <c r="AX87" s="90">
        <f t="shared" si="84"/>
        <v>0</v>
      </c>
      <c r="AY87" s="90">
        <f t="shared" si="84"/>
        <v>0</v>
      </c>
      <c r="AZ87" s="90">
        <f t="shared" si="84"/>
        <v>0</v>
      </c>
      <c r="BA87" s="90">
        <f t="shared" si="84"/>
        <v>0</v>
      </c>
      <c r="BB87" s="90">
        <f t="shared" si="84"/>
        <v>0</v>
      </c>
      <c r="BC87" s="90">
        <f t="shared" si="84"/>
        <v>0</v>
      </c>
    </row>
    <row r="88" spans="1:55" x14ac:dyDescent="0.3">
      <c r="A88" s="91">
        <v>42430</v>
      </c>
      <c r="B88" s="92">
        <f t="shared" si="61"/>
        <v>2016</v>
      </c>
      <c r="C88" s="93">
        <f>30332876.6083333+879136</f>
        <v>31212012.608333301</v>
      </c>
      <c r="D88" s="93">
        <v>17270435.85713068</v>
      </c>
      <c r="E88" s="93">
        <f ca="1">OFFSET('Historic CDM'!$C$64,0,(ROW()-ROW(E$2))/12)/12</f>
        <v>486683.10675352643</v>
      </c>
      <c r="F88" s="93">
        <f t="shared" ca="1" si="62"/>
        <v>17757118.963884208</v>
      </c>
      <c r="G88" s="94">
        <v>26948</v>
      </c>
      <c r="H88" s="93">
        <f>4970009.11817994+225829.587</f>
        <v>5195838.70517994</v>
      </c>
      <c r="I88" s="93">
        <f ca="1">OFFSET('Historic CDM'!$C$76,0,(ROW()-ROW(E$2))/12)/12</f>
        <v>482645.36095961212</v>
      </c>
      <c r="J88" s="93">
        <f t="shared" ca="1" si="63"/>
        <v>5678484.0661395518</v>
      </c>
      <c r="K88" s="88">
        <f>1927+23</f>
        <v>1950</v>
      </c>
      <c r="L88" s="93">
        <f>13678424.2857756-Q88</f>
        <v>13678424.2857756</v>
      </c>
      <c r="M88" s="95">
        <f ca="1">OFFSET('Historic CDM'!$C$88,0,(ROW()-ROW(E$2))/12)/12</f>
        <v>1182255.3094457663</v>
      </c>
      <c r="N88" s="1">
        <f ca="1">L88+M88-Q88</f>
        <v>14860679.595221367</v>
      </c>
      <c r="O88" s="3">
        <f>34565.51-R88</f>
        <v>34565.51</v>
      </c>
      <c r="P88" s="2">
        <f>214-S88</f>
        <v>214</v>
      </c>
      <c r="Q88" s="93">
        <v>0</v>
      </c>
      <c r="R88" s="95">
        <v>0</v>
      </c>
      <c r="S88" s="94">
        <v>0</v>
      </c>
      <c r="T88" s="93">
        <v>491920.11290322611</v>
      </c>
      <c r="U88" s="96">
        <v>1396.9099999999999</v>
      </c>
      <c r="V88" s="102">
        <f>343+1170+621+573</f>
        <v>2707</v>
      </c>
      <c r="W88" s="93">
        <v>28454.35</v>
      </c>
      <c r="X88" s="99">
        <v>73.381</v>
      </c>
      <c r="Y88" s="88">
        <v>174</v>
      </c>
      <c r="Z88" s="93">
        <v>129846</v>
      </c>
      <c r="AA88" s="88">
        <v>141</v>
      </c>
      <c r="AB88" s="93">
        <v>9344317.1250000019</v>
      </c>
      <c r="AC88" s="94">
        <v>145</v>
      </c>
      <c r="AD88" s="93">
        <v>2565586.4310233588</v>
      </c>
      <c r="AE88" s="95">
        <v>6100.62</v>
      </c>
      <c r="AF88" s="94">
        <v>3</v>
      </c>
      <c r="AG88" s="90">
        <f>Weather!B256</f>
        <v>350.9</v>
      </c>
      <c r="AH88" s="90">
        <f>Weather!C256</f>
        <v>0</v>
      </c>
      <c r="AI88" s="90">
        <f>Employment!B88</f>
        <v>6872.4</v>
      </c>
      <c r="AJ88" s="90">
        <f>Employment!C88</f>
        <v>156.80000000000001</v>
      </c>
      <c r="AK88" s="130">
        <v>633508.5</v>
      </c>
      <c r="AL88" s="98">
        <f t="shared" si="44"/>
        <v>31</v>
      </c>
      <c r="AM88" s="106">
        <v>21</v>
      </c>
      <c r="AN88" s="90">
        <v>87</v>
      </c>
      <c r="AO88" s="90">
        <f t="shared" ref="AO88:BC88" si="85">AO76</f>
        <v>0</v>
      </c>
      <c r="AP88" s="90">
        <f t="shared" si="85"/>
        <v>0</v>
      </c>
      <c r="AQ88" s="90">
        <f t="shared" si="85"/>
        <v>1</v>
      </c>
      <c r="AR88" s="90">
        <f t="shared" si="85"/>
        <v>0</v>
      </c>
      <c r="AS88" s="90">
        <f t="shared" si="85"/>
        <v>0</v>
      </c>
      <c r="AT88" s="90">
        <f t="shared" si="85"/>
        <v>0</v>
      </c>
      <c r="AU88" s="90">
        <f t="shared" si="85"/>
        <v>0</v>
      </c>
      <c r="AV88" s="90">
        <f t="shared" si="85"/>
        <v>0</v>
      </c>
      <c r="AW88" s="90">
        <f t="shared" si="85"/>
        <v>0</v>
      </c>
      <c r="AX88" s="90">
        <f t="shared" si="85"/>
        <v>0</v>
      </c>
      <c r="AY88" s="90">
        <f t="shared" si="85"/>
        <v>0</v>
      </c>
      <c r="AZ88" s="90">
        <f t="shared" si="85"/>
        <v>0</v>
      </c>
      <c r="BA88" s="90">
        <f t="shared" si="85"/>
        <v>1</v>
      </c>
      <c r="BB88" s="90">
        <f t="shared" si="85"/>
        <v>0</v>
      </c>
      <c r="BC88" s="90">
        <f t="shared" si="85"/>
        <v>1</v>
      </c>
    </row>
    <row r="89" spans="1:55" x14ac:dyDescent="0.3">
      <c r="A89" s="91">
        <v>42461</v>
      </c>
      <c r="B89" s="92">
        <f t="shared" si="61"/>
        <v>2016</v>
      </c>
      <c r="C89" s="93">
        <f>26908847.475+860319</f>
        <v>27769166.475000001</v>
      </c>
      <c r="D89" s="93">
        <v>15707415.17376422</v>
      </c>
      <c r="E89" s="93">
        <f ca="1">OFFSET('Historic CDM'!$C$64,0,(ROW()-ROW(E$2))/12)/12</f>
        <v>486683.10675352643</v>
      </c>
      <c r="F89" s="93">
        <f t="shared" ca="1" si="62"/>
        <v>16194098.280517746</v>
      </c>
      <c r="G89" s="94">
        <v>27055</v>
      </c>
      <c r="H89" s="93">
        <f>4677753.98462559+217875.526</f>
        <v>4895629.5106255896</v>
      </c>
      <c r="I89" s="93">
        <f ca="1">OFFSET('Historic CDM'!$C$76,0,(ROW()-ROW(E$2))/12)/12</f>
        <v>482645.36095961212</v>
      </c>
      <c r="J89" s="93">
        <f t="shared" ca="1" si="63"/>
        <v>5378274.8715852015</v>
      </c>
      <c r="K89" s="88">
        <f>1925+23</f>
        <v>1948</v>
      </c>
      <c r="L89" s="93">
        <f>13359719.279759-Q89</f>
        <v>13359719.279758999</v>
      </c>
      <c r="M89" s="95">
        <f ca="1">OFFSET('Historic CDM'!$C$88,0,(ROW()-ROW(E$2))/12)/12</f>
        <v>1182255.3094457663</v>
      </c>
      <c r="N89" s="1">
        <f ca="1">L89+M89-Q89</f>
        <v>14541974.589204766</v>
      </c>
      <c r="O89" s="3">
        <f>36731.4-R89</f>
        <v>36731.4</v>
      </c>
      <c r="P89" s="2">
        <f>218-S89</f>
        <v>218</v>
      </c>
      <c r="Q89" s="93">
        <v>0</v>
      </c>
      <c r="R89" s="95">
        <v>0</v>
      </c>
      <c r="S89" s="94">
        <v>0</v>
      </c>
      <c r="T89" s="93">
        <v>412773.60176344088</v>
      </c>
      <c r="U89" s="96">
        <v>1396.9099999999999</v>
      </c>
      <c r="V89" s="102">
        <f>343+1170+621+573</f>
        <v>2707</v>
      </c>
      <c r="W89" s="93">
        <v>29941.16</v>
      </c>
      <c r="X89" s="99">
        <v>72.521000000000001</v>
      </c>
      <c r="Y89" s="88">
        <v>174</v>
      </c>
      <c r="Z89" s="93">
        <v>129846</v>
      </c>
      <c r="AA89" s="88">
        <v>141</v>
      </c>
      <c r="AB89" s="93">
        <v>10479646.275000006</v>
      </c>
      <c r="AC89" s="94">
        <v>156</v>
      </c>
      <c r="AD89" s="93">
        <v>2289773.1211720435</v>
      </c>
      <c r="AE89" s="95">
        <v>5997.91</v>
      </c>
      <c r="AF89" s="94">
        <v>3</v>
      </c>
      <c r="AG89" s="90">
        <f>Weather!B257</f>
        <v>315.20000000000005</v>
      </c>
      <c r="AH89" s="90">
        <f>Weather!C257</f>
        <v>0</v>
      </c>
      <c r="AI89" s="90">
        <f>Employment!B89</f>
        <v>6890.3</v>
      </c>
      <c r="AJ89" s="90">
        <f>Employment!C89</f>
        <v>159.30000000000001</v>
      </c>
      <c r="AK89" s="130">
        <v>633508.5</v>
      </c>
      <c r="AL89" s="98">
        <f t="shared" si="44"/>
        <v>30</v>
      </c>
      <c r="AM89" s="106">
        <v>21</v>
      </c>
      <c r="AN89" s="90">
        <v>88</v>
      </c>
      <c r="AO89" s="90">
        <f t="shared" ref="AO89:BC89" si="86">AO77</f>
        <v>0</v>
      </c>
      <c r="AP89" s="90">
        <f t="shared" si="86"/>
        <v>0</v>
      </c>
      <c r="AQ89" s="90">
        <f t="shared" si="86"/>
        <v>0</v>
      </c>
      <c r="AR89" s="90">
        <f t="shared" si="86"/>
        <v>1</v>
      </c>
      <c r="AS89" s="90">
        <f t="shared" si="86"/>
        <v>0</v>
      </c>
      <c r="AT89" s="90">
        <f t="shared" si="86"/>
        <v>0</v>
      </c>
      <c r="AU89" s="90">
        <f t="shared" si="86"/>
        <v>0</v>
      </c>
      <c r="AV89" s="90">
        <f t="shared" si="86"/>
        <v>0</v>
      </c>
      <c r="AW89" s="90">
        <f t="shared" si="86"/>
        <v>0</v>
      </c>
      <c r="AX89" s="90">
        <f t="shared" si="86"/>
        <v>0</v>
      </c>
      <c r="AY89" s="90">
        <f t="shared" si="86"/>
        <v>0</v>
      </c>
      <c r="AZ89" s="90">
        <f t="shared" si="86"/>
        <v>0</v>
      </c>
      <c r="BA89" s="90">
        <f t="shared" si="86"/>
        <v>1</v>
      </c>
      <c r="BB89" s="90">
        <f t="shared" si="86"/>
        <v>0</v>
      </c>
      <c r="BC89" s="90">
        <f t="shared" si="86"/>
        <v>1</v>
      </c>
    </row>
    <row r="90" spans="1:55" x14ac:dyDescent="0.3">
      <c r="A90" s="91">
        <v>42491</v>
      </c>
      <c r="B90" s="92">
        <f t="shared" si="61"/>
        <v>2016</v>
      </c>
      <c r="C90" s="93">
        <f>29508900.95+969008</f>
        <v>30477908.949999999</v>
      </c>
      <c r="D90" s="93">
        <v>18225838.891279869</v>
      </c>
      <c r="E90" s="93">
        <f ca="1">OFFSET('Historic CDM'!$C$64,0,(ROW()-ROW(E$2))/12)/12</f>
        <v>486683.10675352643</v>
      </c>
      <c r="F90" s="93">
        <f t="shared" ca="1" si="62"/>
        <v>18712521.998033397</v>
      </c>
      <c r="G90" s="94">
        <v>27061</v>
      </c>
      <c r="H90" s="93">
        <f>5083511.50094294+237227.532</f>
        <v>5320739.0329429395</v>
      </c>
      <c r="I90" s="93">
        <f ca="1">OFFSET('Historic CDM'!$C$76,0,(ROW()-ROW(E$2))/12)/12</f>
        <v>482645.36095961212</v>
      </c>
      <c r="J90" s="93">
        <f t="shared" ca="1" si="63"/>
        <v>5803384.3939025514</v>
      </c>
      <c r="K90" s="88">
        <f>1934+23</f>
        <v>1957</v>
      </c>
      <c r="L90" s="93">
        <f>13839342.9755697-Q90</f>
        <v>13839342.975569701</v>
      </c>
      <c r="M90" s="95">
        <f ca="1">OFFSET('Historic CDM'!$C$88,0,(ROW()-ROW(E$2))/12)/12</f>
        <v>1182255.3094457663</v>
      </c>
      <c r="N90" s="1">
        <f ca="1">L90+M90-Q90</f>
        <v>15021598.285015468</v>
      </c>
      <c r="O90" s="3">
        <f>36425.59-R90</f>
        <v>36425.589999999997</v>
      </c>
      <c r="P90" s="2">
        <f>220-S90</f>
        <v>220</v>
      </c>
      <c r="Q90" s="93">
        <v>0</v>
      </c>
      <c r="R90" s="95">
        <v>0</v>
      </c>
      <c r="S90" s="94">
        <v>0</v>
      </c>
      <c r="T90" s="93">
        <v>371591.73823655897</v>
      </c>
      <c r="U90" s="96">
        <v>1396.9099999999999</v>
      </c>
      <c r="V90" s="102">
        <f>343+1170+621+573</f>
        <v>2707</v>
      </c>
      <c r="W90" s="93">
        <v>27698.32</v>
      </c>
      <c r="X90" s="99">
        <v>72.251000000000005</v>
      </c>
      <c r="Y90" s="88">
        <v>174</v>
      </c>
      <c r="Z90" s="93">
        <v>129373</v>
      </c>
      <c r="AA90" s="88">
        <v>139</v>
      </c>
      <c r="AB90" s="93">
        <v>11016470.225000022</v>
      </c>
      <c r="AC90" s="94">
        <v>156</v>
      </c>
      <c r="AD90" s="93">
        <v>2326556.2939892458</v>
      </c>
      <c r="AE90" s="95">
        <v>7382.05</v>
      </c>
      <c r="AF90" s="94">
        <v>3</v>
      </c>
      <c r="AG90" s="90">
        <f>Weather!B258</f>
        <v>110.9</v>
      </c>
      <c r="AH90" s="90">
        <f>Weather!C258</f>
        <v>47</v>
      </c>
      <c r="AI90" s="90">
        <f>Employment!B90</f>
        <v>6962.5</v>
      </c>
      <c r="AJ90" s="90">
        <f>Employment!C90</f>
        <v>162.1</v>
      </c>
      <c r="AK90" s="130">
        <v>633508.5</v>
      </c>
      <c r="AL90" s="98">
        <f t="shared" si="44"/>
        <v>31</v>
      </c>
      <c r="AM90" s="106">
        <v>21</v>
      </c>
      <c r="AN90" s="90">
        <v>89</v>
      </c>
      <c r="AO90" s="90">
        <f t="shared" ref="AO90:BC90" si="87">AO78</f>
        <v>0</v>
      </c>
      <c r="AP90" s="90">
        <f t="shared" si="87"/>
        <v>0</v>
      </c>
      <c r="AQ90" s="90">
        <f t="shared" si="87"/>
        <v>0</v>
      </c>
      <c r="AR90" s="90">
        <f t="shared" si="87"/>
        <v>0</v>
      </c>
      <c r="AS90" s="90">
        <f t="shared" si="87"/>
        <v>1</v>
      </c>
      <c r="AT90" s="90">
        <f t="shared" si="87"/>
        <v>0</v>
      </c>
      <c r="AU90" s="90">
        <f t="shared" si="87"/>
        <v>0</v>
      </c>
      <c r="AV90" s="90">
        <f t="shared" si="87"/>
        <v>0</v>
      </c>
      <c r="AW90" s="90">
        <f t="shared" si="87"/>
        <v>0</v>
      </c>
      <c r="AX90" s="90">
        <f t="shared" si="87"/>
        <v>0</v>
      </c>
      <c r="AY90" s="90">
        <f t="shared" si="87"/>
        <v>0</v>
      </c>
      <c r="AZ90" s="90">
        <f t="shared" si="87"/>
        <v>0</v>
      </c>
      <c r="BA90" s="90">
        <f t="shared" si="87"/>
        <v>1</v>
      </c>
      <c r="BB90" s="90">
        <f t="shared" si="87"/>
        <v>0</v>
      </c>
      <c r="BC90" s="90">
        <f t="shared" si="87"/>
        <v>1</v>
      </c>
    </row>
    <row r="91" spans="1:55" x14ac:dyDescent="0.3">
      <c r="A91" s="91">
        <v>42522</v>
      </c>
      <c r="B91" s="92">
        <f t="shared" si="61"/>
        <v>2016</v>
      </c>
      <c r="C91" s="93">
        <f>40159191.7333333+1030933</f>
        <v>41190124.733333297</v>
      </c>
      <c r="D91" s="93">
        <v>24856254.943765271</v>
      </c>
      <c r="E91" s="93">
        <f ca="1">OFFSET('Historic CDM'!$C$64,0,(ROW()-ROW(E$2))/12)/12</f>
        <v>486683.10675352643</v>
      </c>
      <c r="F91" s="93">
        <f t="shared" ca="1" si="62"/>
        <v>25342938.0505188</v>
      </c>
      <c r="G91" s="94">
        <v>27125</v>
      </c>
      <c r="H91" s="93">
        <f>5616894.50299955+253371.264</f>
        <v>5870265.7669995502</v>
      </c>
      <c r="I91" s="93">
        <f ca="1">OFFSET('Historic CDM'!$C$76,0,(ROW()-ROW(E$2))/12)/12</f>
        <v>482645.36095961212</v>
      </c>
      <c r="J91" s="93">
        <f t="shared" ca="1" si="63"/>
        <v>6352911.127959162</v>
      </c>
      <c r="K91" s="88">
        <f>1929+23</f>
        <v>1952</v>
      </c>
      <c r="L91" s="93">
        <f>15570018.1302993-Q91</f>
        <v>15570018.1302993</v>
      </c>
      <c r="M91" s="95">
        <f ca="1">OFFSET('Historic CDM'!$C$88,0,(ROW()-ROW(E$2))/12)/12</f>
        <v>1182255.3094457663</v>
      </c>
      <c r="N91" s="1">
        <f ca="1">L91+M91-Q91</f>
        <v>16752273.439745067</v>
      </c>
      <c r="O91" s="3">
        <f>41425.05-R91</f>
        <v>41425.050000000003</v>
      </c>
      <c r="P91" s="2">
        <f>221-S91</f>
        <v>221</v>
      </c>
      <c r="Q91" s="93">
        <v>0</v>
      </c>
      <c r="R91" s="95">
        <v>0</v>
      </c>
      <c r="S91" s="94">
        <v>0</v>
      </c>
      <c r="T91" s="93">
        <v>220602.38976344079</v>
      </c>
      <c r="U91" s="96">
        <v>1279.05</v>
      </c>
      <c r="V91" s="102">
        <f>343+1184+621+573</f>
        <v>2721</v>
      </c>
      <c r="W91" s="93">
        <v>27718.04</v>
      </c>
      <c r="X91" s="99">
        <v>72.251000000000005</v>
      </c>
      <c r="Y91" s="88">
        <v>174</v>
      </c>
      <c r="Z91" s="93">
        <v>129373</v>
      </c>
      <c r="AA91" s="88">
        <v>139</v>
      </c>
      <c r="AB91" s="93">
        <v>9931556.1249999944</v>
      </c>
      <c r="AC91" s="94">
        <v>156</v>
      </c>
      <c r="AD91" s="93">
        <v>2706682.6466774195</v>
      </c>
      <c r="AE91" s="95">
        <v>7567.06</v>
      </c>
      <c r="AF91" s="94">
        <v>3</v>
      </c>
      <c r="AG91" s="90">
        <f>Weather!B259</f>
        <v>5.6</v>
      </c>
      <c r="AH91" s="90">
        <f>Weather!C259</f>
        <v>127.2</v>
      </c>
      <c r="AI91" s="90">
        <f>Employment!B91</f>
        <v>7047.3</v>
      </c>
      <c r="AJ91" s="90">
        <f>Employment!C91</f>
        <v>166.7</v>
      </c>
      <c r="AK91" s="130">
        <v>633508.5</v>
      </c>
      <c r="AL91" s="98">
        <f t="shared" si="44"/>
        <v>30</v>
      </c>
      <c r="AM91" s="106">
        <v>22</v>
      </c>
      <c r="AN91" s="90">
        <v>90</v>
      </c>
      <c r="AO91" s="90">
        <f t="shared" ref="AO91:BC91" si="88">AO79</f>
        <v>0</v>
      </c>
      <c r="AP91" s="90">
        <f t="shared" si="88"/>
        <v>0</v>
      </c>
      <c r="AQ91" s="90">
        <f t="shared" si="88"/>
        <v>0</v>
      </c>
      <c r="AR91" s="90">
        <f t="shared" si="88"/>
        <v>0</v>
      </c>
      <c r="AS91" s="90">
        <f t="shared" si="88"/>
        <v>0</v>
      </c>
      <c r="AT91" s="90">
        <f t="shared" si="88"/>
        <v>1</v>
      </c>
      <c r="AU91" s="90">
        <f t="shared" si="88"/>
        <v>0</v>
      </c>
      <c r="AV91" s="90">
        <f t="shared" si="88"/>
        <v>0</v>
      </c>
      <c r="AW91" s="90">
        <f t="shared" si="88"/>
        <v>0</v>
      </c>
      <c r="AX91" s="90">
        <f t="shared" si="88"/>
        <v>0</v>
      </c>
      <c r="AY91" s="90">
        <f t="shared" si="88"/>
        <v>0</v>
      </c>
      <c r="AZ91" s="90">
        <f t="shared" si="88"/>
        <v>0</v>
      </c>
      <c r="BA91" s="90">
        <f t="shared" si="88"/>
        <v>0</v>
      </c>
      <c r="BB91" s="90">
        <f t="shared" si="88"/>
        <v>0</v>
      </c>
      <c r="BC91" s="90">
        <f t="shared" si="88"/>
        <v>0</v>
      </c>
    </row>
    <row r="92" spans="1:55" x14ac:dyDescent="0.3">
      <c r="A92" s="91">
        <v>42552</v>
      </c>
      <c r="B92" s="92">
        <f t="shared" si="61"/>
        <v>2016</v>
      </c>
      <c r="C92" s="93">
        <f>51680528.9+1117581</f>
        <v>52798109.899999999</v>
      </c>
      <c r="D92" s="93">
        <v>32189892.979573473</v>
      </c>
      <c r="E92" s="93">
        <f ca="1">OFFSET('Historic CDM'!$C$64,0,(ROW()-ROW(E$2))/12)/12</f>
        <v>486683.10675352643</v>
      </c>
      <c r="F92" s="93">
        <f t="shared" ca="1" si="62"/>
        <v>32676576.086327001</v>
      </c>
      <c r="G92" s="94">
        <v>27189</v>
      </c>
      <c r="H92" s="93">
        <f>6462700.99741907+323944.521</f>
        <v>6786645.5184190702</v>
      </c>
      <c r="I92" s="93">
        <f ca="1">OFFSET('Historic CDM'!$C$76,0,(ROW()-ROW(E$2))/12)/12</f>
        <v>482645.36095961212</v>
      </c>
      <c r="J92" s="93">
        <f t="shared" ca="1" si="63"/>
        <v>7269290.879378682</v>
      </c>
      <c r="K92" s="88">
        <f>1931+27</f>
        <v>1958</v>
      </c>
      <c r="L92" s="93">
        <f>17537484.8251299-Q92</f>
        <v>17537484.8251299</v>
      </c>
      <c r="M92" s="95">
        <f ca="1">OFFSET('Historic CDM'!$C$88,0,(ROW()-ROW(E$2))/12)/12</f>
        <v>1182255.3094457663</v>
      </c>
      <c r="N92" s="1">
        <f ca="1">L92+M92-Q92</f>
        <v>18719740.134575665</v>
      </c>
      <c r="O92" s="3">
        <f>47326.3200000001-R92</f>
        <v>47326.320000000102</v>
      </c>
      <c r="P92" s="5">
        <f>247-S92</f>
        <v>247</v>
      </c>
      <c r="Q92" s="93">
        <v>0</v>
      </c>
      <c r="R92" s="95">
        <v>0</v>
      </c>
      <c r="S92" s="94">
        <v>0</v>
      </c>
      <c r="T92" s="93">
        <v>227300.39088172046</v>
      </c>
      <c r="U92" s="96">
        <v>923.6099999999999</v>
      </c>
      <c r="V92" s="102">
        <f>343+1184+621+573</f>
        <v>2721</v>
      </c>
      <c r="W92" s="93">
        <v>27941.56</v>
      </c>
      <c r="X92" s="99">
        <v>72.251000000000005</v>
      </c>
      <c r="Y92" s="88">
        <v>174</v>
      </c>
      <c r="Z92" s="93">
        <v>129373</v>
      </c>
      <c r="AA92" s="88">
        <v>139</v>
      </c>
      <c r="AB92" s="93">
        <v>9630350.9750000015</v>
      </c>
      <c r="AC92" s="94">
        <v>156</v>
      </c>
      <c r="AD92" s="93">
        <v>3094569.733967741</v>
      </c>
      <c r="AE92" s="95">
        <v>8803.42</v>
      </c>
      <c r="AF92" s="94">
        <v>3</v>
      </c>
      <c r="AG92" s="90">
        <f>Weather!B260</f>
        <v>0</v>
      </c>
      <c r="AH92" s="90">
        <f>Weather!C260</f>
        <v>213.1</v>
      </c>
      <c r="AI92" s="90">
        <f>Employment!B92</f>
        <v>7090.8</v>
      </c>
      <c r="AJ92" s="90">
        <f>Employment!C92</f>
        <v>169.9</v>
      </c>
      <c r="AK92" s="130">
        <v>633508.5</v>
      </c>
      <c r="AL92" s="98">
        <f t="shared" si="44"/>
        <v>31</v>
      </c>
      <c r="AM92" s="106">
        <v>20</v>
      </c>
      <c r="AN92" s="90">
        <v>91</v>
      </c>
      <c r="AO92" s="90">
        <f t="shared" ref="AO92:BC92" si="89">AO80</f>
        <v>0</v>
      </c>
      <c r="AP92" s="90">
        <f t="shared" si="89"/>
        <v>0</v>
      </c>
      <c r="AQ92" s="90">
        <f t="shared" si="89"/>
        <v>0</v>
      </c>
      <c r="AR92" s="90">
        <f t="shared" si="89"/>
        <v>0</v>
      </c>
      <c r="AS92" s="90">
        <f t="shared" si="89"/>
        <v>0</v>
      </c>
      <c r="AT92" s="90">
        <f t="shared" si="89"/>
        <v>0</v>
      </c>
      <c r="AU92" s="90">
        <f t="shared" si="89"/>
        <v>1</v>
      </c>
      <c r="AV92" s="90">
        <f t="shared" si="89"/>
        <v>0</v>
      </c>
      <c r="AW92" s="90">
        <f t="shared" si="89"/>
        <v>0</v>
      </c>
      <c r="AX92" s="90">
        <f t="shared" si="89"/>
        <v>0</v>
      </c>
      <c r="AY92" s="90">
        <f t="shared" si="89"/>
        <v>0</v>
      </c>
      <c r="AZ92" s="90">
        <f t="shared" si="89"/>
        <v>0</v>
      </c>
      <c r="BA92" s="90">
        <f t="shared" si="89"/>
        <v>0</v>
      </c>
      <c r="BB92" s="90">
        <f t="shared" si="89"/>
        <v>0</v>
      </c>
      <c r="BC92" s="90">
        <f t="shared" si="89"/>
        <v>0</v>
      </c>
    </row>
    <row r="93" spans="1:55" x14ac:dyDescent="0.3">
      <c r="A93" s="91">
        <v>42583</v>
      </c>
      <c r="B93" s="92">
        <f t="shared" si="61"/>
        <v>2016</v>
      </c>
      <c r="C93" s="93">
        <f>55073503.9416667+1135588</f>
        <v>56209091.9416667</v>
      </c>
      <c r="D93" s="93">
        <v>32141058.683411758</v>
      </c>
      <c r="E93" s="93">
        <f ca="1">OFFSET('Historic CDM'!$C$64,0,(ROW()-ROW(E$2))/12)/12</f>
        <v>486683.10675352643</v>
      </c>
      <c r="F93" s="93">
        <f t="shared" ca="1" si="62"/>
        <v>32627741.790165287</v>
      </c>
      <c r="G93" s="94">
        <v>27273</v>
      </c>
      <c r="H93" s="93">
        <f>6455987.4677122+341554.9236</f>
        <v>6797542.3913122006</v>
      </c>
      <c r="I93" s="93">
        <f ca="1">OFFSET('Historic CDM'!$C$76,0,(ROW()-ROW(E$2))/12)/12</f>
        <v>482645.36095961212</v>
      </c>
      <c r="J93" s="93">
        <f t="shared" ca="1" si="63"/>
        <v>7280187.7522718124</v>
      </c>
      <c r="K93" s="88">
        <f>1930+26</f>
        <v>1956</v>
      </c>
      <c r="L93" s="93">
        <f>19715112.9230421-Q93</f>
        <v>19715112.9230421</v>
      </c>
      <c r="M93" s="95">
        <f ca="1">OFFSET('Historic CDM'!$C$88,0,(ROW()-ROW(E$2))/12)/12</f>
        <v>1182255.3094457663</v>
      </c>
      <c r="N93" s="1">
        <f ca="1">L93+M93-Q93</f>
        <v>20897368.232487865</v>
      </c>
      <c r="O93" s="3">
        <f>47548.46-R93</f>
        <v>47548.46</v>
      </c>
      <c r="P93" s="2">
        <f>218-S93</f>
        <v>218</v>
      </c>
      <c r="Q93" s="93">
        <v>0</v>
      </c>
      <c r="R93" s="95">
        <v>0</v>
      </c>
      <c r="S93" s="94">
        <v>0</v>
      </c>
      <c r="T93" s="93">
        <v>254316.21032258053</v>
      </c>
      <c r="U93" s="96">
        <v>918.03</v>
      </c>
      <c r="V93" s="102">
        <f>343+1184+621+573</f>
        <v>2721</v>
      </c>
      <c r="W93" s="93">
        <v>28264.09</v>
      </c>
      <c r="X93" s="99">
        <v>72.055999999999997</v>
      </c>
      <c r="Y93" s="88">
        <v>173</v>
      </c>
      <c r="Z93" s="93">
        <v>129373</v>
      </c>
      <c r="AA93" s="88">
        <v>139</v>
      </c>
      <c r="AB93" s="93">
        <v>8759142.349999994</v>
      </c>
      <c r="AC93" s="94">
        <v>156</v>
      </c>
      <c r="AD93" s="93">
        <v>3564597.1351612899</v>
      </c>
      <c r="AE93" s="95">
        <v>9070.7199999999993</v>
      </c>
      <c r="AF93" s="94">
        <v>3</v>
      </c>
      <c r="AG93" s="90">
        <f>Weather!B261</f>
        <v>0</v>
      </c>
      <c r="AH93" s="90">
        <f>Weather!C261</f>
        <v>219</v>
      </c>
      <c r="AI93" s="90">
        <f>Employment!B93</f>
        <v>7083.3</v>
      </c>
      <c r="AJ93" s="90">
        <f>Employment!C93</f>
        <v>171.7</v>
      </c>
      <c r="AK93" s="130">
        <v>633508.5</v>
      </c>
      <c r="AL93" s="98">
        <f t="shared" si="44"/>
        <v>31</v>
      </c>
      <c r="AM93" s="106">
        <v>22</v>
      </c>
      <c r="AN93" s="90">
        <v>92</v>
      </c>
      <c r="AO93" s="90">
        <f t="shared" ref="AO93:BC93" si="90">AO81</f>
        <v>0</v>
      </c>
      <c r="AP93" s="90">
        <f t="shared" si="90"/>
        <v>0</v>
      </c>
      <c r="AQ93" s="90">
        <f t="shared" si="90"/>
        <v>0</v>
      </c>
      <c r="AR93" s="90">
        <f t="shared" si="90"/>
        <v>0</v>
      </c>
      <c r="AS93" s="90">
        <f t="shared" si="90"/>
        <v>0</v>
      </c>
      <c r="AT93" s="90">
        <f t="shared" si="90"/>
        <v>0</v>
      </c>
      <c r="AU93" s="90">
        <f t="shared" si="90"/>
        <v>0</v>
      </c>
      <c r="AV93" s="90">
        <f t="shared" si="90"/>
        <v>1</v>
      </c>
      <c r="AW93" s="90">
        <f t="shared" si="90"/>
        <v>0</v>
      </c>
      <c r="AX93" s="90">
        <f t="shared" si="90"/>
        <v>0</v>
      </c>
      <c r="AY93" s="90">
        <f t="shared" si="90"/>
        <v>0</v>
      </c>
      <c r="AZ93" s="90">
        <f t="shared" si="90"/>
        <v>0</v>
      </c>
      <c r="BA93" s="90">
        <f t="shared" si="90"/>
        <v>0</v>
      </c>
      <c r="BB93" s="90">
        <f t="shared" si="90"/>
        <v>0</v>
      </c>
      <c r="BC93" s="90">
        <f t="shared" si="90"/>
        <v>0</v>
      </c>
    </row>
    <row r="94" spans="1:55" x14ac:dyDescent="0.3">
      <c r="A94" s="91">
        <v>42614</v>
      </c>
      <c r="B94" s="92">
        <f t="shared" si="61"/>
        <v>2016</v>
      </c>
      <c r="C94" s="93">
        <f>42155411.6416667+1019027</f>
        <v>43174438.641666703</v>
      </c>
      <c r="D94" s="93">
        <v>23328451.549340326</v>
      </c>
      <c r="E94" s="93">
        <f ca="1">OFFSET('Historic CDM'!$C$64,0,(ROW()-ROW(E$2))/12)/12</f>
        <v>486683.10675352643</v>
      </c>
      <c r="F94" s="93">
        <f t="shared" ca="1" si="62"/>
        <v>23815134.656093854</v>
      </c>
      <c r="G94" s="94">
        <v>27243</v>
      </c>
      <c r="H94" s="93">
        <f>5489634.24939702+293488.501</f>
        <v>5783122.75039702</v>
      </c>
      <c r="I94" s="93">
        <f ca="1">OFFSET('Historic CDM'!$C$76,0,(ROW()-ROW(E$2))/12)/12</f>
        <v>482645.36095961212</v>
      </c>
      <c r="J94" s="93">
        <f t="shared" ca="1" si="63"/>
        <v>6265768.1113566319</v>
      </c>
      <c r="K94" s="88">
        <f>1929+27</f>
        <v>1956</v>
      </c>
      <c r="L94" s="93">
        <f>18836553.6685622-Q94</f>
        <v>18836553.6685622</v>
      </c>
      <c r="M94" s="95">
        <f ca="1">OFFSET('Historic CDM'!$C$88,0,(ROW()-ROW(E$2))/12)/12</f>
        <v>1182255.3094457663</v>
      </c>
      <c r="N94" s="1">
        <f ca="1">L94+M94-Q94</f>
        <v>20018808.978007965</v>
      </c>
      <c r="O94" s="3">
        <f>48008.95-R94</f>
        <v>48008.95</v>
      </c>
      <c r="P94" s="2">
        <f>218-S94</f>
        <v>218</v>
      </c>
      <c r="Q94" s="93">
        <v>0</v>
      </c>
      <c r="R94" s="95">
        <v>0</v>
      </c>
      <c r="S94" s="94">
        <v>0</v>
      </c>
      <c r="T94" s="93">
        <v>226919.5871290323</v>
      </c>
      <c r="U94" s="96">
        <v>868.92</v>
      </c>
      <c r="V94" s="102">
        <f>343+1199+621+575</f>
        <v>2738</v>
      </c>
      <c r="W94" s="93">
        <v>27569.439999999999</v>
      </c>
      <c r="X94" s="99">
        <v>72.055999999999997</v>
      </c>
      <c r="Y94" s="88">
        <v>173</v>
      </c>
      <c r="Z94" s="93">
        <v>129373</v>
      </c>
      <c r="AA94" s="88">
        <v>139</v>
      </c>
      <c r="AB94" s="93">
        <v>8171512.1000000006</v>
      </c>
      <c r="AC94" s="94">
        <v>156</v>
      </c>
      <c r="AD94" s="93">
        <v>2934361.3488709675</v>
      </c>
      <c r="AE94" s="95">
        <v>9179.65</v>
      </c>
      <c r="AF94" s="94">
        <v>3</v>
      </c>
      <c r="AG94" s="90">
        <f>Weather!B262</f>
        <v>8</v>
      </c>
      <c r="AH94" s="90">
        <f>Weather!C262</f>
        <v>90.1</v>
      </c>
      <c r="AI94" s="90">
        <f>Employment!B94</f>
        <v>7037</v>
      </c>
      <c r="AJ94" s="90">
        <f>Employment!C94</f>
        <v>170.5</v>
      </c>
      <c r="AK94" s="130">
        <v>633508.5</v>
      </c>
      <c r="AL94" s="98">
        <f t="shared" si="44"/>
        <v>30</v>
      </c>
      <c r="AM94" s="106">
        <v>21</v>
      </c>
      <c r="AN94" s="90">
        <v>93</v>
      </c>
      <c r="AO94" s="90">
        <f t="shared" ref="AO94:BC94" si="91">AO82</f>
        <v>0</v>
      </c>
      <c r="AP94" s="90">
        <f t="shared" si="91"/>
        <v>0</v>
      </c>
      <c r="AQ94" s="90">
        <f t="shared" si="91"/>
        <v>0</v>
      </c>
      <c r="AR94" s="90">
        <f t="shared" si="91"/>
        <v>0</v>
      </c>
      <c r="AS94" s="90">
        <f t="shared" si="91"/>
        <v>0</v>
      </c>
      <c r="AT94" s="90">
        <f t="shared" si="91"/>
        <v>0</v>
      </c>
      <c r="AU94" s="90">
        <f t="shared" si="91"/>
        <v>0</v>
      </c>
      <c r="AV94" s="90">
        <f t="shared" si="91"/>
        <v>0</v>
      </c>
      <c r="AW94" s="90">
        <f t="shared" si="91"/>
        <v>1</v>
      </c>
      <c r="AX94" s="90">
        <f t="shared" si="91"/>
        <v>0</v>
      </c>
      <c r="AY94" s="90">
        <f t="shared" si="91"/>
        <v>0</v>
      </c>
      <c r="AZ94" s="90">
        <f t="shared" si="91"/>
        <v>0</v>
      </c>
      <c r="BA94" s="90">
        <f t="shared" si="91"/>
        <v>0</v>
      </c>
      <c r="BB94" s="90">
        <f t="shared" si="91"/>
        <v>0</v>
      </c>
      <c r="BC94" s="90">
        <f t="shared" si="91"/>
        <v>0</v>
      </c>
    </row>
    <row r="95" spans="1:55" x14ac:dyDescent="0.3">
      <c r="A95" s="91">
        <v>42644</v>
      </c>
      <c r="B95" s="92">
        <f t="shared" si="61"/>
        <v>2016</v>
      </c>
      <c r="C95" s="93">
        <f>31855410.7833333+935969</f>
        <v>32791379.783333302</v>
      </c>
      <c r="D95" s="93">
        <v>17590911.603077535</v>
      </c>
      <c r="E95" s="93">
        <f ca="1">OFFSET('Historic CDM'!$C$64,0,(ROW()-ROW(E$2))/12)/12</f>
        <v>486683.10675352643</v>
      </c>
      <c r="F95" s="93">
        <f t="shared" ca="1" si="62"/>
        <v>18077594.709831063</v>
      </c>
      <c r="G95" s="94">
        <v>27267</v>
      </c>
      <c r="H95" s="93">
        <f>4870054.51455307+254018.35</f>
        <v>5124072.8645530697</v>
      </c>
      <c r="I95" s="93">
        <f ca="1">OFFSET('Historic CDM'!$C$76,0,(ROW()-ROW(E$2))/12)/12</f>
        <v>482645.36095961212</v>
      </c>
      <c r="J95" s="93">
        <f t="shared" ca="1" si="63"/>
        <v>5606718.2255126815</v>
      </c>
      <c r="K95" s="88">
        <f>1924+26</f>
        <v>1950</v>
      </c>
      <c r="L95" s="93">
        <f>16422155.3190744-Q95</f>
        <v>16422155.3190744</v>
      </c>
      <c r="M95" s="95">
        <f ca="1">OFFSET('Historic CDM'!$C$88,0,(ROW()-ROW(E$2))/12)/12</f>
        <v>1182255.3094457663</v>
      </c>
      <c r="N95" s="1">
        <f ca="1">L95+M95-Q95</f>
        <v>17604410.628520165</v>
      </c>
      <c r="O95" s="3">
        <f>39909.88-R95</f>
        <v>39909.879999999997</v>
      </c>
      <c r="P95" s="2">
        <f>217-S95</f>
        <v>217</v>
      </c>
      <c r="Q95" s="93">
        <v>0</v>
      </c>
      <c r="R95" s="95">
        <v>0</v>
      </c>
      <c r="S95" s="94">
        <v>0</v>
      </c>
      <c r="T95" s="93">
        <v>266276.50964516128</v>
      </c>
      <c r="U95" s="96">
        <v>721.62</v>
      </c>
      <c r="V95" s="102">
        <f>343+1199+621+575</f>
        <v>2738</v>
      </c>
      <c r="W95" s="93">
        <v>22738.9</v>
      </c>
      <c r="X95" s="99">
        <v>71.861000000000004</v>
      </c>
      <c r="Y95" s="88">
        <v>172</v>
      </c>
      <c r="Z95" s="93">
        <v>129373</v>
      </c>
      <c r="AA95" s="88">
        <v>139</v>
      </c>
      <c r="AB95" s="93">
        <v>9043156.0750000086</v>
      </c>
      <c r="AC95" s="94">
        <v>159</v>
      </c>
      <c r="AD95" s="93">
        <v>2701535.0766129042</v>
      </c>
      <c r="AE95" s="95">
        <v>7034.65</v>
      </c>
      <c r="AF95" s="94">
        <v>3</v>
      </c>
      <c r="AG95" s="90">
        <f>Weather!B263</f>
        <v>146</v>
      </c>
      <c r="AH95" s="90">
        <f>Weather!C263</f>
        <v>22.7</v>
      </c>
      <c r="AI95" s="90">
        <f>Employment!B95</f>
        <v>7033.4</v>
      </c>
      <c r="AJ95" s="90">
        <f>Employment!C95</f>
        <v>169.2</v>
      </c>
      <c r="AK95" s="130">
        <v>633508.5</v>
      </c>
      <c r="AL95" s="98">
        <f t="shared" si="44"/>
        <v>31</v>
      </c>
      <c r="AM95" s="106">
        <v>20</v>
      </c>
      <c r="AN95" s="90">
        <v>94</v>
      </c>
      <c r="AO95" s="90">
        <f t="shared" ref="AO95:BC95" si="92">AO83</f>
        <v>0</v>
      </c>
      <c r="AP95" s="90">
        <f t="shared" si="92"/>
        <v>0</v>
      </c>
      <c r="AQ95" s="90">
        <f t="shared" si="92"/>
        <v>0</v>
      </c>
      <c r="AR95" s="90">
        <f t="shared" si="92"/>
        <v>0</v>
      </c>
      <c r="AS95" s="90">
        <f t="shared" si="92"/>
        <v>0</v>
      </c>
      <c r="AT95" s="90">
        <f t="shared" si="92"/>
        <v>0</v>
      </c>
      <c r="AU95" s="90">
        <f t="shared" si="92"/>
        <v>0</v>
      </c>
      <c r="AV95" s="90">
        <f t="shared" si="92"/>
        <v>0</v>
      </c>
      <c r="AW95" s="90">
        <f t="shared" si="92"/>
        <v>0</v>
      </c>
      <c r="AX95" s="90">
        <f t="shared" si="92"/>
        <v>1</v>
      </c>
      <c r="AY95" s="90">
        <f t="shared" si="92"/>
        <v>0</v>
      </c>
      <c r="AZ95" s="90">
        <f t="shared" si="92"/>
        <v>0</v>
      </c>
      <c r="BA95" s="90">
        <f t="shared" si="92"/>
        <v>0</v>
      </c>
      <c r="BB95" s="90">
        <f t="shared" si="92"/>
        <v>1</v>
      </c>
      <c r="BC95" s="90">
        <f t="shared" si="92"/>
        <v>1</v>
      </c>
    </row>
    <row r="96" spans="1:55" x14ac:dyDescent="0.3">
      <c r="A96" s="91">
        <v>42675</v>
      </c>
      <c r="B96" s="92">
        <f t="shared" si="61"/>
        <v>2016</v>
      </c>
      <c r="C96" s="93">
        <f>31540605.5083333+850519</f>
        <v>32391124.508333299</v>
      </c>
      <c r="D96" s="93">
        <v>16513479.691503597</v>
      </c>
      <c r="E96" s="93">
        <f ca="1">OFFSET('Historic CDM'!$C$64,0,(ROW()-ROW(E$2))/12)/12</f>
        <v>486683.10675352643</v>
      </c>
      <c r="F96" s="93">
        <f t="shared" ca="1" si="62"/>
        <v>17000162.798257124</v>
      </c>
      <c r="G96" s="94">
        <v>27306</v>
      </c>
      <c r="H96" s="93">
        <f>4658811.14040408+239036.663</f>
        <v>4897847.8034040798</v>
      </c>
      <c r="I96" s="93">
        <f ca="1">OFFSET('Historic CDM'!$C$76,0,(ROW()-ROW(E$2))/12)/12</f>
        <v>482645.36095961212</v>
      </c>
      <c r="J96" s="93">
        <f t="shared" ca="1" si="63"/>
        <v>5380493.1643636916</v>
      </c>
      <c r="K96" s="88">
        <f>1925+28</f>
        <v>1953</v>
      </c>
      <c r="L96" s="93">
        <f>15463618.8703551-Q96</f>
        <v>15463618.870355099</v>
      </c>
      <c r="M96" s="95">
        <f ca="1">OFFSET('Historic CDM'!$C$88,0,(ROW()-ROW(E$2))/12)/12</f>
        <v>1182255.3094457663</v>
      </c>
      <c r="N96" s="1">
        <f ca="1">L96+M96-Q96</f>
        <v>16645874.179800866</v>
      </c>
      <c r="O96" s="3">
        <f>36835.52-R96</f>
        <v>36835.519999999997</v>
      </c>
      <c r="P96" s="2">
        <f>218-S96</f>
        <v>218</v>
      </c>
      <c r="Q96" s="93">
        <v>0</v>
      </c>
      <c r="R96" s="95">
        <v>0</v>
      </c>
      <c r="S96" s="94">
        <v>0</v>
      </c>
      <c r="T96" s="93">
        <v>281181.00002150546</v>
      </c>
      <c r="U96" s="96">
        <v>753.08999999999992</v>
      </c>
      <c r="V96" s="102">
        <f>343+1200+621+576</f>
        <v>2740</v>
      </c>
      <c r="W96" s="93">
        <v>32811.839999999997</v>
      </c>
      <c r="X96" s="99">
        <v>71.861000000000004</v>
      </c>
      <c r="Y96" s="88">
        <v>172</v>
      </c>
      <c r="Z96" s="93">
        <v>129373</v>
      </c>
      <c r="AA96" s="88">
        <v>139</v>
      </c>
      <c r="AB96" s="93">
        <v>8571276.424999997</v>
      </c>
      <c r="AC96" s="94">
        <v>164</v>
      </c>
      <c r="AD96" s="93">
        <v>2668913.378053763</v>
      </c>
      <c r="AE96" s="95">
        <v>7195.37</v>
      </c>
      <c r="AF96" s="94">
        <v>3</v>
      </c>
      <c r="AG96" s="90">
        <f>Weather!B264</f>
        <v>290.7</v>
      </c>
      <c r="AH96" s="90">
        <f>Weather!C264</f>
        <v>0</v>
      </c>
      <c r="AI96" s="90">
        <f>Employment!B96</f>
        <v>7026.9</v>
      </c>
      <c r="AJ96" s="90">
        <f>Employment!C96</f>
        <v>165.5</v>
      </c>
      <c r="AK96" s="130">
        <v>633508.5</v>
      </c>
      <c r="AL96" s="98">
        <f t="shared" si="44"/>
        <v>30</v>
      </c>
      <c r="AM96" s="106">
        <v>22</v>
      </c>
      <c r="AN96" s="90">
        <v>95</v>
      </c>
      <c r="AO96" s="90">
        <f t="shared" ref="AO96:BC96" si="93">AO84</f>
        <v>0</v>
      </c>
      <c r="AP96" s="90">
        <f t="shared" si="93"/>
        <v>0</v>
      </c>
      <c r="AQ96" s="90">
        <f t="shared" si="93"/>
        <v>0</v>
      </c>
      <c r="AR96" s="90">
        <f t="shared" si="93"/>
        <v>0</v>
      </c>
      <c r="AS96" s="90">
        <f t="shared" si="93"/>
        <v>0</v>
      </c>
      <c r="AT96" s="90">
        <f t="shared" si="93"/>
        <v>0</v>
      </c>
      <c r="AU96" s="90">
        <f t="shared" si="93"/>
        <v>0</v>
      </c>
      <c r="AV96" s="90">
        <f t="shared" si="93"/>
        <v>0</v>
      </c>
      <c r="AW96" s="90">
        <f t="shared" si="93"/>
        <v>0</v>
      </c>
      <c r="AX96" s="90">
        <f t="shared" si="93"/>
        <v>0</v>
      </c>
      <c r="AY96" s="90">
        <f t="shared" si="93"/>
        <v>1</v>
      </c>
      <c r="AZ96" s="90">
        <f t="shared" si="93"/>
        <v>0</v>
      </c>
      <c r="BA96" s="90">
        <f t="shared" si="93"/>
        <v>0</v>
      </c>
      <c r="BB96" s="90">
        <f t="shared" si="93"/>
        <v>1</v>
      </c>
      <c r="BC96" s="90">
        <f t="shared" si="93"/>
        <v>1</v>
      </c>
    </row>
    <row r="97" spans="1:55" x14ac:dyDescent="0.3">
      <c r="A97" s="91">
        <v>42705</v>
      </c>
      <c r="B97" s="92">
        <f t="shared" si="61"/>
        <v>2016</v>
      </c>
      <c r="C97" s="93">
        <f>36410224.7916666+855632</f>
        <v>37265856.791666597</v>
      </c>
      <c r="D97" s="93">
        <v>19989298.418834101</v>
      </c>
      <c r="E97" s="93">
        <f ca="1">OFFSET('Historic CDM'!$C$64,0,(ROW()-ROW(E$2))/12)/12</f>
        <v>486683.10675352643</v>
      </c>
      <c r="F97" s="93">
        <f t="shared" ca="1" si="62"/>
        <v>20475981.52558763</v>
      </c>
      <c r="G97" s="94">
        <v>27309</v>
      </c>
      <c r="H97" s="93">
        <f>5192329.32117423+267804.022</f>
        <v>5460133.3431742303</v>
      </c>
      <c r="I97" s="93">
        <f ca="1">OFFSET('Historic CDM'!$C$76,0,(ROW()-ROW(E$2))/12)/12</f>
        <v>482645.36095961212</v>
      </c>
      <c r="J97" s="93">
        <f t="shared" ca="1" si="63"/>
        <v>5942778.7041338421</v>
      </c>
      <c r="K97" s="88">
        <f>1925+33</f>
        <v>1958</v>
      </c>
      <c r="L97" s="93">
        <f>15034753.014332-Q97</f>
        <v>15034753.014332</v>
      </c>
      <c r="M97" s="95">
        <f ca="1">OFFSET('Historic CDM'!$C$88,0,(ROW()-ROW(E$2))/12)/12</f>
        <v>1182255.3094457663</v>
      </c>
      <c r="N97" s="1">
        <f ca="1">L97+M97-Q97</f>
        <v>16217008.323777767</v>
      </c>
      <c r="O97" s="3">
        <f>37084.46-R97</f>
        <v>37084.46</v>
      </c>
      <c r="P97" s="2">
        <f>218-S97</f>
        <v>218</v>
      </c>
      <c r="Q97" s="93">
        <v>0</v>
      </c>
      <c r="R97" s="95">
        <v>0</v>
      </c>
      <c r="S97" s="94">
        <v>0</v>
      </c>
      <c r="T97" s="93">
        <v>307860.52513978508</v>
      </c>
      <c r="U97" s="96">
        <v>724.81999999999994</v>
      </c>
      <c r="V97" s="102">
        <f>343+1200+621+576</f>
        <v>2740</v>
      </c>
      <c r="W97" s="93">
        <v>27736.81</v>
      </c>
      <c r="X97" s="99">
        <v>71.861000000000004</v>
      </c>
      <c r="Y97" s="88">
        <v>172</v>
      </c>
      <c r="Z97" s="93">
        <v>129373</v>
      </c>
      <c r="AA97" s="88">
        <v>139</v>
      </c>
      <c r="AB97" s="93">
        <v>8274423.8999999939</v>
      </c>
      <c r="AC97" s="94">
        <v>165</v>
      </c>
      <c r="AD97" s="93">
        <v>2635161.1200107536</v>
      </c>
      <c r="AE97" s="95">
        <v>6563.5999999999995</v>
      </c>
      <c r="AF97" s="94">
        <v>3</v>
      </c>
      <c r="AG97" s="90">
        <f>Weather!B265</f>
        <v>581.1</v>
      </c>
      <c r="AH97" s="90">
        <f>Weather!C265</f>
        <v>0</v>
      </c>
      <c r="AI97" s="90">
        <f>Employment!B97</f>
        <v>7041.6</v>
      </c>
      <c r="AJ97" s="90">
        <f>Employment!C97</f>
        <v>162.5</v>
      </c>
      <c r="AK97" s="130">
        <v>633508.5</v>
      </c>
      <c r="AL97" s="98">
        <f t="shared" si="44"/>
        <v>31</v>
      </c>
      <c r="AM97" s="106">
        <v>20</v>
      </c>
      <c r="AN97" s="90">
        <v>96</v>
      </c>
      <c r="AO97" s="90">
        <f t="shared" ref="AO97:BC97" si="94">AO85</f>
        <v>0</v>
      </c>
      <c r="AP97" s="90">
        <f t="shared" si="94"/>
        <v>0</v>
      </c>
      <c r="AQ97" s="90">
        <f t="shared" si="94"/>
        <v>0</v>
      </c>
      <c r="AR97" s="90">
        <f t="shared" si="94"/>
        <v>0</v>
      </c>
      <c r="AS97" s="90">
        <f t="shared" si="94"/>
        <v>0</v>
      </c>
      <c r="AT97" s="90">
        <f t="shared" si="94"/>
        <v>0</v>
      </c>
      <c r="AU97" s="90">
        <f t="shared" si="94"/>
        <v>0</v>
      </c>
      <c r="AV97" s="90">
        <f t="shared" si="94"/>
        <v>0</v>
      </c>
      <c r="AW97" s="90">
        <f t="shared" si="94"/>
        <v>0</v>
      </c>
      <c r="AX97" s="90">
        <f t="shared" si="94"/>
        <v>0</v>
      </c>
      <c r="AY97" s="90">
        <f t="shared" si="94"/>
        <v>0</v>
      </c>
      <c r="AZ97" s="90">
        <f t="shared" si="94"/>
        <v>1</v>
      </c>
      <c r="BA97" s="90">
        <f t="shared" si="94"/>
        <v>0</v>
      </c>
      <c r="BB97" s="90">
        <f t="shared" si="94"/>
        <v>0</v>
      </c>
      <c r="BC97" s="90">
        <f t="shared" si="94"/>
        <v>0</v>
      </c>
    </row>
    <row r="98" spans="1:55" x14ac:dyDescent="0.3">
      <c r="A98" s="107"/>
      <c r="B98" s="107"/>
    </row>
    <row r="99" spans="1:55" x14ac:dyDescent="0.3">
      <c r="A99" s="107"/>
      <c r="B99" s="107"/>
    </row>
    <row r="100" spans="1:55" x14ac:dyDescent="0.3">
      <c r="A100" s="107"/>
      <c r="B100" s="107"/>
    </row>
    <row r="101" spans="1:55" x14ac:dyDescent="0.3">
      <c r="A101" s="107"/>
      <c r="B101" s="107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topLeftCell="U1" workbookViewId="0">
      <selection activeCell="AO1" sqref="AO1"/>
    </sheetView>
  </sheetViews>
  <sheetFormatPr defaultRowHeight="13.2" x14ac:dyDescent="0.25"/>
  <cols>
    <col min="1" max="1" width="10.33203125" style="6" bestFit="1" customWidth="1"/>
    <col min="2" max="2" width="5" style="6" bestFit="1" customWidth="1"/>
    <col min="3" max="3" width="13.44140625" style="6" bestFit="1" customWidth="1"/>
    <col min="4" max="4" width="17.6640625" style="6" bestFit="1" customWidth="1"/>
    <col min="5" max="6" width="6" style="6" bestFit="1" customWidth="1"/>
    <col min="7" max="7" width="11.6640625" style="6" bestFit="1" customWidth="1"/>
    <col min="8" max="8" width="10.77734375" style="6" bestFit="1" customWidth="1"/>
    <col min="9" max="9" width="9.109375" style="6" bestFit="1" customWidth="1"/>
    <col min="10" max="10" width="3.88671875" style="6" bestFit="1" customWidth="1"/>
    <col min="11" max="13" width="3.88671875" style="6" customWidth="1"/>
    <col min="14" max="14" width="8.88671875" style="6"/>
    <col min="15" max="15" width="11.5546875" style="6" bestFit="1" customWidth="1"/>
    <col min="16" max="16" width="17.6640625" style="6" bestFit="1" customWidth="1"/>
    <col min="17" max="18" width="10" style="6" bestFit="1" customWidth="1"/>
    <col min="19" max="19" width="12.77734375" style="6" bestFit="1" customWidth="1"/>
    <col min="20" max="20" width="12.44140625" style="6" bestFit="1" customWidth="1"/>
    <col min="21" max="21" width="10.88671875" style="6" bestFit="1" customWidth="1"/>
    <col min="22" max="22" width="10" style="6" bestFit="1" customWidth="1"/>
    <col min="23" max="25" width="10" style="6" customWidth="1"/>
    <col min="26" max="26" width="14" style="6" bestFit="1" customWidth="1"/>
    <col min="27" max="27" width="10.5546875" style="6" bestFit="1" customWidth="1"/>
    <col min="28" max="16384" width="8.88671875" style="6"/>
  </cols>
  <sheetData>
    <row r="1" spans="1:27" ht="14.4" x14ac:dyDescent="0.3">
      <c r="A1" s="6" t="str">
        <f>'Monthly Data'!A1</f>
        <v>Date</v>
      </c>
      <c r="B1" s="6" t="s">
        <v>83</v>
      </c>
      <c r="C1" s="20" t="str">
        <f>'Monthly Data'!N1</f>
        <v>Gross_GSgt50</v>
      </c>
      <c r="D1" s="20" t="str">
        <f>'Monthly Data'!P1</f>
        <v>GSgt50_Customers</v>
      </c>
      <c r="E1" s="6" t="str">
        <f>'Monthly Data'!AG1</f>
        <v>HDD</v>
      </c>
      <c r="F1" s="6" t="str">
        <f>'Monthly Data'!AH1</f>
        <v>CDD</v>
      </c>
      <c r="G1" s="6" t="str">
        <f>'Monthly Data'!AJ1</f>
        <v>Windsor_FTE</v>
      </c>
      <c r="H1" s="6" t="str">
        <f>'Monthly Data'!AN1</f>
        <v>Trend</v>
      </c>
      <c r="I1" s="6" t="str">
        <f>'Monthly Data'!AP1</f>
        <v>February</v>
      </c>
      <c r="J1" s="6" t="str">
        <f>'Monthly Data'!AV1</f>
        <v>August</v>
      </c>
      <c r="K1" s="6" t="str">
        <f>'Monthly Data'!AW1</f>
        <v>September</v>
      </c>
      <c r="L1" s="6" t="str">
        <f>'Monthly Data'!AX1</f>
        <v>October</v>
      </c>
      <c r="M1" s="6" t="str">
        <f>'Monthly Data'!AY1</f>
        <v>November</v>
      </c>
      <c r="O1" s="20" t="s">
        <v>67</v>
      </c>
      <c r="P1" s="20" t="str">
        <f>D1</f>
        <v>GSgt50_Customers</v>
      </c>
      <c r="Q1" s="20" t="str">
        <f>E1</f>
        <v>HDD</v>
      </c>
      <c r="R1" s="20" t="str">
        <f>F1</f>
        <v>CDD</v>
      </c>
      <c r="S1" s="20" t="str">
        <f>G1</f>
        <v>Windsor_FTE</v>
      </c>
      <c r="T1" s="20" t="str">
        <f>H1</f>
        <v>Trend</v>
      </c>
      <c r="U1" s="20" t="str">
        <f>I1</f>
        <v>February</v>
      </c>
      <c r="V1" s="20" t="str">
        <f>J1</f>
        <v>August</v>
      </c>
      <c r="W1" s="20" t="str">
        <f t="shared" ref="W1:Y1" si="0">K1</f>
        <v>September</v>
      </c>
      <c r="X1" s="20" t="str">
        <f t="shared" si="0"/>
        <v>October</v>
      </c>
      <c r="Y1" s="20" t="str">
        <f t="shared" si="0"/>
        <v>November</v>
      </c>
      <c r="Z1" s="20" t="s">
        <v>84</v>
      </c>
      <c r="AA1" s="16" t="s">
        <v>85</v>
      </c>
    </row>
    <row r="2" spans="1:27" ht="14.4" x14ac:dyDescent="0.3">
      <c r="A2" s="22">
        <f>'Monthly Data'!A2</f>
        <v>39814</v>
      </c>
      <c r="B2" s="6">
        <f>YEAR(A2)</f>
        <v>2009</v>
      </c>
      <c r="C2" s="20">
        <f ca="1">'Monthly Data'!N2</f>
        <v>14097033.012462217</v>
      </c>
      <c r="D2" s="20">
        <f>'Monthly Data'!P2</f>
        <v>225</v>
      </c>
      <c r="E2" s="6">
        <f>'Monthly Data'!AG2</f>
        <v>768.79999999999973</v>
      </c>
      <c r="F2" s="6">
        <f>'Monthly Data'!AH2</f>
        <v>0</v>
      </c>
      <c r="G2" s="6">
        <f>'Monthly Data'!AJ2</f>
        <v>151.5</v>
      </c>
      <c r="H2" s="6">
        <f>'Monthly Data'!AN2</f>
        <v>1</v>
      </c>
      <c r="I2" s="6">
        <f>'Monthly Data'!AW2</f>
        <v>0</v>
      </c>
      <c r="J2" s="6">
        <f>'Monthly Data'!AV2</f>
        <v>0</v>
      </c>
      <c r="K2" s="6">
        <f>'Monthly Data'!AW2</f>
        <v>0</v>
      </c>
      <c r="L2" s="6">
        <f>'Monthly Data'!AX2</f>
        <v>0</v>
      </c>
      <c r="M2" s="6">
        <f>'Monthly Data'!AY2</f>
        <v>0</v>
      </c>
      <c r="O2" s="20">
        <f>'GS &gt; 50 OLS model'!$B$5</f>
        <v>-11694573.8944258</v>
      </c>
      <c r="P2" s="20">
        <f>'GS &gt; 50 OLS model'!$B$6*D2</f>
        <v>11402884.051000807</v>
      </c>
      <c r="Q2" s="20">
        <f>'GS &gt; 50 OLS model'!$B$7*E2</f>
        <v>2061518.3976804903</v>
      </c>
      <c r="R2" s="20">
        <f>'GS &gt; 50 OLS model'!$B$8*F2</f>
        <v>0</v>
      </c>
      <c r="S2" s="20">
        <f>'GS &gt; 50 OLS model'!$B$9*G2</f>
        <v>12698580.838207474</v>
      </c>
      <c r="T2" s="20">
        <f>'GS &gt; 50 OLS model'!$B$10*H2</f>
        <v>12860.4931842888</v>
      </c>
      <c r="U2" s="20">
        <f>'GS &gt; 50 OLS model'!$B$11*I2</f>
        <v>0</v>
      </c>
      <c r="V2" s="20">
        <f>'GS &gt; 50 OLS model'!$B$12*J2</f>
        <v>0</v>
      </c>
      <c r="W2" s="20">
        <f>'GS &gt; 50 OLS model'!$B$13*K2</f>
        <v>0</v>
      </c>
      <c r="X2" s="20">
        <f>'GS &gt; 50 OLS model'!$B$14*L2</f>
        <v>0</v>
      </c>
      <c r="Y2" s="20">
        <f>'GS &gt; 50 OLS model'!$B$15*M2</f>
        <v>0</v>
      </c>
      <c r="Z2" s="20">
        <f>SUM(O2:Y2)</f>
        <v>14481269.885647262</v>
      </c>
      <c r="AA2" s="23">
        <f t="shared" ref="AA2:AA33" ca="1" si="1">ABS(Z2-C2)/C2</f>
        <v>2.7256577525594693E-2</v>
      </c>
    </row>
    <row r="3" spans="1:27" ht="14.4" x14ac:dyDescent="0.3">
      <c r="A3" s="22">
        <f>'Monthly Data'!A3</f>
        <v>39845</v>
      </c>
      <c r="B3" s="6">
        <f t="shared" ref="B3:B66" si="2">YEAR(A3)</f>
        <v>2009</v>
      </c>
      <c r="C3" s="20">
        <f ca="1">'Monthly Data'!N3</f>
        <v>12607538.392457418</v>
      </c>
      <c r="D3" s="20">
        <f>'Monthly Data'!P3</f>
        <v>237</v>
      </c>
      <c r="E3" s="6">
        <f>'Monthly Data'!AG3</f>
        <v>540</v>
      </c>
      <c r="F3" s="6">
        <f>'Monthly Data'!AH3</f>
        <v>0</v>
      </c>
      <c r="G3" s="6">
        <f>'Monthly Data'!AJ3</f>
        <v>147.5</v>
      </c>
      <c r="H3" s="6">
        <f>'Monthly Data'!AN3</f>
        <v>2</v>
      </c>
      <c r="I3" s="6">
        <f>'Monthly Data'!AW3</f>
        <v>0</v>
      </c>
      <c r="J3" s="6">
        <f>'Monthly Data'!AV3</f>
        <v>0</v>
      </c>
      <c r="K3" s="6">
        <f>'Monthly Data'!AW3</f>
        <v>0</v>
      </c>
      <c r="L3" s="6">
        <f>'Monthly Data'!AX3</f>
        <v>0</v>
      </c>
      <c r="M3" s="6">
        <f>'Monthly Data'!AY3</f>
        <v>0</v>
      </c>
      <c r="O3" s="20">
        <f>'GS &gt; 50 OLS model'!$B$5</f>
        <v>-11694573.8944258</v>
      </c>
      <c r="P3" s="20">
        <f>'GS &gt; 50 OLS model'!$B$6*D3</f>
        <v>12011037.867054183</v>
      </c>
      <c r="Q3" s="20">
        <f>'GS &gt; 50 OLS model'!$B$7*E3</f>
        <v>1447996.7933759952</v>
      </c>
      <c r="R3" s="20">
        <f>'GS &gt; 50 OLS model'!$B$8*F3</f>
        <v>0</v>
      </c>
      <c r="S3" s="20">
        <f>'GS &gt; 50 OLS model'!$B$9*G3</f>
        <v>12363304.776472624</v>
      </c>
      <c r="T3" s="20">
        <f>'GS &gt; 50 OLS model'!$B$10*H3</f>
        <v>25720.9863685776</v>
      </c>
      <c r="U3" s="20">
        <f>'GS &gt; 50 OLS model'!$B$11*I3</f>
        <v>0</v>
      </c>
      <c r="V3" s="20">
        <f>'GS &gt; 50 OLS model'!$B$12*J3</f>
        <v>0</v>
      </c>
      <c r="W3" s="20">
        <f>'GS &gt; 50 OLS model'!$B$13*K3</f>
        <v>0</v>
      </c>
      <c r="X3" s="20">
        <f>'GS &gt; 50 OLS model'!$B$14*L3</f>
        <v>0</v>
      </c>
      <c r="Y3" s="20">
        <f>'GS &gt; 50 OLS model'!$B$15*M3</f>
        <v>0</v>
      </c>
      <c r="Z3" s="20">
        <f t="shared" ref="Z3:Z66" si="3">SUM(O3:Y3)</f>
        <v>14153486.52884558</v>
      </c>
      <c r="AA3" s="23">
        <f t="shared" ca="1" si="1"/>
        <v>0.12262093425890661</v>
      </c>
    </row>
    <row r="4" spans="1:27" ht="14.4" x14ac:dyDescent="0.3">
      <c r="A4" s="22">
        <f>'Monthly Data'!A4</f>
        <v>39873</v>
      </c>
      <c r="B4" s="6">
        <f t="shared" si="2"/>
        <v>2009</v>
      </c>
      <c r="C4" s="20">
        <f ca="1">'Monthly Data'!N4</f>
        <v>13429022.116557317</v>
      </c>
      <c r="D4" s="20">
        <f>'Monthly Data'!P4</f>
        <v>213</v>
      </c>
      <c r="E4" s="6">
        <f>'Monthly Data'!AG4</f>
        <v>456.7999999999999</v>
      </c>
      <c r="F4" s="6">
        <f>'Monthly Data'!AH4</f>
        <v>0</v>
      </c>
      <c r="G4" s="6">
        <f>'Monthly Data'!AJ4</f>
        <v>142.9</v>
      </c>
      <c r="H4" s="6">
        <f>'Monthly Data'!AN4</f>
        <v>3</v>
      </c>
      <c r="I4" s="6">
        <f>'Monthly Data'!AW4</f>
        <v>0</v>
      </c>
      <c r="J4" s="6">
        <f>'Monthly Data'!AV4</f>
        <v>0</v>
      </c>
      <c r="K4" s="6">
        <f>'Monthly Data'!AW4</f>
        <v>0</v>
      </c>
      <c r="L4" s="6">
        <f>'Monthly Data'!AX4</f>
        <v>0</v>
      </c>
      <c r="M4" s="6">
        <f>'Monthly Data'!AY4</f>
        <v>0</v>
      </c>
      <c r="O4" s="20">
        <f>'GS &gt; 50 OLS model'!$B$5</f>
        <v>-11694573.8944258</v>
      </c>
      <c r="P4" s="20">
        <f>'GS &gt; 50 OLS model'!$B$6*D4</f>
        <v>10794730.23494743</v>
      </c>
      <c r="Q4" s="20">
        <f>'GS &gt; 50 OLS model'!$B$7*E4</f>
        <v>1224898.02817436</v>
      </c>
      <c r="R4" s="20">
        <f>'GS &gt; 50 OLS model'!$B$8*F4</f>
        <v>0</v>
      </c>
      <c r="S4" s="20">
        <f>'GS &gt; 50 OLS model'!$B$9*G4</f>
        <v>11977737.305477547</v>
      </c>
      <c r="T4" s="20">
        <f>'GS &gt; 50 OLS model'!$B$10*H4</f>
        <v>38581.479552866396</v>
      </c>
      <c r="U4" s="20">
        <f>'GS &gt; 50 OLS model'!$B$11*I4</f>
        <v>0</v>
      </c>
      <c r="V4" s="20">
        <f>'GS &gt; 50 OLS model'!$B$12*J4</f>
        <v>0</v>
      </c>
      <c r="W4" s="20">
        <f>'GS &gt; 50 OLS model'!$B$13*K4</f>
        <v>0</v>
      </c>
      <c r="X4" s="20">
        <f>'GS &gt; 50 OLS model'!$B$14*L4</f>
        <v>0</v>
      </c>
      <c r="Y4" s="20">
        <f>'GS &gt; 50 OLS model'!$B$15*M4</f>
        <v>0</v>
      </c>
      <c r="Z4" s="20">
        <f t="shared" si="3"/>
        <v>12341373.153726403</v>
      </c>
      <c r="AA4" s="23">
        <f t="shared" ca="1" si="1"/>
        <v>8.0992417272877759E-2</v>
      </c>
    </row>
    <row r="5" spans="1:27" ht="14.4" x14ac:dyDescent="0.3">
      <c r="A5" s="22">
        <f>'Monthly Data'!A5</f>
        <v>39904</v>
      </c>
      <c r="B5" s="6">
        <f t="shared" si="2"/>
        <v>2009</v>
      </c>
      <c r="C5" s="20">
        <f ca="1">'Monthly Data'!N5</f>
        <v>12281549.857111618</v>
      </c>
      <c r="D5" s="20">
        <f>'Monthly Data'!P5</f>
        <v>216</v>
      </c>
      <c r="E5" s="6">
        <f>'Monthly Data'!AG5</f>
        <v>263.29999999999995</v>
      </c>
      <c r="F5" s="6">
        <f>'Monthly Data'!AH5</f>
        <v>10.399999999999999</v>
      </c>
      <c r="G5" s="6">
        <f>'Monthly Data'!AJ5</f>
        <v>144.80000000000001</v>
      </c>
      <c r="H5" s="6">
        <f>'Monthly Data'!AN5</f>
        <v>4</v>
      </c>
      <c r="I5" s="6">
        <f>'Monthly Data'!AW5</f>
        <v>0</v>
      </c>
      <c r="J5" s="6">
        <f>'Monthly Data'!AV5</f>
        <v>0</v>
      </c>
      <c r="K5" s="6">
        <f>'Monthly Data'!AW5</f>
        <v>0</v>
      </c>
      <c r="L5" s="6">
        <f>'Monthly Data'!AX5</f>
        <v>0</v>
      </c>
      <c r="M5" s="6">
        <f>'Monthly Data'!AY5</f>
        <v>0</v>
      </c>
      <c r="O5" s="20">
        <f>'GS &gt; 50 OLS model'!$B$5</f>
        <v>-11694573.8944258</v>
      </c>
      <c r="P5" s="20">
        <f>'GS &gt; 50 OLS model'!$B$6*D5</f>
        <v>10946768.688960774</v>
      </c>
      <c r="Q5" s="20">
        <f>'GS &gt; 50 OLS model'!$B$7*E5</f>
        <v>706032.51054796204</v>
      </c>
      <c r="R5" s="20">
        <f>'GS &gt; 50 OLS model'!$B$8*F5</f>
        <v>153735.06673535085</v>
      </c>
      <c r="S5" s="20">
        <f>'GS &gt; 50 OLS model'!$B$9*G5</f>
        <v>12136993.434801601</v>
      </c>
      <c r="T5" s="20">
        <f>'GS &gt; 50 OLS model'!$B$10*H5</f>
        <v>51441.9727371552</v>
      </c>
      <c r="U5" s="20">
        <f>'GS &gt; 50 OLS model'!$B$11*I5</f>
        <v>0</v>
      </c>
      <c r="V5" s="20">
        <f>'GS &gt; 50 OLS model'!$B$12*J5</f>
        <v>0</v>
      </c>
      <c r="W5" s="20">
        <f>'GS &gt; 50 OLS model'!$B$13*K5</f>
        <v>0</v>
      </c>
      <c r="X5" s="20">
        <f>'GS &gt; 50 OLS model'!$B$14*L5</f>
        <v>0</v>
      </c>
      <c r="Y5" s="20">
        <f>'GS &gt; 50 OLS model'!$B$15*M5</f>
        <v>0</v>
      </c>
      <c r="Z5" s="20">
        <f t="shared" si="3"/>
        <v>12300397.779357044</v>
      </c>
      <c r="AA5" s="23">
        <f t="shared" ca="1" si="1"/>
        <v>1.5346533999951346E-3</v>
      </c>
    </row>
    <row r="6" spans="1:27" ht="14.4" x14ac:dyDescent="0.3">
      <c r="A6" s="22">
        <f>'Monthly Data'!A6</f>
        <v>39934</v>
      </c>
      <c r="B6" s="6">
        <f t="shared" si="2"/>
        <v>2009</v>
      </c>
      <c r="C6" s="20">
        <f ca="1">'Monthly Data'!N6</f>
        <v>12599585.861056818</v>
      </c>
      <c r="D6" s="20">
        <f>'Monthly Data'!P6</f>
        <v>211</v>
      </c>
      <c r="E6" s="6">
        <f>'Monthly Data'!AG6</f>
        <v>83.40000000000002</v>
      </c>
      <c r="F6" s="6">
        <f>'Monthly Data'!AH6</f>
        <v>12.899999999999999</v>
      </c>
      <c r="G6" s="6">
        <f>'Monthly Data'!AJ6</f>
        <v>145</v>
      </c>
      <c r="H6" s="6">
        <f>'Monthly Data'!AN6</f>
        <v>5</v>
      </c>
      <c r="I6" s="6">
        <f>'Monthly Data'!AW6</f>
        <v>0</v>
      </c>
      <c r="J6" s="6">
        <f>'Monthly Data'!AV6</f>
        <v>0</v>
      </c>
      <c r="K6" s="6">
        <f>'Monthly Data'!AW6</f>
        <v>0</v>
      </c>
      <c r="L6" s="6">
        <f>'Monthly Data'!AX6</f>
        <v>0</v>
      </c>
      <c r="M6" s="6">
        <f>'Monthly Data'!AY6</f>
        <v>0</v>
      </c>
      <c r="O6" s="20">
        <f>'GS &gt; 50 OLS model'!$B$5</f>
        <v>-11694573.8944258</v>
      </c>
      <c r="P6" s="20">
        <f>'GS &gt; 50 OLS model'!$B$6*D6</f>
        <v>10693371.2656052</v>
      </c>
      <c r="Q6" s="20">
        <f>'GS &gt; 50 OLS model'!$B$7*E6</f>
        <v>223635.06031029264</v>
      </c>
      <c r="R6" s="20">
        <f>'GS &gt; 50 OLS model'!$B$8*F6</f>
        <v>190690.61162365635</v>
      </c>
      <c r="S6" s="20">
        <f>'GS &gt; 50 OLS model'!$B$9*G6</f>
        <v>12153757.237888342</v>
      </c>
      <c r="T6" s="20">
        <f>'GS &gt; 50 OLS model'!$B$10*H6</f>
        <v>64302.465921444003</v>
      </c>
      <c r="U6" s="20">
        <f>'GS &gt; 50 OLS model'!$B$11*I6</f>
        <v>0</v>
      </c>
      <c r="V6" s="20">
        <f>'GS &gt; 50 OLS model'!$B$12*J6</f>
        <v>0</v>
      </c>
      <c r="W6" s="20">
        <f>'GS &gt; 50 OLS model'!$B$13*K6</f>
        <v>0</v>
      </c>
      <c r="X6" s="20">
        <f>'GS &gt; 50 OLS model'!$B$14*L6</f>
        <v>0</v>
      </c>
      <c r="Y6" s="20">
        <f>'GS &gt; 50 OLS model'!$B$15*M6</f>
        <v>0</v>
      </c>
      <c r="Z6" s="20">
        <f t="shared" si="3"/>
        <v>11631182.746923136</v>
      </c>
      <c r="AA6" s="23">
        <f t="shared" ca="1" si="1"/>
        <v>7.6859916255410568E-2</v>
      </c>
    </row>
    <row r="7" spans="1:27" ht="14.4" x14ac:dyDescent="0.3">
      <c r="A7" s="22">
        <f>'Monthly Data'!A7</f>
        <v>39965</v>
      </c>
      <c r="B7" s="6">
        <f t="shared" si="2"/>
        <v>2009</v>
      </c>
      <c r="C7" s="20">
        <f ca="1">'Monthly Data'!N7</f>
        <v>13567319.355545716</v>
      </c>
      <c r="D7" s="20">
        <f>'Monthly Data'!P7</f>
        <v>221</v>
      </c>
      <c r="E7" s="6">
        <f>'Monthly Data'!AG7</f>
        <v>25.299999999999997</v>
      </c>
      <c r="F7" s="6">
        <f>'Monthly Data'!AH7</f>
        <v>79.399999999999991</v>
      </c>
      <c r="G7" s="6">
        <f>'Monthly Data'!AJ7</f>
        <v>145.69999999999999</v>
      </c>
      <c r="H7" s="6">
        <f>'Monthly Data'!AN7</f>
        <v>6</v>
      </c>
      <c r="I7" s="6">
        <f>'Monthly Data'!AW7</f>
        <v>0</v>
      </c>
      <c r="J7" s="6">
        <f>'Monthly Data'!AV7</f>
        <v>0</v>
      </c>
      <c r="K7" s="6">
        <f>'Monthly Data'!AW7</f>
        <v>0</v>
      </c>
      <c r="L7" s="6">
        <f>'Monthly Data'!AX7</f>
        <v>0</v>
      </c>
      <c r="M7" s="6">
        <f>'Monthly Data'!AY7</f>
        <v>0</v>
      </c>
      <c r="O7" s="20">
        <f>'GS &gt; 50 OLS model'!$B$5</f>
        <v>-11694573.8944258</v>
      </c>
      <c r="P7" s="20">
        <f>'GS &gt; 50 OLS model'!$B$6*D7</f>
        <v>11200166.112316348</v>
      </c>
      <c r="Q7" s="20">
        <f>'GS &gt; 50 OLS model'!$B$7*E7</f>
        <v>67841.331245208654</v>
      </c>
      <c r="R7" s="20">
        <f>'GS &gt; 50 OLS model'!$B$8*F7</f>
        <v>1173708.1056525826</v>
      </c>
      <c r="S7" s="20">
        <f>'GS &gt; 50 OLS model'!$B$9*G7</f>
        <v>12212430.54869194</v>
      </c>
      <c r="T7" s="20">
        <f>'GS &gt; 50 OLS model'!$B$10*H7</f>
        <v>77162.959105732793</v>
      </c>
      <c r="U7" s="20">
        <f>'GS &gt; 50 OLS model'!$B$11*I7</f>
        <v>0</v>
      </c>
      <c r="V7" s="20">
        <f>'GS &gt; 50 OLS model'!$B$12*J7</f>
        <v>0</v>
      </c>
      <c r="W7" s="20">
        <f>'GS &gt; 50 OLS model'!$B$13*K7</f>
        <v>0</v>
      </c>
      <c r="X7" s="20">
        <f>'GS &gt; 50 OLS model'!$B$14*L7</f>
        <v>0</v>
      </c>
      <c r="Y7" s="20">
        <f>'GS &gt; 50 OLS model'!$B$15*M7</f>
        <v>0</v>
      </c>
      <c r="Z7" s="20">
        <f t="shared" si="3"/>
        <v>13036735.162586011</v>
      </c>
      <c r="AA7" s="23">
        <f t="shared" ca="1" si="1"/>
        <v>3.9107518519701255E-2</v>
      </c>
    </row>
    <row r="8" spans="1:27" ht="14.4" x14ac:dyDescent="0.3">
      <c r="A8" s="22">
        <f>'Monthly Data'!A8</f>
        <v>39995</v>
      </c>
      <c r="B8" s="6">
        <f t="shared" si="2"/>
        <v>2009</v>
      </c>
      <c r="C8" s="20">
        <f ca="1">'Monthly Data'!N8</f>
        <v>14350399.872788418</v>
      </c>
      <c r="D8" s="20">
        <f>'Monthly Data'!P8</f>
        <v>219</v>
      </c>
      <c r="E8" s="6">
        <f>'Monthly Data'!AG8</f>
        <v>0.5</v>
      </c>
      <c r="F8" s="6">
        <f>'Monthly Data'!AH8</f>
        <v>100.19999999999999</v>
      </c>
      <c r="G8" s="6">
        <f>'Monthly Data'!AJ8</f>
        <v>144.30000000000001</v>
      </c>
      <c r="H8" s="6">
        <f>'Monthly Data'!AN8</f>
        <v>7</v>
      </c>
      <c r="I8" s="6">
        <f>'Monthly Data'!AW8</f>
        <v>0</v>
      </c>
      <c r="J8" s="6">
        <f>'Monthly Data'!AV8</f>
        <v>0</v>
      </c>
      <c r="K8" s="6">
        <f>'Monthly Data'!AW8</f>
        <v>0</v>
      </c>
      <c r="L8" s="6">
        <f>'Monthly Data'!AX8</f>
        <v>0</v>
      </c>
      <c r="M8" s="6">
        <f>'Monthly Data'!AY8</f>
        <v>0</v>
      </c>
      <c r="O8" s="20">
        <f>'GS &gt; 50 OLS model'!$B$5</f>
        <v>-11694573.8944258</v>
      </c>
      <c r="P8" s="20">
        <f>'GS &gt; 50 OLS model'!$B$6*D8</f>
        <v>11098807.142974118</v>
      </c>
      <c r="Q8" s="20">
        <f>'GS &gt; 50 OLS model'!$B$7*E8</f>
        <v>1340.73777164444</v>
      </c>
      <c r="R8" s="20">
        <f>'GS &gt; 50 OLS model'!$B$8*F8</f>
        <v>1481178.2391232841</v>
      </c>
      <c r="S8" s="20">
        <f>'GS &gt; 50 OLS model'!$B$9*G8</f>
        <v>12095083.927084744</v>
      </c>
      <c r="T8" s="20">
        <f>'GS &gt; 50 OLS model'!$B$10*H8</f>
        <v>90023.452290021596</v>
      </c>
      <c r="U8" s="20">
        <f>'GS &gt; 50 OLS model'!$B$11*I8</f>
        <v>0</v>
      </c>
      <c r="V8" s="20">
        <f>'GS &gt; 50 OLS model'!$B$12*J8</f>
        <v>0</v>
      </c>
      <c r="W8" s="20">
        <f>'GS &gt; 50 OLS model'!$B$13*K8</f>
        <v>0</v>
      </c>
      <c r="X8" s="20">
        <f>'GS &gt; 50 OLS model'!$B$14*L8</f>
        <v>0</v>
      </c>
      <c r="Y8" s="20">
        <f>'GS &gt; 50 OLS model'!$B$15*M8</f>
        <v>0</v>
      </c>
      <c r="Z8" s="20">
        <f t="shared" si="3"/>
        <v>13071859.604818011</v>
      </c>
      <c r="AA8" s="23">
        <f t="shared" ca="1" si="1"/>
        <v>8.9094400107610022E-2</v>
      </c>
    </row>
    <row r="9" spans="1:27" ht="14.4" x14ac:dyDescent="0.3">
      <c r="A9" s="22">
        <f>'Monthly Data'!A9</f>
        <v>40026</v>
      </c>
      <c r="B9" s="6">
        <f t="shared" si="2"/>
        <v>2009</v>
      </c>
      <c r="C9" s="20">
        <f ca="1">'Monthly Data'!N9</f>
        <v>15846869.236809116</v>
      </c>
      <c r="D9" s="20">
        <f>'Monthly Data'!P9</f>
        <v>231</v>
      </c>
      <c r="E9" s="6">
        <f>'Monthly Data'!AG9</f>
        <v>5.9</v>
      </c>
      <c r="F9" s="6">
        <f>'Monthly Data'!AH9</f>
        <v>133.4</v>
      </c>
      <c r="G9" s="6">
        <f>'Monthly Data'!AJ9</f>
        <v>145.1</v>
      </c>
      <c r="H9" s="6">
        <f>'Monthly Data'!AN9</f>
        <v>8</v>
      </c>
      <c r="I9" s="6">
        <f>'Monthly Data'!AW9</f>
        <v>0</v>
      </c>
      <c r="J9" s="6">
        <f>'Monthly Data'!AV9</f>
        <v>1</v>
      </c>
      <c r="K9" s="6">
        <f>'Monthly Data'!AW9</f>
        <v>0</v>
      </c>
      <c r="L9" s="6">
        <f>'Monthly Data'!AX9</f>
        <v>0</v>
      </c>
      <c r="M9" s="6">
        <f>'Monthly Data'!AY9</f>
        <v>0</v>
      </c>
      <c r="O9" s="20">
        <f>'GS &gt; 50 OLS model'!$B$5</f>
        <v>-11694573.8944258</v>
      </c>
      <c r="P9" s="20">
        <f>'GS &gt; 50 OLS model'!$B$6*D9</f>
        <v>11706960.959027495</v>
      </c>
      <c r="Q9" s="20">
        <f>'GS &gt; 50 OLS model'!$B$7*E9</f>
        <v>15820.705705404393</v>
      </c>
      <c r="R9" s="20">
        <f>'GS &gt; 50 OLS model'!$B$8*F9</f>
        <v>1971947.8752399816</v>
      </c>
      <c r="S9" s="20">
        <f>'GS &gt; 50 OLS model'!$B$9*G9</f>
        <v>12162139.139431713</v>
      </c>
      <c r="T9" s="20">
        <f>'GS &gt; 50 OLS model'!$B$10*H9</f>
        <v>102883.9454743104</v>
      </c>
      <c r="U9" s="20">
        <f>'GS &gt; 50 OLS model'!$B$11*I9</f>
        <v>0</v>
      </c>
      <c r="V9" s="20">
        <f>'GS &gt; 50 OLS model'!$B$12*J9</f>
        <v>1257541.23571065</v>
      </c>
      <c r="W9" s="20">
        <f>'GS &gt; 50 OLS model'!$B$13*K9</f>
        <v>0</v>
      </c>
      <c r="X9" s="20">
        <f>'GS &gt; 50 OLS model'!$B$14*L9</f>
        <v>0</v>
      </c>
      <c r="Y9" s="20">
        <f>'GS &gt; 50 OLS model'!$B$15*M9</f>
        <v>0</v>
      </c>
      <c r="Z9" s="20">
        <f t="shared" si="3"/>
        <v>15522719.966163754</v>
      </c>
      <c r="AA9" s="23">
        <f t="shared" ca="1" si="1"/>
        <v>2.0455098467805067E-2</v>
      </c>
    </row>
    <row r="10" spans="1:27" ht="14.4" x14ac:dyDescent="0.3">
      <c r="A10" s="22">
        <f>'Monthly Data'!A10</f>
        <v>40057</v>
      </c>
      <c r="B10" s="6">
        <f t="shared" si="2"/>
        <v>2009</v>
      </c>
      <c r="C10" s="20">
        <f ca="1">'Monthly Data'!N10</f>
        <v>14340385.521492418</v>
      </c>
      <c r="D10" s="20">
        <f>'Monthly Data'!P10</f>
        <v>223</v>
      </c>
      <c r="E10" s="6">
        <f>'Monthly Data'!AG10</f>
        <v>26.2</v>
      </c>
      <c r="F10" s="6">
        <f>'Monthly Data'!AH10</f>
        <v>54.699999999999989</v>
      </c>
      <c r="G10" s="6">
        <f>'Monthly Data'!AJ10</f>
        <v>146.80000000000001</v>
      </c>
      <c r="H10" s="6">
        <f>'Monthly Data'!AN10</f>
        <v>9</v>
      </c>
      <c r="I10" s="6">
        <f>'Monthly Data'!AW10</f>
        <v>1</v>
      </c>
      <c r="J10" s="6">
        <f>'Monthly Data'!AV10</f>
        <v>0</v>
      </c>
      <c r="K10" s="6">
        <f>'Monthly Data'!AW10</f>
        <v>1</v>
      </c>
      <c r="L10" s="6">
        <f>'Monthly Data'!AX10</f>
        <v>0</v>
      </c>
      <c r="M10" s="6">
        <f>'Monthly Data'!AY10</f>
        <v>0</v>
      </c>
      <c r="O10" s="20">
        <f>'GS &gt; 50 OLS model'!$B$5</f>
        <v>-11694573.8944258</v>
      </c>
      <c r="P10" s="20">
        <f>'GS &gt; 50 OLS model'!$B$6*D10</f>
        <v>11301525.081658578</v>
      </c>
      <c r="Q10" s="20">
        <f>'GS &gt; 50 OLS model'!$B$7*E10</f>
        <v>70254.659234168663</v>
      </c>
      <c r="R10" s="20">
        <f>'GS &gt; 50 OLS model'!$B$8*F10</f>
        <v>808587.32215612417</v>
      </c>
      <c r="S10" s="20">
        <f>'GS &gt; 50 OLS model'!$B$9*G10</f>
        <v>12304631.465669025</v>
      </c>
      <c r="T10" s="20">
        <f>'GS &gt; 50 OLS model'!$B$10*H10</f>
        <v>115744.4386585992</v>
      </c>
      <c r="U10" s="20">
        <f>'GS &gt; 50 OLS model'!$B$11*I10</f>
        <v>-797686.81375559501</v>
      </c>
      <c r="V10" s="20">
        <f>'GS &gt; 50 OLS model'!$B$12*J10</f>
        <v>0</v>
      </c>
      <c r="W10" s="20">
        <f>'GS &gt; 50 OLS model'!$B$13*K10</f>
        <v>1979532.62008895</v>
      </c>
      <c r="X10" s="20">
        <f>'GS &gt; 50 OLS model'!$B$14*L10</f>
        <v>0</v>
      </c>
      <c r="Y10" s="20">
        <f>'GS &gt; 50 OLS model'!$B$15*M10</f>
        <v>0</v>
      </c>
      <c r="Z10" s="20">
        <f t="shared" si="3"/>
        <v>14088014.87928405</v>
      </c>
      <c r="AA10" s="23">
        <f t="shared" ca="1" si="1"/>
        <v>1.7598595367616248E-2</v>
      </c>
    </row>
    <row r="11" spans="1:27" ht="14.4" x14ac:dyDescent="0.3">
      <c r="A11" s="22">
        <f>'Monthly Data'!A11</f>
        <v>40087</v>
      </c>
      <c r="B11" s="6">
        <f t="shared" si="2"/>
        <v>2009</v>
      </c>
      <c r="C11" s="20">
        <f ca="1">'Monthly Data'!N11</f>
        <v>14535093.861762017</v>
      </c>
      <c r="D11" s="20">
        <f>'Monthly Data'!P11</f>
        <v>213</v>
      </c>
      <c r="E11" s="6">
        <f>'Monthly Data'!AG11</f>
        <v>230.79999999999995</v>
      </c>
      <c r="F11" s="6">
        <f>'Monthly Data'!AH11</f>
        <v>0</v>
      </c>
      <c r="G11" s="6">
        <f>'Monthly Data'!AJ11</f>
        <v>149.19999999999999</v>
      </c>
      <c r="H11" s="6">
        <f>'Monthly Data'!AN11</f>
        <v>10</v>
      </c>
      <c r="I11" s="6">
        <f>'Monthly Data'!AW11</f>
        <v>0</v>
      </c>
      <c r="J11" s="6">
        <f>'Monthly Data'!AV11</f>
        <v>0</v>
      </c>
      <c r="K11" s="6">
        <f>'Monthly Data'!AW11</f>
        <v>0</v>
      </c>
      <c r="L11" s="6">
        <f>'Monthly Data'!AX11</f>
        <v>1</v>
      </c>
      <c r="M11" s="6">
        <f>'Monthly Data'!AY11</f>
        <v>0</v>
      </c>
      <c r="O11" s="20">
        <f>'GS &gt; 50 OLS model'!$B$5</f>
        <v>-11694573.8944258</v>
      </c>
      <c r="P11" s="20">
        <f>'GS &gt; 50 OLS model'!$B$6*D11</f>
        <v>10794730.23494743</v>
      </c>
      <c r="Q11" s="20">
        <f>'GS &gt; 50 OLS model'!$B$7*E11</f>
        <v>618884.55539107346</v>
      </c>
      <c r="R11" s="20">
        <f>'GS &gt; 50 OLS model'!$B$8*F11</f>
        <v>0</v>
      </c>
      <c r="S11" s="20">
        <f>'GS &gt; 50 OLS model'!$B$9*G11</f>
        <v>12505797.102709934</v>
      </c>
      <c r="T11" s="20">
        <f>'GS &gt; 50 OLS model'!$B$10*H11</f>
        <v>128604.93184288801</v>
      </c>
      <c r="U11" s="20">
        <f>'GS &gt; 50 OLS model'!$B$11*I11</f>
        <v>0</v>
      </c>
      <c r="V11" s="20">
        <f>'GS &gt; 50 OLS model'!$B$12*J11</f>
        <v>0</v>
      </c>
      <c r="W11" s="20">
        <f>'GS &gt; 50 OLS model'!$B$13*K11</f>
        <v>0</v>
      </c>
      <c r="X11" s="20">
        <f>'GS &gt; 50 OLS model'!$B$14*L11</f>
        <v>1466841.9423256</v>
      </c>
      <c r="Y11" s="20">
        <f>'GS &gt; 50 OLS model'!$B$15*M11</f>
        <v>0</v>
      </c>
      <c r="Z11" s="20">
        <f t="shared" si="3"/>
        <v>13820284.872791125</v>
      </c>
      <c r="AA11" s="23">
        <f t="shared" ca="1" si="1"/>
        <v>4.9178147438824989E-2</v>
      </c>
    </row>
    <row r="12" spans="1:27" ht="14.4" x14ac:dyDescent="0.3">
      <c r="A12" s="22">
        <f>'Monthly Data'!A12</f>
        <v>40118</v>
      </c>
      <c r="B12" s="6">
        <f t="shared" si="2"/>
        <v>2009</v>
      </c>
      <c r="C12" s="20">
        <f ca="1">'Monthly Data'!N12</f>
        <v>13933768.375684015</v>
      </c>
      <c r="D12" s="20">
        <f>'Monthly Data'!P12</f>
        <v>235</v>
      </c>
      <c r="E12" s="6">
        <f>'Monthly Data'!AG12</f>
        <v>305.49999999999989</v>
      </c>
      <c r="F12" s="6">
        <f>'Monthly Data'!AH12</f>
        <v>0</v>
      </c>
      <c r="G12" s="6">
        <f>'Monthly Data'!AJ12</f>
        <v>150.1</v>
      </c>
      <c r="H12" s="6">
        <f>'Monthly Data'!AN12</f>
        <v>11</v>
      </c>
      <c r="I12" s="6">
        <f>'Monthly Data'!AW12</f>
        <v>0</v>
      </c>
      <c r="J12" s="6">
        <f>'Monthly Data'!AV12</f>
        <v>0</v>
      </c>
      <c r="K12" s="6">
        <f>'Monthly Data'!AW12</f>
        <v>0</v>
      </c>
      <c r="L12" s="6">
        <f>'Monthly Data'!AX12</f>
        <v>0</v>
      </c>
      <c r="M12" s="6">
        <f>'Monthly Data'!AY12</f>
        <v>1</v>
      </c>
      <c r="O12" s="20">
        <f>'GS &gt; 50 OLS model'!$B$5</f>
        <v>-11694573.8944258</v>
      </c>
      <c r="P12" s="20">
        <f>'GS &gt; 50 OLS model'!$B$6*D12</f>
        <v>11909678.897711953</v>
      </c>
      <c r="Q12" s="20">
        <f>'GS &gt; 50 OLS model'!$B$7*E12</f>
        <v>819190.77847475256</v>
      </c>
      <c r="R12" s="20">
        <f>'GS &gt; 50 OLS model'!$B$8*F12</f>
        <v>0</v>
      </c>
      <c r="S12" s="20">
        <f>'GS &gt; 50 OLS model'!$B$9*G12</f>
        <v>12581234.216600277</v>
      </c>
      <c r="T12" s="20">
        <f>'GS &gt; 50 OLS model'!$B$10*H12</f>
        <v>141465.4250271768</v>
      </c>
      <c r="U12" s="20">
        <f>'GS &gt; 50 OLS model'!$B$11*I12</f>
        <v>0</v>
      </c>
      <c r="V12" s="20">
        <f>'GS &gt; 50 OLS model'!$B$12*J12</f>
        <v>0</v>
      </c>
      <c r="W12" s="20">
        <f>'GS &gt; 50 OLS model'!$B$13*K12</f>
        <v>0</v>
      </c>
      <c r="X12" s="20">
        <f>'GS &gt; 50 OLS model'!$B$14*L12</f>
        <v>0</v>
      </c>
      <c r="Y12" s="20">
        <f>'GS &gt; 50 OLS model'!$B$15*M12</f>
        <v>671693.73401239095</v>
      </c>
      <c r="Z12" s="20">
        <f t="shared" si="3"/>
        <v>14428689.15740075</v>
      </c>
      <c r="AA12" s="23">
        <f t="shared" ca="1" si="1"/>
        <v>3.5519521235936886E-2</v>
      </c>
    </row>
    <row r="13" spans="1:27" ht="14.4" x14ac:dyDescent="0.3">
      <c r="A13" s="22">
        <f>'Monthly Data'!A13</f>
        <v>40148</v>
      </c>
      <c r="B13" s="6">
        <f t="shared" si="2"/>
        <v>2009</v>
      </c>
      <c r="C13" s="20">
        <f ca="1">'Monthly Data'!N13</f>
        <v>13861683.743107518</v>
      </c>
      <c r="D13" s="20">
        <f>'Monthly Data'!P13</f>
        <v>213</v>
      </c>
      <c r="E13" s="6">
        <f>'Monthly Data'!AG13</f>
        <v>582</v>
      </c>
      <c r="F13" s="6">
        <f>'Monthly Data'!AH13</f>
        <v>0</v>
      </c>
      <c r="G13" s="6">
        <f>'Monthly Data'!AJ13</f>
        <v>150.19999999999999</v>
      </c>
      <c r="H13" s="6">
        <f>'Monthly Data'!AN13</f>
        <v>12</v>
      </c>
      <c r="I13" s="6">
        <f>'Monthly Data'!AW13</f>
        <v>0</v>
      </c>
      <c r="J13" s="6">
        <f>'Monthly Data'!AV13</f>
        <v>0</v>
      </c>
      <c r="K13" s="6">
        <f>'Monthly Data'!AW13</f>
        <v>0</v>
      </c>
      <c r="L13" s="6">
        <f>'Monthly Data'!AX13</f>
        <v>0</v>
      </c>
      <c r="M13" s="6">
        <f>'Monthly Data'!AY13</f>
        <v>0</v>
      </c>
      <c r="O13" s="20">
        <f>'GS &gt; 50 OLS model'!$B$5</f>
        <v>-11694573.8944258</v>
      </c>
      <c r="P13" s="20">
        <f>'GS &gt; 50 OLS model'!$B$6*D13</f>
        <v>10794730.23494743</v>
      </c>
      <c r="Q13" s="20">
        <f>'GS &gt; 50 OLS model'!$B$7*E13</f>
        <v>1560618.7661941282</v>
      </c>
      <c r="R13" s="20">
        <f>'GS &gt; 50 OLS model'!$B$8*F13</f>
        <v>0</v>
      </c>
      <c r="S13" s="20">
        <f>'GS &gt; 50 OLS model'!$B$9*G13</f>
        <v>12589616.118143646</v>
      </c>
      <c r="T13" s="20">
        <f>'GS &gt; 50 OLS model'!$B$10*H13</f>
        <v>154325.91821146559</v>
      </c>
      <c r="U13" s="20">
        <f>'GS &gt; 50 OLS model'!$B$11*I13</f>
        <v>0</v>
      </c>
      <c r="V13" s="20">
        <f>'GS &gt; 50 OLS model'!$B$12*J13</f>
        <v>0</v>
      </c>
      <c r="W13" s="20">
        <f>'GS &gt; 50 OLS model'!$B$13*K13</f>
        <v>0</v>
      </c>
      <c r="X13" s="20">
        <f>'GS &gt; 50 OLS model'!$B$14*L13</f>
        <v>0</v>
      </c>
      <c r="Y13" s="20">
        <f>'GS &gt; 50 OLS model'!$B$15*M13</f>
        <v>0</v>
      </c>
      <c r="Z13" s="20">
        <f t="shared" si="3"/>
        <v>13404717.143070869</v>
      </c>
      <c r="AA13" s="23">
        <f t="shared" ca="1" si="1"/>
        <v>3.2966168360598166E-2</v>
      </c>
    </row>
    <row r="14" spans="1:27" ht="14.4" x14ac:dyDescent="0.3">
      <c r="A14" s="22">
        <f>'Monthly Data'!A14</f>
        <v>40179</v>
      </c>
      <c r="B14" s="6">
        <f t="shared" si="2"/>
        <v>2010</v>
      </c>
      <c r="C14" s="20">
        <f ca="1">'Monthly Data'!N14</f>
        <v>14179965.938707981</v>
      </c>
      <c r="D14" s="20">
        <f>'Monthly Data'!P14</f>
        <v>213</v>
      </c>
      <c r="E14" s="6">
        <f>'Monthly Data'!AG14</f>
        <v>663.29999999999984</v>
      </c>
      <c r="F14" s="6">
        <f>'Monthly Data'!AH14</f>
        <v>0</v>
      </c>
      <c r="G14" s="6">
        <f>'Monthly Data'!AJ14</f>
        <v>146.80000000000001</v>
      </c>
      <c r="H14" s="6">
        <f>'Monthly Data'!AN14</f>
        <v>13</v>
      </c>
      <c r="I14" s="6">
        <f>'Monthly Data'!AW14</f>
        <v>0</v>
      </c>
      <c r="J14" s="6">
        <f>'Monthly Data'!AV14</f>
        <v>0</v>
      </c>
      <c r="K14" s="6">
        <f>'Monthly Data'!AW14</f>
        <v>0</v>
      </c>
      <c r="L14" s="6">
        <f>'Monthly Data'!AX14</f>
        <v>0</v>
      </c>
      <c r="M14" s="6">
        <f>'Monthly Data'!AY14</f>
        <v>0</v>
      </c>
      <c r="O14" s="20">
        <f>'GS &gt; 50 OLS model'!$B$5</f>
        <v>-11694573.8944258</v>
      </c>
      <c r="P14" s="20">
        <f>'GS &gt; 50 OLS model'!$B$6*D14</f>
        <v>10794730.23494743</v>
      </c>
      <c r="Q14" s="20">
        <f>'GS &gt; 50 OLS model'!$B$7*E14</f>
        <v>1778622.7278635136</v>
      </c>
      <c r="R14" s="20">
        <f>'GS &gt; 50 OLS model'!$B$8*F14</f>
        <v>0</v>
      </c>
      <c r="S14" s="20">
        <f>'GS &gt; 50 OLS model'!$B$9*G14</f>
        <v>12304631.465669025</v>
      </c>
      <c r="T14" s="20">
        <f>'GS &gt; 50 OLS model'!$B$10*H14</f>
        <v>167186.4113957544</v>
      </c>
      <c r="U14" s="20">
        <f>'GS &gt; 50 OLS model'!$B$11*I14</f>
        <v>0</v>
      </c>
      <c r="V14" s="20">
        <f>'GS &gt; 50 OLS model'!$B$12*J14</f>
        <v>0</v>
      </c>
      <c r="W14" s="20">
        <f>'GS &gt; 50 OLS model'!$B$13*K14</f>
        <v>0</v>
      </c>
      <c r="X14" s="20">
        <f>'GS &gt; 50 OLS model'!$B$14*L14</f>
        <v>0</v>
      </c>
      <c r="Y14" s="20">
        <f>'GS &gt; 50 OLS model'!$B$15*M14</f>
        <v>0</v>
      </c>
      <c r="Z14" s="20">
        <f t="shared" si="3"/>
        <v>13350596.945449922</v>
      </c>
      <c r="AA14" s="23">
        <f t="shared" ca="1" si="1"/>
        <v>5.8488785998707951E-2</v>
      </c>
    </row>
    <row r="15" spans="1:27" ht="14.4" x14ac:dyDescent="0.3">
      <c r="A15" s="22">
        <f>'Monthly Data'!A15</f>
        <v>40210</v>
      </c>
      <c r="B15" s="6">
        <f t="shared" si="2"/>
        <v>2010</v>
      </c>
      <c r="C15" s="20">
        <f ca="1">'Monthly Data'!N15</f>
        <v>12772387.686685381</v>
      </c>
      <c r="D15" s="20">
        <f>'Monthly Data'!P15</f>
        <v>213</v>
      </c>
      <c r="E15" s="6">
        <f>'Monthly Data'!AG15</f>
        <v>557.29999999999995</v>
      </c>
      <c r="F15" s="6">
        <f>'Monthly Data'!AH15</f>
        <v>0</v>
      </c>
      <c r="G15" s="6">
        <f>'Monthly Data'!AJ15</f>
        <v>145.5</v>
      </c>
      <c r="H15" s="6">
        <f>'Monthly Data'!AN15</f>
        <v>14</v>
      </c>
      <c r="I15" s="6">
        <f>'Monthly Data'!AW15</f>
        <v>0</v>
      </c>
      <c r="J15" s="6">
        <f>'Monthly Data'!AV15</f>
        <v>0</v>
      </c>
      <c r="K15" s="6">
        <f>'Monthly Data'!AW15</f>
        <v>0</v>
      </c>
      <c r="L15" s="6">
        <f>'Monthly Data'!AX15</f>
        <v>0</v>
      </c>
      <c r="M15" s="6">
        <f>'Monthly Data'!AY15</f>
        <v>0</v>
      </c>
      <c r="O15" s="20">
        <f>'GS &gt; 50 OLS model'!$B$5</f>
        <v>-11694573.8944258</v>
      </c>
      <c r="P15" s="20">
        <f>'GS &gt; 50 OLS model'!$B$6*D15</f>
        <v>10794730.23494743</v>
      </c>
      <c r="Q15" s="20">
        <f>'GS &gt; 50 OLS model'!$B$7*E15</f>
        <v>1494386.3202748927</v>
      </c>
      <c r="R15" s="20">
        <f>'GS &gt; 50 OLS model'!$B$8*F15</f>
        <v>0</v>
      </c>
      <c r="S15" s="20">
        <f>'GS &gt; 50 OLS model'!$B$9*G15</f>
        <v>12195666.745605199</v>
      </c>
      <c r="T15" s="20">
        <f>'GS &gt; 50 OLS model'!$B$10*H15</f>
        <v>180046.90458004319</v>
      </c>
      <c r="U15" s="20">
        <f>'GS &gt; 50 OLS model'!$B$11*I15</f>
        <v>0</v>
      </c>
      <c r="V15" s="20">
        <f>'GS &gt; 50 OLS model'!$B$12*J15</f>
        <v>0</v>
      </c>
      <c r="W15" s="20">
        <f>'GS &gt; 50 OLS model'!$B$13*K15</f>
        <v>0</v>
      </c>
      <c r="X15" s="20">
        <f>'GS &gt; 50 OLS model'!$B$14*L15</f>
        <v>0</v>
      </c>
      <c r="Y15" s="20">
        <f>'GS &gt; 50 OLS model'!$B$15*M15</f>
        <v>0</v>
      </c>
      <c r="Z15" s="20">
        <f t="shared" si="3"/>
        <v>12970256.310981765</v>
      </c>
      <c r="AA15" s="23">
        <f t="shared" ca="1" si="1"/>
        <v>1.5491905597467319E-2</v>
      </c>
    </row>
    <row r="16" spans="1:27" ht="14.4" x14ac:dyDescent="0.3">
      <c r="A16" s="22">
        <f>'Monthly Data'!A16</f>
        <v>40238</v>
      </c>
      <c r="B16" s="6">
        <f t="shared" si="2"/>
        <v>2010</v>
      </c>
      <c r="C16" s="20">
        <f ca="1">'Monthly Data'!N16</f>
        <v>13777421.092791181</v>
      </c>
      <c r="D16" s="20">
        <f>'Monthly Data'!P16</f>
        <v>213</v>
      </c>
      <c r="E16" s="6">
        <f>'Monthly Data'!AG16</f>
        <v>393.39999999999986</v>
      </c>
      <c r="F16" s="6">
        <f>'Monthly Data'!AH16</f>
        <v>0</v>
      </c>
      <c r="G16" s="6">
        <f>'Monthly Data'!AJ16</f>
        <v>143.30000000000001</v>
      </c>
      <c r="H16" s="6">
        <f>'Monthly Data'!AN16</f>
        <v>15</v>
      </c>
      <c r="I16" s="6">
        <f>'Monthly Data'!AW16</f>
        <v>0</v>
      </c>
      <c r="J16" s="6">
        <f>'Monthly Data'!AV16</f>
        <v>0</v>
      </c>
      <c r="K16" s="6">
        <f>'Monthly Data'!AW16</f>
        <v>0</v>
      </c>
      <c r="L16" s="6">
        <f>'Monthly Data'!AX16</f>
        <v>0</v>
      </c>
      <c r="M16" s="6">
        <f>'Monthly Data'!AY16</f>
        <v>0</v>
      </c>
      <c r="O16" s="20">
        <f>'GS &gt; 50 OLS model'!$B$5</f>
        <v>-11694573.8944258</v>
      </c>
      <c r="P16" s="20">
        <f>'GS &gt; 50 OLS model'!$B$6*D16</f>
        <v>10794730.23494743</v>
      </c>
      <c r="Q16" s="20">
        <f>'GS &gt; 50 OLS model'!$B$7*E16</f>
        <v>1054892.478729845</v>
      </c>
      <c r="R16" s="20">
        <f>'GS &gt; 50 OLS model'!$B$8*F16</f>
        <v>0</v>
      </c>
      <c r="S16" s="20">
        <f>'GS &gt; 50 OLS model'!$B$9*G16</f>
        <v>12011264.911651032</v>
      </c>
      <c r="T16" s="20">
        <f>'GS &gt; 50 OLS model'!$B$10*H16</f>
        <v>192907.39776433201</v>
      </c>
      <c r="U16" s="20">
        <f>'GS &gt; 50 OLS model'!$B$11*I16</f>
        <v>0</v>
      </c>
      <c r="V16" s="20">
        <f>'GS &gt; 50 OLS model'!$B$12*J16</f>
        <v>0</v>
      </c>
      <c r="W16" s="20">
        <f>'GS &gt; 50 OLS model'!$B$13*K16</f>
        <v>0</v>
      </c>
      <c r="X16" s="20">
        <f>'GS &gt; 50 OLS model'!$B$14*L16</f>
        <v>0</v>
      </c>
      <c r="Y16" s="20">
        <f>'GS &gt; 50 OLS model'!$B$15*M16</f>
        <v>0</v>
      </c>
      <c r="Z16" s="20">
        <f t="shared" si="3"/>
        <v>12359221.12866684</v>
      </c>
      <c r="AA16" s="23">
        <f t="shared" ca="1" si="1"/>
        <v>0.10293653322873259</v>
      </c>
    </row>
    <row r="17" spans="1:27" ht="14.4" x14ac:dyDescent="0.3">
      <c r="A17" s="22">
        <f>'Monthly Data'!A17</f>
        <v>40269</v>
      </c>
      <c r="B17" s="6">
        <f t="shared" si="2"/>
        <v>2010</v>
      </c>
      <c r="C17" s="20">
        <f ca="1">'Monthly Data'!N17</f>
        <v>12131054.106289882</v>
      </c>
      <c r="D17" s="20">
        <f>'Monthly Data'!P17</f>
        <v>214</v>
      </c>
      <c r="E17" s="6">
        <f>'Monthly Data'!AG17</f>
        <v>174.9</v>
      </c>
      <c r="F17" s="6">
        <f>'Monthly Data'!AH17</f>
        <v>5</v>
      </c>
      <c r="G17" s="6">
        <f>'Monthly Data'!AJ17</f>
        <v>146.6</v>
      </c>
      <c r="H17" s="6">
        <f>'Monthly Data'!AN17</f>
        <v>16</v>
      </c>
      <c r="I17" s="6">
        <f>'Monthly Data'!AW17</f>
        <v>0</v>
      </c>
      <c r="J17" s="6">
        <f>'Monthly Data'!AV17</f>
        <v>0</v>
      </c>
      <c r="K17" s="6">
        <f>'Monthly Data'!AW17</f>
        <v>0</v>
      </c>
      <c r="L17" s="6">
        <f>'Monthly Data'!AX17</f>
        <v>0</v>
      </c>
      <c r="M17" s="6">
        <f>'Monthly Data'!AY17</f>
        <v>0</v>
      </c>
      <c r="O17" s="20">
        <f>'GS &gt; 50 OLS model'!$B$5</f>
        <v>-11694573.8944258</v>
      </c>
      <c r="P17" s="20">
        <f>'GS &gt; 50 OLS model'!$B$6*D17</f>
        <v>10845409.719618546</v>
      </c>
      <c r="Q17" s="20">
        <f>'GS &gt; 50 OLS model'!$B$7*E17</f>
        <v>468990.07252122514</v>
      </c>
      <c r="R17" s="20">
        <f>'GS &gt; 50 OLS model'!$B$8*F17</f>
        <v>73911.089776610999</v>
      </c>
      <c r="S17" s="20">
        <f>'GS &gt; 50 OLS model'!$B$9*G17</f>
        <v>12287867.662582282</v>
      </c>
      <c r="T17" s="20">
        <f>'GS &gt; 50 OLS model'!$B$10*H17</f>
        <v>205767.8909486208</v>
      </c>
      <c r="U17" s="20">
        <f>'GS &gt; 50 OLS model'!$B$11*I17</f>
        <v>0</v>
      </c>
      <c r="V17" s="20">
        <f>'GS &gt; 50 OLS model'!$B$12*J17</f>
        <v>0</v>
      </c>
      <c r="W17" s="20">
        <f>'GS &gt; 50 OLS model'!$B$13*K17</f>
        <v>0</v>
      </c>
      <c r="X17" s="20">
        <f>'GS &gt; 50 OLS model'!$B$14*L17</f>
        <v>0</v>
      </c>
      <c r="Y17" s="20">
        <f>'GS &gt; 50 OLS model'!$B$15*M17</f>
        <v>0</v>
      </c>
      <c r="Z17" s="20">
        <f t="shared" si="3"/>
        <v>12187372.541021485</v>
      </c>
      <c r="AA17" s="23">
        <f t="shared" ca="1" si="1"/>
        <v>4.6425013224862203E-3</v>
      </c>
    </row>
    <row r="18" spans="1:27" ht="14.4" x14ac:dyDescent="0.3">
      <c r="A18" s="22">
        <f>'Monthly Data'!A18</f>
        <v>40299</v>
      </c>
      <c r="B18" s="6">
        <f t="shared" si="2"/>
        <v>2010</v>
      </c>
      <c r="C18" s="20">
        <f ca="1">'Monthly Data'!N18</f>
        <v>12960765.690806882</v>
      </c>
      <c r="D18" s="20">
        <f>'Monthly Data'!P18</f>
        <v>214</v>
      </c>
      <c r="E18" s="6">
        <f>'Monthly Data'!AG18</f>
        <v>84.300000000000011</v>
      </c>
      <c r="F18" s="6">
        <f>'Monthly Data'!AH18</f>
        <v>59.699999999999989</v>
      </c>
      <c r="G18" s="6">
        <f>'Monthly Data'!AJ18</f>
        <v>147.80000000000001</v>
      </c>
      <c r="H18" s="6">
        <f>'Monthly Data'!AN18</f>
        <v>17</v>
      </c>
      <c r="I18" s="6">
        <f>'Monthly Data'!AW18</f>
        <v>0</v>
      </c>
      <c r="J18" s="6">
        <f>'Monthly Data'!AV18</f>
        <v>0</v>
      </c>
      <c r="K18" s="6">
        <f>'Monthly Data'!AW18</f>
        <v>0</v>
      </c>
      <c r="L18" s="6">
        <f>'Monthly Data'!AX18</f>
        <v>0</v>
      </c>
      <c r="M18" s="6">
        <f>'Monthly Data'!AY18</f>
        <v>0</v>
      </c>
      <c r="O18" s="20">
        <f>'GS &gt; 50 OLS model'!$B$5</f>
        <v>-11694573.8944258</v>
      </c>
      <c r="P18" s="20">
        <f>'GS &gt; 50 OLS model'!$B$6*D18</f>
        <v>10845409.719618546</v>
      </c>
      <c r="Q18" s="20">
        <f>'GS &gt; 50 OLS model'!$B$7*E18</f>
        <v>226048.38829925263</v>
      </c>
      <c r="R18" s="20">
        <f>'GS &gt; 50 OLS model'!$B$8*F18</f>
        <v>882498.41193273512</v>
      </c>
      <c r="S18" s="20">
        <f>'GS &gt; 50 OLS model'!$B$9*G18</f>
        <v>12388450.481102739</v>
      </c>
      <c r="T18" s="20">
        <f>'GS &gt; 50 OLS model'!$B$10*H18</f>
        <v>218628.38413290959</v>
      </c>
      <c r="U18" s="20">
        <f>'GS &gt; 50 OLS model'!$B$11*I18</f>
        <v>0</v>
      </c>
      <c r="V18" s="20">
        <f>'GS &gt; 50 OLS model'!$B$12*J18</f>
        <v>0</v>
      </c>
      <c r="W18" s="20">
        <f>'GS &gt; 50 OLS model'!$B$13*K18</f>
        <v>0</v>
      </c>
      <c r="X18" s="20">
        <f>'GS &gt; 50 OLS model'!$B$14*L18</f>
        <v>0</v>
      </c>
      <c r="Y18" s="20">
        <f>'GS &gt; 50 OLS model'!$B$15*M18</f>
        <v>0</v>
      </c>
      <c r="Z18" s="20">
        <f t="shared" si="3"/>
        <v>12866461.490660381</v>
      </c>
      <c r="AA18" s="23">
        <f t="shared" ca="1" si="1"/>
        <v>7.2761287717277526E-3</v>
      </c>
    </row>
    <row r="19" spans="1:27" ht="14.4" x14ac:dyDescent="0.3">
      <c r="A19" s="22">
        <f>'Monthly Data'!A19</f>
        <v>40330</v>
      </c>
      <c r="B19" s="6">
        <f t="shared" si="2"/>
        <v>2010</v>
      </c>
      <c r="C19" s="20">
        <f ca="1">'Monthly Data'!N19</f>
        <v>14889407.58055778</v>
      </c>
      <c r="D19" s="20">
        <f>'Monthly Data'!P19</f>
        <v>214</v>
      </c>
      <c r="E19" s="6">
        <f>'Monthly Data'!AG19</f>
        <v>3.9000000000000004</v>
      </c>
      <c r="F19" s="6">
        <f>'Monthly Data'!AH19</f>
        <v>135.89999999999998</v>
      </c>
      <c r="G19" s="6">
        <f>'Monthly Data'!AJ19</f>
        <v>149.9</v>
      </c>
      <c r="H19" s="6">
        <f>'Monthly Data'!AN19</f>
        <v>18</v>
      </c>
      <c r="I19" s="6">
        <f>'Monthly Data'!AW19</f>
        <v>0</v>
      </c>
      <c r="J19" s="6">
        <f>'Monthly Data'!AV19</f>
        <v>0</v>
      </c>
      <c r="K19" s="6">
        <f>'Monthly Data'!AW19</f>
        <v>0</v>
      </c>
      <c r="L19" s="6">
        <f>'Monthly Data'!AX19</f>
        <v>0</v>
      </c>
      <c r="M19" s="6">
        <f>'Monthly Data'!AY19</f>
        <v>0</v>
      </c>
      <c r="O19" s="20">
        <f>'GS &gt; 50 OLS model'!$B$5</f>
        <v>-11694573.8944258</v>
      </c>
      <c r="P19" s="20">
        <f>'GS &gt; 50 OLS model'!$B$6*D19</f>
        <v>10845409.719618546</v>
      </c>
      <c r="Q19" s="20">
        <f>'GS &gt; 50 OLS model'!$B$7*E19</f>
        <v>10457.754618826633</v>
      </c>
      <c r="R19" s="20">
        <f>'GS &gt; 50 OLS model'!$B$8*F19</f>
        <v>2008903.4201282866</v>
      </c>
      <c r="S19" s="20">
        <f>'GS &gt; 50 OLS model'!$B$9*G19</f>
        <v>12564470.413513534</v>
      </c>
      <c r="T19" s="20">
        <f>'GS &gt; 50 OLS model'!$B$10*H19</f>
        <v>231488.87731719841</v>
      </c>
      <c r="U19" s="20">
        <f>'GS &gt; 50 OLS model'!$B$11*I19</f>
        <v>0</v>
      </c>
      <c r="V19" s="20">
        <f>'GS &gt; 50 OLS model'!$B$12*J19</f>
        <v>0</v>
      </c>
      <c r="W19" s="20">
        <f>'GS &gt; 50 OLS model'!$B$13*K19</f>
        <v>0</v>
      </c>
      <c r="X19" s="20">
        <f>'GS &gt; 50 OLS model'!$B$14*L19</f>
        <v>0</v>
      </c>
      <c r="Y19" s="20">
        <f>'GS &gt; 50 OLS model'!$B$15*M19</f>
        <v>0</v>
      </c>
      <c r="Z19" s="20">
        <f t="shared" si="3"/>
        <v>13966156.29077059</v>
      </c>
      <c r="AA19" s="23">
        <f t="shared" ca="1" si="1"/>
        <v>6.2007254807958156E-2</v>
      </c>
    </row>
    <row r="20" spans="1:27" ht="14.4" x14ac:dyDescent="0.3">
      <c r="A20" s="22">
        <f>'Monthly Data'!A20</f>
        <v>40360</v>
      </c>
      <c r="B20" s="6">
        <f t="shared" si="2"/>
        <v>2010</v>
      </c>
      <c r="C20" s="20">
        <f ca="1">'Monthly Data'!N20</f>
        <v>15844471.30334268</v>
      </c>
      <c r="D20" s="20">
        <f>'Monthly Data'!P20</f>
        <v>217</v>
      </c>
      <c r="E20" s="6">
        <f>'Monthly Data'!AG20</f>
        <v>0</v>
      </c>
      <c r="F20" s="6">
        <f>'Monthly Data'!AH20</f>
        <v>227.00000000000006</v>
      </c>
      <c r="G20" s="6">
        <f>'Monthly Data'!AJ20</f>
        <v>148.30000000000001</v>
      </c>
      <c r="H20" s="6">
        <f>'Monthly Data'!AN20</f>
        <v>19</v>
      </c>
      <c r="I20" s="6">
        <f>'Monthly Data'!AW20</f>
        <v>0</v>
      </c>
      <c r="J20" s="6">
        <f>'Monthly Data'!AV20</f>
        <v>0</v>
      </c>
      <c r="K20" s="6">
        <f>'Monthly Data'!AW20</f>
        <v>0</v>
      </c>
      <c r="L20" s="6">
        <f>'Monthly Data'!AX20</f>
        <v>0</v>
      </c>
      <c r="M20" s="6">
        <f>'Monthly Data'!AY20</f>
        <v>0</v>
      </c>
      <c r="O20" s="20">
        <f>'GS &gt; 50 OLS model'!$B$5</f>
        <v>-11694573.8944258</v>
      </c>
      <c r="P20" s="20">
        <f>'GS &gt; 50 OLS model'!$B$6*D20</f>
        <v>10997448.17363189</v>
      </c>
      <c r="Q20" s="20">
        <f>'GS &gt; 50 OLS model'!$B$7*E20</f>
        <v>0</v>
      </c>
      <c r="R20" s="20">
        <f>'GS &gt; 50 OLS model'!$B$8*F20</f>
        <v>3355563.4758581403</v>
      </c>
      <c r="S20" s="20">
        <f>'GS &gt; 50 OLS model'!$B$9*G20</f>
        <v>12430359.988819595</v>
      </c>
      <c r="T20" s="20">
        <f>'GS &gt; 50 OLS model'!$B$10*H20</f>
        <v>244349.3705014872</v>
      </c>
      <c r="U20" s="20">
        <f>'GS &gt; 50 OLS model'!$B$11*I20</f>
        <v>0</v>
      </c>
      <c r="V20" s="20">
        <f>'GS &gt; 50 OLS model'!$B$12*J20</f>
        <v>0</v>
      </c>
      <c r="W20" s="20">
        <f>'GS &gt; 50 OLS model'!$B$13*K20</f>
        <v>0</v>
      </c>
      <c r="X20" s="20">
        <f>'GS &gt; 50 OLS model'!$B$14*L20</f>
        <v>0</v>
      </c>
      <c r="Y20" s="20">
        <f>'GS &gt; 50 OLS model'!$B$15*M20</f>
        <v>0</v>
      </c>
      <c r="Z20" s="20">
        <f t="shared" si="3"/>
        <v>15333147.114385312</v>
      </c>
      <c r="AA20" s="23">
        <f t="shared" ca="1" si="1"/>
        <v>3.2271457921697513E-2</v>
      </c>
    </row>
    <row r="21" spans="1:27" ht="14.4" x14ac:dyDescent="0.3">
      <c r="A21" s="22">
        <f>'Monthly Data'!A21</f>
        <v>40391</v>
      </c>
      <c r="B21" s="6">
        <f t="shared" si="2"/>
        <v>2010</v>
      </c>
      <c r="C21" s="20">
        <f ca="1">'Monthly Data'!N21</f>
        <v>16457809.899910983</v>
      </c>
      <c r="D21" s="20">
        <f>'Monthly Data'!P21</f>
        <v>215</v>
      </c>
      <c r="E21" s="6">
        <f>'Monthly Data'!AG21</f>
        <v>0</v>
      </c>
      <c r="F21" s="6">
        <f>'Monthly Data'!AH21</f>
        <v>211.80000000000004</v>
      </c>
      <c r="G21" s="6">
        <f>'Monthly Data'!AJ21</f>
        <v>148.4</v>
      </c>
      <c r="H21" s="6">
        <f>'Monthly Data'!AN21</f>
        <v>20</v>
      </c>
      <c r="I21" s="6">
        <f>'Monthly Data'!AW21</f>
        <v>0</v>
      </c>
      <c r="J21" s="6">
        <f>'Monthly Data'!AV21</f>
        <v>1</v>
      </c>
      <c r="K21" s="6">
        <f>'Monthly Data'!AW21</f>
        <v>0</v>
      </c>
      <c r="L21" s="6">
        <f>'Monthly Data'!AX21</f>
        <v>0</v>
      </c>
      <c r="M21" s="6">
        <f>'Monthly Data'!AY21</f>
        <v>0</v>
      </c>
      <c r="O21" s="20">
        <f>'GS &gt; 50 OLS model'!$B$5</f>
        <v>-11694573.8944258</v>
      </c>
      <c r="P21" s="20">
        <f>'GS &gt; 50 OLS model'!$B$6*D21</f>
        <v>10896089.20428966</v>
      </c>
      <c r="Q21" s="20">
        <f>'GS &gt; 50 OLS model'!$B$7*E21</f>
        <v>0</v>
      </c>
      <c r="R21" s="20">
        <f>'GS &gt; 50 OLS model'!$B$8*F21</f>
        <v>3130873.7629372426</v>
      </c>
      <c r="S21" s="20">
        <f>'GS &gt; 50 OLS model'!$B$9*G21</f>
        <v>12438741.890362965</v>
      </c>
      <c r="T21" s="20">
        <f>'GS &gt; 50 OLS model'!$B$10*H21</f>
        <v>257209.86368577601</v>
      </c>
      <c r="U21" s="20">
        <f>'GS &gt; 50 OLS model'!$B$11*I21</f>
        <v>0</v>
      </c>
      <c r="V21" s="20">
        <f>'GS &gt; 50 OLS model'!$B$12*J21</f>
        <v>1257541.23571065</v>
      </c>
      <c r="W21" s="20">
        <f>'GS &gt; 50 OLS model'!$B$13*K21</f>
        <v>0</v>
      </c>
      <c r="X21" s="20">
        <f>'GS &gt; 50 OLS model'!$B$14*L21</f>
        <v>0</v>
      </c>
      <c r="Y21" s="20">
        <f>'GS &gt; 50 OLS model'!$B$15*M21</f>
        <v>0</v>
      </c>
      <c r="Z21" s="20">
        <f t="shared" si="3"/>
        <v>16285882.062560493</v>
      </c>
      <c r="AA21" s="23">
        <f t="shared" ca="1" si="1"/>
        <v>1.044658058369112E-2</v>
      </c>
    </row>
    <row r="22" spans="1:27" ht="14.4" x14ac:dyDescent="0.3">
      <c r="A22" s="22">
        <f>'Monthly Data'!A22</f>
        <v>40422</v>
      </c>
      <c r="B22" s="6">
        <f t="shared" si="2"/>
        <v>2010</v>
      </c>
      <c r="C22" s="20">
        <f ca="1">'Monthly Data'!N22</f>
        <v>13945593.812022582</v>
      </c>
      <c r="D22" s="20">
        <f>'Monthly Data'!P22</f>
        <v>214</v>
      </c>
      <c r="E22" s="6">
        <f>'Monthly Data'!AG22</f>
        <v>38</v>
      </c>
      <c r="F22" s="6">
        <f>'Monthly Data'!AH22</f>
        <v>59.699999999999989</v>
      </c>
      <c r="G22" s="6">
        <f>'Monthly Data'!AJ22</f>
        <v>148.69999999999999</v>
      </c>
      <c r="H22" s="6">
        <f>'Monthly Data'!AN22</f>
        <v>21</v>
      </c>
      <c r="I22" s="6">
        <f>'Monthly Data'!AW22</f>
        <v>1</v>
      </c>
      <c r="J22" s="6">
        <f>'Monthly Data'!AV22</f>
        <v>0</v>
      </c>
      <c r="K22" s="6">
        <f>'Monthly Data'!AW22</f>
        <v>1</v>
      </c>
      <c r="L22" s="6">
        <f>'Monthly Data'!AX22</f>
        <v>0</v>
      </c>
      <c r="M22" s="6">
        <f>'Monthly Data'!AY22</f>
        <v>0</v>
      </c>
      <c r="O22" s="20">
        <f>'GS &gt; 50 OLS model'!$B$5</f>
        <v>-11694573.8944258</v>
      </c>
      <c r="P22" s="20">
        <f>'GS &gt; 50 OLS model'!$B$6*D22</f>
        <v>10845409.719618546</v>
      </c>
      <c r="Q22" s="20">
        <f>'GS &gt; 50 OLS model'!$B$7*E22</f>
        <v>101896.07064497744</v>
      </c>
      <c r="R22" s="20">
        <f>'GS &gt; 50 OLS model'!$B$8*F22</f>
        <v>882498.41193273512</v>
      </c>
      <c r="S22" s="20">
        <f>'GS &gt; 50 OLS model'!$B$9*G22</f>
        <v>12463887.594993077</v>
      </c>
      <c r="T22" s="20">
        <f>'GS &gt; 50 OLS model'!$B$10*H22</f>
        <v>270070.3568700648</v>
      </c>
      <c r="U22" s="20">
        <f>'GS &gt; 50 OLS model'!$B$11*I22</f>
        <v>-797686.81375559501</v>
      </c>
      <c r="V22" s="20">
        <f>'GS &gt; 50 OLS model'!$B$12*J22</f>
        <v>0</v>
      </c>
      <c r="W22" s="20">
        <f>'GS &gt; 50 OLS model'!$B$13*K22</f>
        <v>1979532.62008895</v>
      </c>
      <c r="X22" s="20">
        <f>'GS &gt; 50 OLS model'!$B$14*L22</f>
        <v>0</v>
      </c>
      <c r="Y22" s="20">
        <f>'GS &gt; 50 OLS model'!$B$15*M22</f>
        <v>0</v>
      </c>
      <c r="Z22" s="20">
        <f t="shared" si="3"/>
        <v>14051034.065966956</v>
      </c>
      <c r="AA22" s="23">
        <f t="shared" ca="1" si="1"/>
        <v>7.5608292745106293E-3</v>
      </c>
    </row>
    <row r="23" spans="1:27" ht="14.4" x14ac:dyDescent="0.3">
      <c r="A23" s="22">
        <f>'Monthly Data'!A23</f>
        <v>40452</v>
      </c>
      <c r="B23" s="6">
        <f t="shared" si="2"/>
        <v>2010</v>
      </c>
      <c r="C23" s="20">
        <f ca="1">'Monthly Data'!N23</f>
        <v>13680357.311501181</v>
      </c>
      <c r="D23" s="20">
        <f>'Monthly Data'!P23</f>
        <v>216</v>
      </c>
      <c r="E23" s="6">
        <f>'Monthly Data'!AG23</f>
        <v>157.6</v>
      </c>
      <c r="F23" s="6">
        <f>'Monthly Data'!AH23</f>
        <v>1.4000000000000001</v>
      </c>
      <c r="G23" s="6">
        <f>'Monthly Data'!AJ23</f>
        <v>149.6</v>
      </c>
      <c r="H23" s="6">
        <f>'Monthly Data'!AN23</f>
        <v>22</v>
      </c>
      <c r="I23" s="6">
        <f>'Monthly Data'!AW23</f>
        <v>0</v>
      </c>
      <c r="J23" s="6">
        <f>'Monthly Data'!AV23</f>
        <v>0</v>
      </c>
      <c r="K23" s="6">
        <f>'Monthly Data'!AW23</f>
        <v>0</v>
      </c>
      <c r="L23" s="6">
        <f>'Monthly Data'!AX23</f>
        <v>1</v>
      </c>
      <c r="M23" s="6">
        <f>'Monthly Data'!AY23</f>
        <v>0</v>
      </c>
      <c r="O23" s="20">
        <f>'GS &gt; 50 OLS model'!$B$5</f>
        <v>-11694573.8944258</v>
      </c>
      <c r="P23" s="20">
        <f>'GS &gt; 50 OLS model'!$B$6*D23</f>
        <v>10946768.688960774</v>
      </c>
      <c r="Q23" s="20">
        <f>'GS &gt; 50 OLS model'!$B$7*E23</f>
        <v>422600.54562232748</v>
      </c>
      <c r="R23" s="20">
        <f>'GS &gt; 50 OLS model'!$B$8*F23</f>
        <v>20695.105137451083</v>
      </c>
      <c r="S23" s="20">
        <f>'GS &gt; 50 OLS model'!$B$9*G23</f>
        <v>12539324.70888342</v>
      </c>
      <c r="T23" s="20">
        <f>'GS &gt; 50 OLS model'!$B$10*H23</f>
        <v>282930.85005435359</v>
      </c>
      <c r="U23" s="20">
        <f>'GS &gt; 50 OLS model'!$B$11*I23</f>
        <v>0</v>
      </c>
      <c r="V23" s="20">
        <f>'GS &gt; 50 OLS model'!$B$12*J23</f>
        <v>0</v>
      </c>
      <c r="W23" s="20">
        <f>'GS &gt; 50 OLS model'!$B$13*K23</f>
        <v>0</v>
      </c>
      <c r="X23" s="20">
        <f>'GS &gt; 50 OLS model'!$B$14*L23</f>
        <v>1466841.9423256</v>
      </c>
      <c r="Y23" s="20">
        <f>'GS &gt; 50 OLS model'!$B$15*M23</f>
        <v>0</v>
      </c>
      <c r="Z23" s="20">
        <f t="shared" si="3"/>
        <v>13984587.946558125</v>
      </c>
      <c r="AA23" s="23">
        <f t="shared" ca="1" si="1"/>
        <v>2.2238500656790269E-2</v>
      </c>
    </row>
    <row r="24" spans="1:27" ht="14.4" x14ac:dyDescent="0.3">
      <c r="A24" s="22">
        <f>'Monthly Data'!A24</f>
        <v>40483</v>
      </c>
      <c r="B24" s="6">
        <f t="shared" si="2"/>
        <v>2010</v>
      </c>
      <c r="C24" s="20">
        <f ca="1">'Monthly Data'!N24</f>
        <v>13943764.881368984</v>
      </c>
      <c r="D24" s="20">
        <f>'Monthly Data'!P24</f>
        <v>215</v>
      </c>
      <c r="E24" s="6">
        <f>'Monthly Data'!AG24</f>
        <v>376.59999999999991</v>
      </c>
      <c r="F24" s="6">
        <f>'Monthly Data'!AH24</f>
        <v>0</v>
      </c>
      <c r="G24" s="6">
        <f>'Monthly Data'!AJ24</f>
        <v>148.9</v>
      </c>
      <c r="H24" s="6">
        <f>'Monthly Data'!AN24</f>
        <v>23</v>
      </c>
      <c r="I24" s="6">
        <f>'Monthly Data'!AW24</f>
        <v>0</v>
      </c>
      <c r="J24" s="6">
        <f>'Monthly Data'!AV24</f>
        <v>0</v>
      </c>
      <c r="K24" s="6">
        <f>'Monthly Data'!AW24</f>
        <v>0</v>
      </c>
      <c r="L24" s="6">
        <f>'Monthly Data'!AX24</f>
        <v>0</v>
      </c>
      <c r="M24" s="6">
        <f>'Monthly Data'!AY24</f>
        <v>1</v>
      </c>
      <c r="O24" s="20">
        <f>'GS &gt; 50 OLS model'!$B$5</f>
        <v>-11694573.8944258</v>
      </c>
      <c r="P24" s="20">
        <f>'GS &gt; 50 OLS model'!$B$6*D24</f>
        <v>10896089.20428966</v>
      </c>
      <c r="Q24" s="20">
        <f>'GS &gt; 50 OLS model'!$B$7*E24</f>
        <v>1009843.689602592</v>
      </c>
      <c r="R24" s="20">
        <f>'GS &gt; 50 OLS model'!$B$8*F24</f>
        <v>0</v>
      </c>
      <c r="S24" s="20">
        <f>'GS &gt; 50 OLS model'!$B$9*G24</f>
        <v>12480651.398079822</v>
      </c>
      <c r="T24" s="20">
        <f>'GS &gt; 50 OLS model'!$B$10*H24</f>
        <v>295791.34323864238</v>
      </c>
      <c r="U24" s="20">
        <f>'GS &gt; 50 OLS model'!$B$11*I24</f>
        <v>0</v>
      </c>
      <c r="V24" s="20">
        <f>'GS &gt; 50 OLS model'!$B$12*J24</f>
        <v>0</v>
      </c>
      <c r="W24" s="20">
        <f>'GS &gt; 50 OLS model'!$B$13*K24</f>
        <v>0</v>
      </c>
      <c r="X24" s="20">
        <f>'GS &gt; 50 OLS model'!$B$14*L24</f>
        <v>0</v>
      </c>
      <c r="Y24" s="20">
        <f>'GS &gt; 50 OLS model'!$B$15*M24</f>
        <v>671693.73401239095</v>
      </c>
      <c r="Z24" s="20">
        <f t="shared" si="3"/>
        <v>13659495.474797307</v>
      </c>
      <c r="AA24" s="23">
        <f t="shared" ca="1" si="1"/>
        <v>2.0386847382338227E-2</v>
      </c>
    </row>
    <row r="25" spans="1:27" ht="14.4" x14ac:dyDescent="0.3">
      <c r="A25" s="22">
        <f>'Monthly Data'!A25</f>
        <v>40513</v>
      </c>
      <c r="B25" s="6">
        <f t="shared" si="2"/>
        <v>2010</v>
      </c>
      <c r="C25" s="20">
        <f ca="1">'Monthly Data'!N25</f>
        <v>13816144.317732083</v>
      </c>
      <c r="D25" s="20">
        <f>'Monthly Data'!P25</f>
        <v>214</v>
      </c>
      <c r="E25" s="6">
        <f>'Monthly Data'!AG25</f>
        <v>645.59999999999991</v>
      </c>
      <c r="F25" s="6">
        <f>'Monthly Data'!AH25</f>
        <v>0</v>
      </c>
      <c r="G25" s="6">
        <f>'Monthly Data'!AJ25</f>
        <v>148.1</v>
      </c>
      <c r="H25" s="6">
        <f>'Monthly Data'!AN25</f>
        <v>24</v>
      </c>
      <c r="I25" s="6">
        <f>'Monthly Data'!AW25</f>
        <v>0</v>
      </c>
      <c r="J25" s="6">
        <f>'Monthly Data'!AV25</f>
        <v>0</v>
      </c>
      <c r="K25" s="6">
        <f>'Monthly Data'!AW25</f>
        <v>0</v>
      </c>
      <c r="L25" s="6">
        <f>'Monthly Data'!AX25</f>
        <v>0</v>
      </c>
      <c r="M25" s="6">
        <f>'Monthly Data'!AY25</f>
        <v>0</v>
      </c>
      <c r="O25" s="20">
        <f>'GS &gt; 50 OLS model'!$B$5</f>
        <v>-11694573.8944258</v>
      </c>
      <c r="P25" s="20">
        <f>'GS &gt; 50 OLS model'!$B$6*D25</f>
        <v>10845409.719618546</v>
      </c>
      <c r="Q25" s="20">
        <f>'GS &gt; 50 OLS model'!$B$7*E25</f>
        <v>1731160.6107473008</v>
      </c>
      <c r="R25" s="20">
        <f>'GS &gt; 50 OLS model'!$B$8*F25</f>
        <v>0</v>
      </c>
      <c r="S25" s="20">
        <f>'GS &gt; 50 OLS model'!$B$9*G25</f>
        <v>12413596.185732851</v>
      </c>
      <c r="T25" s="20">
        <f>'GS &gt; 50 OLS model'!$B$10*H25</f>
        <v>308651.83642293117</v>
      </c>
      <c r="U25" s="20">
        <f>'GS &gt; 50 OLS model'!$B$11*I25</f>
        <v>0</v>
      </c>
      <c r="V25" s="20">
        <f>'GS &gt; 50 OLS model'!$B$12*J25</f>
        <v>0</v>
      </c>
      <c r="W25" s="20">
        <f>'GS &gt; 50 OLS model'!$B$13*K25</f>
        <v>0</v>
      </c>
      <c r="X25" s="20">
        <f>'GS &gt; 50 OLS model'!$B$14*L25</f>
        <v>0</v>
      </c>
      <c r="Y25" s="20">
        <f>'GS &gt; 50 OLS model'!$B$15*M25</f>
        <v>0</v>
      </c>
      <c r="Z25" s="20">
        <f t="shared" si="3"/>
        <v>13604244.458095828</v>
      </c>
      <c r="AA25" s="23">
        <f t="shared" ca="1" si="1"/>
        <v>1.5337119732043877E-2</v>
      </c>
    </row>
    <row r="26" spans="1:27" ht="14.4" x14ac:dyDescent="0.3">
      <c r="A26" s="22">
        <f>'Monthly Data'!A26</f>
        <v>40544</v>
      </c>
      <c r="B26" s="6">
        <f t="shared" si="2"/>
        <v>2011</v>
      </c>
      <c r="C26" s="20">
        <f ca="1">'Monthly Data'!N26</f>
        <v>14300120.531601261</v>
      </c>
      <c r="D26" s="20">
        <f>'Monthly Data'!P26</f>
        <v>219</v>
      </c>
      <c r="E26" s="6">
        <f>'Monthly Data'!AG26</f>
        <v>703.59999999999991</v>
      </c>
      <c r="F26" s="6">
        <f>'Monthly Data'!AH26</f>
        <v>0</v>
      </c>
      <c r="G26" s="6">
        <f>'Monthly Data'!AJ26</f>
        <v>148.69999999999999</v>
      </c>
      <c r="H26" s="6">
        <f>'Monthly Data'!AN26</f>
        <v>25</v>
      </c>
      <c r="I26" s="6">
        <f>'Monthly Data'!AW26</f>
        <v>0</v>
      </c>
      <c r="J26" s="6">
        <f>'Monthly Data'!AV26</f>
        <v>0</v>
      </c>
      <c r="K26" s="6">
        <f>'Monthly Data'!AW26</f>
        <v>0</v>
      </c>
      <c r="L26" s="6">
        <f>'Monthly Data'!AX26</f>
        <v>0</v>
      </c>
      <c r="M26" s="6">
        <f>'Monthly Data'!AY26</f>
        <v>0</v>
      </c>
      <c r="O26" s="20">
        <f>'GS &gt; 50 OLS model'!$B$5</f>
        <v>-11694573.8944258</v>
      </c>
      <c r="P26" s="20">
        <f>'GS &gt; 50 OLS model'!$B$6*D26</f>
        <v>11098807.142974118</v>
      </c>
      <c r="Q26" s="20">
        <f>'GS &gt; 50 OLS model'!$B$7*E26</f>
        <v>1886686.1922580558</v>
      </c>
      <c r="R26" s="20">
        <f>'GS &gt; 50 OLS model'!$B$8*F26</f>
        <v>0</v>
      </c>
      <c r="S26" s="20">
        <f>'GS &gt; 50 OLS model'!$B$9*G26</f>
        <v>12463887.594993077</v>
      </c>
      <c r="T26" s="20">
        <f>'GS &gt; 50 OLS model'!$B$10*H26</f>
        <v>321512.32960722002</v>
      </c>
      <c r="U26" s="20">
        <f>'GS &gt; 50 OLS model'!$B$11*I26</f>
        <v>0</v>
      </c>
      <c r="V26" s="20">
        <f>'GS &gt; 50 OLS model'!$B$12*J26</f>
        <v>0</v>
      </c>
      <c r="W26" s="20">
        <f>'GS &gt; 50 OLS model'!$B$13*K26</f>
        <v>0</v>
      </c>
      <c r="X26" s="20">
        <f>'GS &gt; 50 OLS model'!$B$14*L26</f>
        <v>0</v>
      </c>
      <c r="Y26" s="20">
        <f>'GS &gt; 50 OLS model'!$B$15*M26</f>
        <v>0</v>
      </c>
      <c r="Z26" s="20">
        <f t="shared" si="3"/>
        <v>14076319.365406672</v>
      </c>
      <c r="AA26" s="23">
        <f t="shared" ca="1" si="1"/>
        <v>1.5650299289437498E-2</v>
      </c>
    </row>
    <row r="27" spans="1:27" ht="14.4" x14ac:dyDescent="0.3">
      <c r="A27" s="22">
        <f>'Monthly Data'!A27</f>
        <v>40575</v>
      </c>
      <c r="B27" s="6">
        <f t="shared" si="2"/>
        <v>2011</v>
      </c>
      <c r="C27" s="20">
        <f ca="1">'Monthly Data'!N27</f>
        <v>12823986.900859961</v>
      </c>
      <c r="D27" s="20">
        <f>'Monthly Data'!P27</f>
        <v>220</v>
      </c>
      <c r="E27" s="6">
        <f>'Monthly Data'!AG27</f>
        <v>583.20000000000005</v>
      </c>
      <c r="F27" s="6">
        <f>'Monthly Data'!AH27</f>
        <v>0</v>
      </c>
      <c r="G27" s="6">
        <f>'Monthly Data'!AJ27</f>
        <v>146.69999999999999</v>
      </c>
      <c r="H27" s="6">
        <f>'Monthly Data'!AN27</f>
        <v>26</v>
      </c>
      <c r="I27" s="6">
        <f>'Monthly Data'!AW27</f>
        <v>0</v>
      </c>
      <c r="J27" s="6">
        <f>'Monthly Data'!AV27</f>
        <v>0</v>
      </c>
      <c r="K27" s="6">
        <f>'Monthly Data'!AW27</f>
        <v>0</v>
      </c>
      <c r="L27" s="6">
        <f>'Monthly Data'!AX27</f>
        <v>0</v>
      </c>
      <c r="M27" s="6">
        <f>'Monthly Data'!AY27</f>
        <v>0</v>
      </c>
      <c r="O27" s="20">
        <f>'GS &gt; 50 OLS model'!$B$5</f>
        <v>-11694573.8944258</v>
      </c>
      <c r="P27" s="20">
        <f>'GS &gt; 50 OLS model'!$B$6*D27</f>
        <v>11149486.627645234</v>
      </c>
      <c r="Q27" s="20">
        <f>'GS &gt; 50 OLS model'!$B$7*E27</f>
        <v>1563836.536846075</v>
      </c>
      <c r="R27" s="20">
        <f>'GS &gt; 50 OLS model'!$B$8*F27</f>
        <v>0</v>
      </c>
      <c r="S27" s="20">
        <f>'GS &gt; 50 OLS model'!$B$9*G27</f>
        <v>12296249.564125653</v>
      </c>
      <c r="T27" s="20">
        <f>'GS &gt; 50 OLS model'!$B$10*H27</f>
        <v>334372.82279150881</v>
      </c>
      <c r="U27" s="20">
        <f>'GS &gt; 50 OLS model'!$B$11*I27</f>
        <v>0</v>
      </c>
      <c r="V27" s="20">
        <f>'GS &gt; 50 OLS model'!$B$12*J27</f>
        <v>0</v>
      </c>
      <c r="W27" s="20">
        <f>'GS &gt; 50 OLS model'!$B$13*K27</f>
        <v>0</v>
      </c>
      <c r="X27" s="20">
        <f>'GS &gt; 50 OLS model'!$B$14*L27</f>
        <v>0</v>
      </c>
      <c r="Y27" s="20">
        <f>'GS &gt; 50 OLS model'!$B$15*M27</f>
        <v>0</v>
      </c>
      <c r="Z27" s="20">
        <f t="shared" si="3"/>
        <v>13649371.656982671</v>
      </c>
      <c r="AA27" s="23">
        <f t="shared" ca="1" si="1"/>
        <v>6.4362570119855689E-2</v>
      </c>
    </row>
    <row r="28" spans="1:27" ht="14.4" x14ac:dyDescent="0.3">
      <c r="A28" s="22">
        <f>'Monthly Data'!A28</f>
        <v>40603</v>
      </c>
      <c r="B28" s="6">
        <f t="shared" si="2"/>
        <v>2011</v>
      </c>
      <c r="C28" s="20">
        <f ca="1">'Monthly Data'!N28</f>
        <v>13729652.925076362</v>
      </c>
      <c r="D28" s="20">
        <f>'Monthly Data'!P28</f>
        <v>221</v>
      </c>
      <c r="E28" s="6">
        <f>'Monthly Data'!AG28</f>
        <v>514.30000000000007</v>
      </c>
      <c r="F28" s="6">
        <f>'Monthly Data'!AH28</f>
        <v>0</v>
      </c>
      <c r="G28" s="6">
        <f>'Monthly Data'!AJ28</f>
        <v>145.4</v>
      </c>
      <c r="H28" s="6">
        <f>'Monthly Data'!AN28</f>
        <v>27</v>
      </c>
      <c r="I28" s="6">
        <f>'Monthly Data'!AW28</f>
        <v>0</v>
      </c>
      <c r="J28" s="6">
        <f>'Monthly Data'!AV28</f>
        <v>0</v>
      </c>
      <c r="K28" s="6">
        <f>'Monthly Data'!AW28</f>
        <v>0</v>
      </c>
      <c r="L28" s="6">
        <f>'Monthly Data'!AX28</f>
        <v>0</v>
      </c>
      <c r="M28" s="6">
        <f>'Monthly Data'!AY28</f>
        <v>0</v>
      </c>
      <c r="O28" s="20">
        <f>'GS &gt; 50 OLS model'!$B$5</f>
        <v>-11694573.8944258</v>
      </c>
      <c r="P28" s="20">
        <f>'GS &gt; 50 OLS model'!$B$6*D28</f>
        <v>11200166.112316348</v>
      </c>
      <c r="Q28" s="20">
        <f>'GS &gt; 50 OLS model'!$B$7*E28</f>
        <v>1379082.8719134713</v>
      </c>
      <c r="R28" s="20">
        <f>'GS &gt; 50 OLS model'!$B$8*F28</f>
        <v>0</v>
      </c>
      <c r="S28" s="20">
        <f>'GS &gt; 50 OLS model'!$B$9*G28</f>
        <v>12187284.844061827</v>
      </c>
      <c r="T28" s="20">
        <f>'GS &gt; 50 OLS model'!$B$10*H28</f>
        <v>347233.3159757976</v>
      </c>
      <c r="U28" s="20">
        <f>'GS &gt; 50 OLS model'!$B$11*I28</f>
        <v>0</v>
      </c>
      <c r="V28" s="20">
        <f>'GS &gt; 50 OLS model'!$B$12*J28</f>
        <v>0</v>
      </c>
      <c r="W28" s="20">
        <f>'GS &gt; 50 OLS model'!$B$13*K28</f>
        <v>0</v>
      </c>
      <c r="X28" s="20">
        <f>'GS &gt; 50 OLS model'!$B$14*L28</f>
        <v>0</v>
      </c>
      <c r="Y28" s="20">
        <f>'GS &gt; 50 OLS model'!$B$15*M28</f>
        <v>0</v>
      </c>
      <c r="Z28" s="20">
        <f t="shared" si="3"/>
        <v>13419193.249841643</v>
      </c>
      <c r="AA28" s="23">
        <f t="shared" ca="1" si="1"/>
        <v>2.2612346934690743E-2</v>
      </c>
    </row>
    <row r="29" spans="1:27" ht="14.4" x14ac:dyDescent="0.3">
      <c r="A29" s="22">
        <f>'Monthly Data'!A29</f>
        <v>40634</v>
      </c>
      <c r="B29" s="6">
        <f t="shared" si="2"/>
        <v>2011</v>
      </c>
      <c r="C29" s="20">
        <f ca="1">'Monthly Data'!N29</f>
        <v>12372493.118964862</v>
      </c>
      <c r="D29" s="20">
        <f>'Monthly Data'!P29</f>
        <v>222</v>
      </c>
      <c r="E29" s="6">
        <f>'Monthly Data'!AG29</f>
        <v>278.59999999999985</v>
      </c>
      <c r="F29" s="6">
        <f>'Monthly Data'!AH29</f>
        <v>0.5</v>
      </c>
      <c r="G29" s="6">
        <f>'Monthly Data'!AJ29</f>
        <v>144</v>
      </c>
      <c r="H29" s="6">
        <f>'Monthly Data'!AN29</f>
        <v>28</v>
      </c>
      <c r="I29" s="6">
        <f>'Monthly Data'!AW29</f>
        <v>0</v>
      </c>
      <c r="J29" s="6">
        <f>'Monthly Data'!AV29</f>
        <v>0</v>
      </c>
      <c r="K29" s="6">
        <f>'Monthly Data'!AW29</f>
        <v>0</v>
      </c>
      <c r="L29" s="6">
        <f>'Monthly Data'!AX29</f>
        <v>0</v>
      </c>
      <c r="M29" s="6">
        <f>'Monthly Data'!AY29</f>
        <v>0</v>
      </c>
      <c r="O29" s="20">
        <f>'GS &gt; 50 OLS model'!$B$5</f>
        <v>-11694573.8944258</v>
      </c>
      <c r="P29" s="20">
        <f>'GS &gt; 50 OLS model'!$B$6*D29</f>
        <v>11250845.596987464</v>
      </c>
      <c r="Q29" s="20">
        <f>'GS &gt; 50 OLS model'!$B$7*E29</f>
        <v>747059.08636028157</v>
      </c>
      <c r="R29" s="20">
        <f>'GS &gt; 50 OLS model'!$B$8*F29</f>
        <v>7391.1089776610997</v>
      </c>
      <c r="S29" s="20">
        <f>'GS &gt; 50 OLS model'!$B$9*G29</f>
        <v>12069938.22245463</v>
      </c>
      <c r="T29" s="20">
        <f>'GS &gt; 50 OLS model'!$B$10*H29</f>
        <v>360093.80916008638</v>
      </c>
      <c r="U29" s="20">
        <f>'GS &gt; 50 OLS model'!$B$11*I29</f>
        <v>0</v>
      </c>
      <c r="V29" s="20">
        <f>'GS &gt; 50 OLS model'!$B$12*J29</f>
        <v>0</v>
      </c>
      <c r="W29" s="20">
        <f>'GS &gt; 50 OLS model'!$B$13*K29</f>
        <v>0</v>
      </c>
      <c r="X29" s="20">
        <f>'GS &gt; 50 OLS model'!$B$14*L29</f>
        <v>0</v>
      </c>
      <c r="Y29" s="20">
        <f>'GS &gt; 50 OLS model'!$B$15*M29</f>
        <v>0</v>
      </c>
      <c r="Z29" s="20">
        <f t="shared" si="3"/>
        <v>12740753.929514322</v>
      </c>
      <c r="AA29" s="23">
        <f t="shared" ca="1" si="1"/>
        <v>2.9764478913710698E-2</v>
      </c>
    </row>
    <row r="30" spans="1:27" ht="14.4" x14ac:dyDescent="0.3">
      <c r="A30" s="22">
        <f>'Monthly Data'!A30</f>
        <v>40664</v>
      </c>
      <c r="B30" s="6">
        <f t="shared" si="2"/>
        <v>2011</v>
      </c>
      <c r="C30" s="20">
        <f ca="1">'Monthly Data'!N30</f>
        <v>12952023.395882361</v>
      </c>
      <c r="D30" s="20">
        <f>'Monthly Data'!P30</f>
        <v>222</v>
      </c>
      <c r="E30" s="6">
        <f>'Monthly Data'!AG30</f>
        <v>105.20000000000003</v>
      </c>
      <c r="F30" s="6">
        <f>'Monthly Data'!AH30</f>
        <v>37.200000000000003</v>
      </c>
      <c r="G30" s="6">
        <f>'Monthly Data'!AJ30</f>
        <v>144.6</v>
      </c>
      <c r="H30" s="6">
        <f>'Monthly Data'!AN30</f>
        <v>29</v>
      </c>
      <c r="I30" s="6">
        <f>'Monthly Data'!AW30</f>
        <v>0</v>
      </c>
      <c r="J30" s="6">
        <f>'Monthly Data'!AV30</f>
        <v>0</v>
      </c>
      <c r="K30" s="6">
        <f>'Monthly Data'!AW30</f>
        <v>0</v>
      </c>
      <c r="L30" s="6">
        <f>'Monthly Data'!AX30</f>
        <v>0</v>
      </c>
      <c r="M30" s="6">
        <f>'Monthly Data'!AY30</f>
        <v>0</v>
      </c>
      <c r="O30" s="20">
        <f>'GS &gt; 50 OLS model'!$B$5</f>
        <v>-11694573.8944258</v>
      </c>
      <c r="P30" s="20">
        <f>'GS &gt; 50 OLS model'!$B$6*D30</f>
        <v>11250845.596987464</v>
      </c>
      <c r="Q30" s="20">
        <f>'GS &gt; 50 OLS model'!$B$7*E30</f>
        <v>282091.22715399024</v>
      </c>
      <c r="R30" s="20">
        <f>'GS &gt; 50 OLS model'!$B$8*F30</f>
        <v>549898.50793798582</v>
      </c>
      <c r="S30" s="20">
        <f>'GS &gt; 50 OLS model'!$B$9*G30</f>
        <v>12120229.631714856</v>
      </c>
      <c r="T30" s="20">
        <f>'GS &gt; 50 OLS model'!$B$10*H30</f>
        <v>372954.30234437517</v>
      </c>
      <c r="U30" s="20">
        <f>'GS &gt; 50 OLS model'!$B$11*I30</f>
        <v>0</v>
      </c>
      <c r="V30" s="20">
        <f>'GS &gt; 50 OLS model'!$B$12*J30</f>
        <v>0</v>
      </c>
      <c r="W30" s="20">
        <f>'GS &gt; 50 OLS model'!$B$13*K30</f>
        <v>0</v>
      </c>
      <c r="X30" s="20">
        <f>'GS &gt; 50 OLS model'!$B$14*L30</f>
        <v>0</v>
      </c>
      <c r="Y30" s="20">
        <f>'GS &gt; 50 OLS model'!$B$15*M30</f>
        <v>0</v>
      </c>
      <c r="Z30" s="20">
        <f t="shared" si="3"/>
        <v>12881445.371712871</v>
      </c>
      <c r="AA30" s="23">
        <f t="shared" ca="1" si="1"/>
        <v>5.449189058130295E-3</v>
      </c>
    </row>
    <row r="31" spans="1:27" ht="14.4" x14ac:dyDescent="0.3">
      <c r="A31" s="22">
        <f>'Monthly Data'!A31</f>
        <v>40695</v>
      </c>
      <c r="B31" s="6">
        <f t="shared" si="2"/>
        <v>2011</v>
      </c>
      <c r="C31" s="20">
        <f ca="1">'Monthly Data'!N31</f>
        <v>13742572.92912866</v>
      </c>
      <c r="D31" s="20">
        <f>'Monthly Data'!P31</f>
        <v>223</v>
      </c>
      <c r="E31" s="6">
        <f>'Monthly Data'!AG31</f>
        <v>7.6000000000000005</v>
      </c>
      <c r="F31" s="6">
        <f>'Monthly Data'!AH31</f>
        <v>115.89999999999998</v>
      </c>
      <c r="G31" s="6">
        <f>'Monthly Data'!AJ31</f>
        <v>146</v>
      </c>
      <c r="H31" s="6">
        <f>'Monthly Data'!AN31</f>
        <v>30</v>
      </c>
      <c r="I31" s="6">
        <f>'Monthly Data'!AW31</f>
        <v>0</v>
      </c>
      <c r="J31" s="6">
        <f>'Monthly Data'!AV31</f>
        <v>0</v>
      </c>
      <c r="K31" s="6">
        <f>'Monthly Data'!AW31</f>
        <v>0</v>
      </c>
      <c r="L31" s="6">
        <f>'Monthly Data'!AX31</f>
        <v>0</v>
      </c>
      <c r="M31" s="6">
        <f>'Monthly Data'!AY31</f>
        <v>0</v>
      </c>
      <c r="O31" s="20">
        <f>'GS &gt; 50 OLS model'!$B$5</f>
        <v>-11694573.8944258</v>
      </c>
      <c r="P31" s="20">
        <f>'GS &gt; 50 OLS model'!$B$6*D31</f>
        <v>11301525.081658578</v>
      </c>
      <c r="Q31" s="20">
        <f>'GS &gt; 50 OLS model'!$B$7*E31</f>
        <v>20379.214128995489</v>
      </c>
      <c r="R31" s="20">
        <f>'GS &gt; 50 OLS model'!$B$8*F31</f>
        <v>1713259.0610218425</v>
      </c>
      <c r="S31" s="20">
        <f>'GS &gt; 50 OLS model'!$B$9*G31</f>
        <v>12237576.253322054</v>
      </c>
      <c r="T31" s="20">
        <f>'GS &gt; 50 OLS model'!$B$10*H31</f>
        <v>385814.79552866402</v>
      </c>
      <c r="U31" s="20">
        <f>'GS &gt; 50 OLS model'!$B$11*I31</f>
        <v>0</v>
      </c>
      <c r="V31" s="20">
        <f>'GS &gt; 50 OLS model'!$B$12*J31</f>
        <v>0</v>
      </c>
      <c r="W31" s="20">
        <f>'GS &gt; 50 OLS model'!$B$13*K31</f>
        <v>0</v>
      </c>
      <c r="X31" s="20">
        <f>'GS &gt; 50 OLS model'!$B$14*L31</f>
        <v>0</v>
      </c>
      <c r="Y31" s="20">
        <f>'GS &gt; 50 OLS model'!$B$15*M31</f>
        <v>0</v>
      </c>
      <c r="Z31" s="20">
        <f t="shared" si="3"/>
        <v>13963980.511234332</v>
      </c>
      <c r="AA31" s="23">
        <f t="shared" ca="1" si="1"/>
        <v>1.6111072013041898E-2</v>
      </c>
    </row>
    <row r="32" spans="1:27" ht="14.4" x14ac:dyDescent="0.3">
      <c r="A32" s="22">
        <f>'Monthly Data'!A32</f>
        <v>40725</v>
      </c>
      <c r="B32" s="6">
        <f t="shared" si="2"/>
        <v>2011</v>
      </c>
      <c r="C32" s="20">
        <f ca="1">'Monthly Data'!N32</f>
        <v>15283419.080539763</v>
      </c>
      <c r="D32" s="20">
        <f>'Monthly Data'!P32</f>
        <v>227</v>
      </c>
      <c r="E32" s="6">
        <f>'Monthly Data'!AG32</f>
        <v>0</v>
      </c>
      <c r="F32" s="6">
        <f>'Monthly Data'!AH32</f>
        <v>255.50000000000006</v>
      </c>
      <c r="G32" s="6">
        <f>'Monthly Data'!AJ32</f>
        <v>147.6</v>
      </c>
      <c r="H32" s="6">
        <f>'Monthly Data'!AN32</f>
        <v>31</v>
      </c>
      <c r="I32" s="6">
        <f>'Monthly Data'!AW32</f>
        <v>0</v>
      </c>
      <c r="J32" s="6">
        <f>'Monthly Data'!AV32</f>
        <v>0</v>
      </c>
      <c r="K32" s="6">
        <f>'Monthly Data'!AW32</f>
        <v>0</v>
      </c>
      <c r="L32" s="6">
        <f>'Monthly Data'!AX32</f>
        <v>0</v>
      </c>
      <c r="M32" s="6">
        <f>'Monthly Data'!AY32</f>
        <v>0</v>
      </c>
      <c r="O32" s="20">
        <f>'GS &gt; 50 OLS model'!$B$5</f>
        <v>-11694573.8944258</v>
      </c>
      <c r="P32" s="20">
        <f>'GS &gt; 50 OLS model'!$B$6*D32</f>
        <v>11504243.020343035</v>
      </c>
      <c r="Q32" s="20">
        <f>'GS &gt; 50 OLS model'!$B$7*E32</f>
        <v>0</v>
      </c>
      <c r="R32" s="20">
        <f>'GS &gt; 50 OLS model'!$B$8*F32</f>
        <v>3776856.687584823</v>
      </c>
      <c r="S32" s="20">
        <f>'GS &gt; 50 OLS model'!$B$9*G32</f>
        <v>12371686.678015994</v>
      </c>
      <c r="T32" s="20">
        <f>'GS &gt; 50 OLS model'!$B$10*H32</f>
        <v>398675.28871295281</v>
      </c>
      <c r="U32" s="20">
        <f>'GS &gt; 50 OLS model'!$B$11*I32</f>
        <v>0</v>
      </c>
      <c r="V32" s="20">
        <f>'GS &gt; 50 OLS model'!$B$12*J32</f>
        <v>0</v>
      </c>
      <c r="W32" s="20">
        <f>'GS &gt; 50 OLS model'!$B$13*K32</f>
        <v>0</v>
      </c>
      <c r="X32" s="20">
        <f>'GS &gt; 50 OLS model'!$B$14*L32</f>
        <v>0</v>
      </c>
      <c r="Y32" s="20">
        <f>'GS &gt; 50 OLS model'!$B$15*M32</f>
        <v>0</v>
      </c>
      <c r="Z32" s="20">
        <f t="shared" si="3"/>
        <v>16356887.780231005</v>
      </c>
      <c r="AA32" s="23">
        <f t="shared" ca="1" si="1"/>
        <v>7.0237470688615702E-2</v>
      </c>
    </row>
    <row r="33" spans="1:27" ht="14.4" x14ac:dyDescent="0.3">
      <c r="A33" s="22">
        <f>'Monthly Data'!A33</f>
        <v>40756</v>
      </c>
      <c r="B33" s="6">
        <f t="shared" si="2"/>
        <v>2011</v>
      </c>
      <c r="C33" s="20">
        <f ca="1">'Monthly Data'!N33</f>
        <v>16123689.71845906</v>
      </c>
      <c r="D33" s="20">
        <f>'Monthly Data'!P33</f>
        <v>227</v>
      </c>
      <c r="E33" s="6">
        <f>'Monthly Data'!AG33</f>
        <v>0</v>
      </c>
      <c r="F33" s="6">
        <f>'Monthly Data'!AH33</f>
        <v>159.50000000000003</v>
      </c>
      <c r="G33" s="6">
        <f>'Monthly Data'!AJ33</f>
        <v>148.69999999999999</v>
      </c>
      <c r="H33" s="6">
        <f>'Monthly Data'!AN33</f>
        <v>32</v>
      </c>
      <c r="I33" s="6">
        <f>'Monthly Data'!AW33</f>
        <v>0</v>
      </c>
      <c r="J33" s="6">
        <f>'Monthly Data'!AV33</f>
        <v>1</v>
      </c>
      <c r="K33" s="6">
        <f>'Monthly Data'!AW33</f>
        <v>0</v>
      </c>
      <c r="L33" s="6">
        <f>'Monthly Data'!AX33</f>
        <v>0</v>
      </c>
      <c r="M33" s="6">
        <f>'Monthly Data'!AY33</f>
        <v>0</v>
      </c>
      <c r="O33" s="20">
        <f>'GS &gt; 50 OLS model'!$B$5</f>
        <v>-11694573.8944258</v>
      </c>
      <c r="P33" s="20">
        <f>'GS &gt; 50 OLS model'!$B$6*D33</f>
        <v>11504243.020343035</v>
      </c>
      <c r="Q33" s="20">
        <f>'GS &gt; 50 OLS model'!$B$7*E33</f>
        <v>0</v>
      </c>
      <c r="R33" s="20">
        <f>'GS &gt; 50 OLS model'!$B$8*F33</f>
        <v>2357763.7638738914</v>
      </c>
      <c r="S33" s="20">
        <f>'GS &gt; 50 OLS model'!$B$9*G33</f>
        <v>12463887.594993077</v>
      </c>
      <c r="T33" s="20">
        <f>'GS &gt; 50 OLS model'!$B$10*H33</f>
        <v>411535.7818972416</v>
      </c>
      <c r="U33" s="20">
        <f>'GS &gt; 50 OLS model'!$B$11*I33</f>
        <v>0</v>
      </c>
      <c r="V33" s="20">
        <f>'GS &gt; 50 OLS model'!$B$12*J33</f>
        <v>1257541.23571065</v>
      </c>
      <c r="W33" s="20">
        <f>'GS &gt; 50 OLS model'!$B$13*K33</f>
        <v>0</v>
      </c>
      <c r="X33" s="20">
        <f>'GS &gt; 50 OLS model'!$B$14*L33</f>
        <v>0</v>
      </c>
      <c r="Y33" s="20">
        <f>'GS &gt; 50 OLS model'!$B$15*M33</f>
        <v>0</v>
      </c>
      <c r="Z33" s="20">
        <f t="shared" si="3"/>
        <v>16300397.502392096</v>
      </c>
      <c r="AA33" s="23">
        <f t="shared" ca="1" si="1"/>
        <v>1.0959512804983695E-2</v>
      </c>
    </row>
    <row r="34" spans="1:27" ht="14.4" x14ac:dyDescent="0.3">
      <c r="A34" s="22">
        <f>'Monthly Data'!A34</f>
        <v>40787</v>
      </c>
      <c r="B34" s="6">
        <f t="shared" si="2"/>
        <v>2011</v>
      </c>
      <c r="C34" s="20">
        <f ca="1">'Monthly Data'!N34</f>
        <v>15052993.327057259</v>
      </c>
      <c r="D34" s="20">
        <f>'Monthly Data'!P34</f>
        <v>226</v>
      </c>
      <c r="E34" s="6">
        <f>'Monthly Data'!AG34</f>
        <v>51.4</v>
      </c>
      <c r="F34" s="6">
        <f>'Monthly Data'!AH34</f>
        <v>60.199999999999989</v>
      </c>
      <c r="G34" s="6">
        <f>'Monthly Data'!AJ34</f>
        <v>148.1</v>
      </c>
      <c r="H34" s="6">
        <f>'Monthly Data'!AN34</f>
        <v>33</v>
      </c>
      <c r="I34" s="6">
        <f>'Monthly Data'!AW34</f>
        <v>1</v>
      </c>
      <c r="J34" s="6">
        <f>'Monthly Data'!AV34</f>
        <v>0</v>
      </c>
      <c r="K34" s="6">
        <f>'Monthly Data'!AW34</f>
        <v>1</v>
      </c>
      <c r="L34" s="6">
        <f>'Monthly Data'!AX34</f>
        <v>0</v>
      </c>
      <c r="M34" s="6">
        <f>'Monthly Data'!AY34</f>
        <v>0</v>
      </c>
      <c r="O34" s="20">
        <f>'GS &gt; 50 OLS model'!$B$5</f>
        <v>-11694573.8944258</v>
      </c>
      <c r="P34" s="20">
        <f>'GS &gt; 50 OLS model'!$B$6*D34</f>
        <v>11453563.535671921</v>
      </c>
      <c r="Q34" s="20">
        <f>'GS &gt; 50 OLS model'!$B$7*E34</f>
        <v>137827.84292504843</v>
      </c>
      <c r="R34" s="20">
        <f>'GS &gt; 50 OLS model'!$B$8*F34</f>
        <v>889889.52091039624</v>
      </c>
      <c r="S34" s="20">
        <f>'GS &gt; 50 OLS model'!$B$9*G34</f>
        <v>12413596.185732851</v>
      </c>
      <c r="T34" s="20">
        <f>'GS &gt; 50 OLS model'!$B$10*H34</f>
        <v>424396.27508153039</v>
      </c>
      <c r="U34" s="20">
        <f>'GS &gt; 50 OLS model'!$B$11*I34</f>
        <v>-797686.81375559501</v>
      </c>
      <c r="V34" s="20">
        <f>'GS &gt; 50 OLS model'!$B$12*J34</f>
        <v>0</v>
      </c>
      <c r="W34" s="20">
        <f>'GS &gt; 50 OLS model'!$B$13*K34</f>
        <v>1979532.62008895</v>
      </c>
      <c r="X34" s="20">
        <f>'GS &gt; 50 OLS model'!$B$14*L34</f>
        <v>0</v>
      </c>
      <c r="Y34" s="20">
        <f>'GS &gt; 50 OLS model'!$B$15*M34</f>
        <v>0</v>
      </c>
      <c r="Z34" s="20">
        <f t="shared" si="3"/>
        <v>14806545.272229303</v>
      </c>
      <c r="AA34" s="23">
        <f t="shared" ref="AA34:AA65" ca="1" si="4">ABS(Z34-C34)/C34</f>
        <v>1.6372029766662702E-2</v>
      </c>
    </row>
    <row r="35" spans="1:27" ht="14.4" x14ac:dyDescent="0.3">
      <c r="A35" s="22">
        <f>'Monthly Data'!A35</f>
        <v>40817</v>
      </c>
      <c r="B35" s="6">
        <f t="shared" si="2"/>
        <v>2011</v>
      </c>
      <c r="C35" s="20">
        <f ca="1">'Monthly Data'!N35</f>
        <v>14491842.224375563</v>
      </c>
      <c r="D35" s="20">
        <f>'Monthly Data'!P35</f>
        <v>222</v>
      </c>
      <c r="E35" s="6">
        <f>'Monthly Data'!AG35</f>
        <v>185.29999999999998</v>
      </c>
      <c r="F35" s="6">
        <f>'Monthly Data'!AH35</f>
        <v>2.6999999999999997</v>
      </c>
      <c r="G35" s="6">
        <f>'Monthly Data'!AJ35</f>
        <v>149.1</v>
      </c>
      <c r="H35" s="6">
        <f>'Monthly Data'!AN35</f>
        <v>34</v>
      </c>
      <c r="I35" s="6">
        <f>'Monthly Data'!AW35</f>
        <v>0</v>
      </c>
      <c r="J35" s="6">
        <f>'Monthly Data'!AV35</f>
        <v>0</v>
      </c>
      <c r="K35" s="6">
        <f>'Monthly Data'!AW35</f>
        <v>0</v>
      </c>
      <c r="L35" s="6">
        <f>'Monthly Data'!AX35</f>
        <v>1</v>
      </c>
      <c r="M35" s="6">
        <f>'Monthly Data'!AY35</f>
        <v>0</v>
      </c>
      <c r="O35" s="20">
        <f>'GS &gt; 50 OLS model'!$B$5</f>
        <v>-11694573.8944258</v>
      </c>
      <c r="P35" s="20">
        <f>'GS &gt; 50 OLS model'!$B$6*D35</f>
        <v>11250845.596987464</v>
      </c>
      <c r="Q35" s="20">
        <f>'GS &gt; 50 OLS model'!$B$7*E35</f>
        <v>496877.41817142942</v>
      </c>
      <c r="R35" s="20">
        <f>'GS &gt; 50 OLS model'!$B$8*F35</f>
        <v>39911.988479369931</v>
      </c>
      <c r="S35" s="20">
        <f>'GS &gt; 50 OLS model'!$B$9*G35</f>
        <v>12497415.201166563</v>
      </c>
      <c r="T35" s="20">
        <f>'GS &gt; 50 OLS model'!$B$10*H35</f>
        <v>437256.76826581918</v>
      </c>
      <c r="U35" s="20">
        <f>'GS &gt; 50 OLS model'!$B$11*I35</f>
        <v>0</v>
      </c>
      <c r="V35" s="20">
        <f>'GS &gt; 50 OLS model'!$B$12*J35</f>
        <v>0</v>
      </c>
      <c r="W35" s="20">
        <f>'GS &gt; 50 OLS model'!$B$13*K35</f>
        <v>0</v>
      </c>
      <c r="X35" s="20">
        <f>'GS &gt; 50 OLS model'!$B$14*L35</f>
        <v>1466841.9423256</v>
      </c>
      <c r="Y35" s="20">
        <f>'GS &gt; 50 OLS model'!$B$15*M35</f>
        <v>0</v>
      </c>
      <c r="Z35" s="20">
        <f t="shared" si="3"/>
        <v>14494575.020970445</v>
      </c>
      <c r="AA35" s="23">
        <f t="shared" ca="1" si="4"/>
        <v>1.8857482386095583E-4</v>
      </c>
    </row>
    <row r="36" spans="1:27" ht="14.4" x14ac:dyDescent="0.3">
      <c r="A36" s="22">
        <f>'Monthly Data'!A36</f>
        <v>40848</v>
      </c>
      <c r="B36" s="6">
        <f t="shared" si="2"/>
        <v>2011</v>
      </c>
      <c r="C36" s="20">
        <f ca="1">'Monthly Data'!N36</f>
        <v>14078651.005573262</v>
      </c>
      <c r="D36" s="20">
        <f>'Monthly Data'!P36</f>
        <v>217</v>
      </c>
      <c r="E36" s="6">
        <f>'Monthly Data'!AG36</f>
        <v>297.2999999999999</v>
      </c>
      <c r="F36" s="6">
        <f>'Monthly Data'!AH36</f>
        <v>0</v>
      </c>
      <c r="G36" s="6">
        <f>'Monthly Data'!AJ36</f>
        <v>150.80000000000001</v>
      </c>
      <c r="H36" s="6">
        <f>'Monthly Data'!AN36</f>
        <v>35</v>
      </c>
      <c r="I36" s="6">
        <f>'Monthly Data'!AW36</f>
        <v>0</v>
      </c>
      <c r="J36" s="6">
        <f>'Monthly Data'!AV36</f>
        <v>0</v>
      </c>
      <c r="K36" s="6">
        <f>'Monthly Data'!AW36</f>
        <v>0</v>
      </c>
      <c r="L36" s="6">
        <f>'Monthly Data'!AX36</f>
        <v>0</v>
      </c>
      <c r="M36" s="6">
        <f>'Monthly Data'!AY36</f>
        <v>1</v>
      </c>
      <c r="O36" s="20">
        <f>'GS &gt; 50 OLS model'!$B$5</f>
        <v>-11694573.8944258</v>
      </c>
      <c r="P36" s="20">
        <f>'GS &gt; 50 OLS model'!$B$6*D36</f>
        <v>10997448.17363189</v>
      </c>
      <c r="Q36" s="20">
        <f>'GS &gt; 50 OLS model'!$B$7*E36</f>
        <v>797202.67901978374</v>
      </c>
      <c r="R36" s="20">
        <f>'GS &gt; 50 OLS model'!$B$8*F36</f>
        <v>0</v>
      </c>
      <c r="S36" s="20">
        <f>'GS &gt; 50 OLS model'!$B$9*G36</f>
        <v>12639907.527403876</v>
      </c>
      <c r="T36" s="20">
        <f>'GS &gt; 50 OLS model'!$B$10*H36</f>
        <v>450117.26145010802</v>
      </c>
      <c r="U36" s="20">
        <f>'GS &gt; 50 OLS model'!$B$11*I36</f>
        <v>0</v>
      </c>
      <c r="V36" s="20">
        <f>'GS &gt; 50 OLS model'!$B$12*J36</f>
        <v>0</v>
      </c>
      <c r="W36" s="20">
        <f>'GS &gt; 50 OLS model'!$B$13*K36</f>
        <v>0</v>
      </c>
      <c r="X36" s="20">
        <f>'GS &gt; 50 OLS model'!$B$14*L36</f>
        <v>0</v>
      </c>
      <c r="Y36" s="20">
        <f>'GS &gt; 50 OLS model'!$B$15*M36</f>
        <v>671693.73401239095</v>
      </c>
      <c r="Z36" s="20">
        <f t="shared" si="3"/>
        <v>13861795.48109225</v>
      </c>
      <c r="AA36" s="23">
        <f t="shared" ca="1" si="4"/>
        <v>1.5403146536920745E-2</v>
      </c>
    </row>
    <row r="37" spans="1:27" ht="14.4" x14ac:dyDescent="0.3">
      <c r="A37" s="22">
        <f>'Monthly Data'!A37</f>
        <v>40878</v>
      </c>
      <c r="B37" s="6">
        <f t="shared" si="2"/>
        <v>2011</v>
      </c>
      <c r="C37" s="20">
        <f ca="1">'Monthly Data'!N37</f>
        <v>12838425.441282462</v>
      </c>
      <c r="D37" s="20">
        <f>'Monthly Data'!P37</f>
        <v>220</v>
      </c>
      <c r="E37" s="6">
        <f>'Monthly Data'!AG37</f>
        <v>485.4</v>
      </c>
      <c r="F37" s="6">
        <f>'Monthly Data'!AH37</f>
        <v>0</v>
      </c>
      <c r="G37" s="6">
        <f>'Monthly Data'!AJ37</f>
        <v>152.1</v>
      </c>
      <c r="H37" s="6">
        <f>'Monthly Data'!AN37</f>
        <v>36</v>
      </c>
      <c r="I37" s="6">
        <f>'Monthly Data'!AW37</f>
        <v>0</v>
      </c>
      <c r="J37" s="6">
        <f>'Monthly Data'!AV37</f>
        <v>0</v>
      </c>
      <c r="K37" s="6">
        <f>'Monthly Data'!AW37</f>
        <v>0</v>
      </c>
      <c r="L37" s="6">
        <f>'Monthly Data'!AX37</f>
        <v>0</v>
      </c>
      <c r="M37" s="6">
        <f>'Monthly Data'!AY37</f>
        <v>0</v>
      </c>
      <c r="O37" s="20">
        <f>'GS &gt; 50 OLS model'!$B$5</f>
        <v>-11694573.8944258</v>
      </c>
      <c r="P37" s="20">
        <f>'GS &gt; 50 OLS model'!$B$6*D37</f>
        <v>11149486.627645234</v>
      </c>
      <c r="Q37" s="20">
        <f>'GS &gt; 50 OLS model'!$B$7*E37</f>
        <v>1301588.2287124223</v>
      </c>
      <c r="R37" s="20">
        <f>'GS &gt; 50 OLS model'!$B$8*F37</f>
        <v>0</v>
      </c>
      <c r="S37" s="20">
        <f>'GS &gt; 50 OLS model'!$B$9*G37</f>
        <v>12748872.247467702</v>
      </c>
      <c r="T37" s="20">
        <f>'GS &gt; 50 OLS model'!$B$10*H37</f>
        <v>462977.75463439681</v>
      </c>
      <c r="U37" s="20">
        <f>'GS &gt; 50 OLS model'!$B$11*I37</f>
        <v>0</v>
      </c>
      <c r="V37" s="20">
        <f>'GS &gt; 50 OLS model'!$B$12*J37</f>
        <v>0</v>
      </c>
      <c r="W37" s="20">
        <f>'GS &gt; 50 OLS model'!$B$13*K37</f>
        <v>0</v>
      </c>
      <c r="X37" s="20">
        <f>'GS &gt; 50 OLS model'!$B$14*L37</f>
        <v>0</v>
      </c>
      <c r="Y37" s="20">
        <f>'GS &gt; 50 OLS model'!$B$15*M37</f>
        <v>0</v>
      </c>
      <c r="Z37" s="20">
        <f t="shared" si="3"/>
        <v>13968350.964033956</v>
      </c>
      <c r="AA37" s="23">
        <f t="shared" ca="1" si="4"/>
        <v>8.8011222865241198E-2</v>
      </c>
    </row>
    <row r="38" spans="1:27" ht="14.4" x14ac:dyDescent="0.3">
      <c r="A38" s="22">
        <f>'Monthly Data'!A38</f>
        <v>40909</v>
      </c>
      <c r="B38" s="6">
        <f t="shared" si="2"/>
        <v>2012</v>
      </c>
      <c r="C38" s="20">
        <f ca="1">'Monthly Data'!N38</f>
        <v>13787865.393137159</v>
      </c>
      <c r="D38" s="20">
        <f>'Monthly Data'!P38</f>
        <v>218</v>
      </c>
      <c r="E38" s="6">
        <f>'Monthly Data'!AG38</f>
        <v>559.59999999999991</v>
      </c>
      <c r="F38" s="6">
        <f>'Monthly Data'!AH38</f>
        <v>0</v>
      </c>
      <c r="G38" s="6">
        <f>'Monthly Data'!AJ38</f>
        <v>149.5</v>
      </c>
      <c r="H38" s="6">
        <f>'Monthly Data'!AN38</f>
        <v>37</v>
      </c>
      <c r="I38" s="6">
        <f>'Monthly Data'!AW38</f>
        <v>0</v>
      </c>
      <c r="J38" s="6">
        <f>'Monthly Data'!AV38</f>
        <v>0</v>
      </c>
      <c r="K38" s="6">
        <f>'Monthly Data'!AW38</f>
        <v>0</v>
      </c>
      <c r="L38" s="6">
        <f>'Monthly Data'!AX38</f>
        <v>0</v>
      </c>
      <c r="M38" s="6">
        <f>'Monthly Data'!AY38</f>
        <v>0</v>
      </c>
      <c r="O38" s="20">
        <f>'GS &gt; 50 OLS model'!$B$5</f>
        <v>-11694573.8944258</v>
      </c>
      <c r="P38" s="20">
        <f>'GS &gt; 50 OLS model'!$B$6*D38</f>
        <v>11048127.658303004</v>
      </c>
      <c r="Q38" s="20">
        <f>'GS &gt; 50 OLS model'!$B$7*E38</f>
        <v>1500553.7140244571</v>
      </c>
      <c r="R38" s="20">
        <f>'GS &gt; 50 OLS model'!$B$8*F38</f>
        <v>0</v>
      </c>
      <c r="S38" s="20">
        <f>'GS &gt; 50 OLS model'!$B$9*G38</f>
        <v>12530942.807340048</v>
      </c>
      <c r="T38" s="20">
        <f>'GS &gt; 50 OLS model'!$B$10*H38</f>
        <v>475838.2478186856</v>
      </c>
      <c r="U38" s="20">
        <f>'GS &gt; 50 OLS model'!$B$11*I38</f>
        <v>0</v>
      </c>
      <c r="V38" s="20">
        <f>'GS &gt; 50 OLS model'!$B$12*J38</f>
        <v>0</v>
      </c>
      <c r="W38" s="20">
        <f>'GS &gt; 50 OLS model'!$B$13*K38</f>
        <v>0</v>
      </c>
      <c r="X38" s="20">
        <f>'GS &gt; 50 OLS model'!$B$14*L38</f>
        <v>0</v>
      </c>
      <c r="Y38" s="20">
        <f>'GS &gt; 50 OLS model'!$B$15*M38</f>
        <v>0</v>
      </c>
      <c r="Z38" s="20">
        <f t="shared" si="3"/>
        <v>13860888.533060394</v>
      </c>
      <c r="AA38" s="23">
        <f t="shared" ca="1" si="4"/>
        <v>5.2961889198296285E-3</v>
      </c>
    </row>
    <row r="39" spans="1:27" ht="14.4" x14ac:dyDescent="0.3">
      <c r="A39" s="22">
        <f>'Monthly Data'!A39</f>
        <v>40940</v>
      </c>
      <c r="B39" s="6">
        <f t="shared" si="2"/>
        <v>2012</v>
      </c>
      <c r="C39" s="20">
        <f ca="1">'Monthly Data'!N39</f>
        <v>12675359.092876958</v>
      </c>
      <c r="D39" s="20">
        <f>'Monthly Data'!P39</f>
        <v>219</v>
      </c>
      <c r="E39" s="6">
        <f>'Monthly Data'!AG39</f>
        <v>492.40000000000003</v>
      </c>
      <c r="F39" s="6">
        <f>'Monthly Data'!AH39</f>
        <v>0</v>
      </c>
      <c r="G39" s="6">
        <f>'Monthly Data'!AJ39</f>
        <v>148.4</v>
      </c>
      <c r="H39" s="6">
        <f>'Monthly Data'!AN39</f>
        <v>38</v>
      </c>
      <c r="I39" s="6">
        <f>'Monthly Data'!AW39</f>
        <v>0</v>
      </c>
      <c r="J39" s="6">
        <f>'Monthly Data'!AV39</f>
        <v>0</v>
      </c>
      <c r="K39" s="6">
        <f>'Monthly Data'!AW39</f>
        <v>0</v>
      </c>
      <c r="L39" s="6">
        <f>'Monthly Data'!AX39</f>
        <v>0</v>
      </c>
      <c r="M39" s="6">
        <f>'Monthly Data'!AY39</f>
        <v>0</v>
      </c>
      <c r="O39" s="20">
        <f>'GS &gt; 50 OLS model'!$B$5</f>
        <v>-11694573.8944258</v>
      </c>
      <c r="P39" s="20">
        <f>'GS &gt; 50 OLS model'!$B$6*D39</f>
        <v>11098807.142974118</v>
      </c>
      <c r="Q39" s="20">
        <f>'GS &gt; 50 OLS model'!$B$7*E39</f>
        <v>1320358.5575154447</v>
      </c>
      <c r="R39" s="20">
        <f>'GS &gt; 50 OLS model'!$B$8*F39</f>
        <v>0</v>
      </c>
      <c r="S39" s="20">
        <f>'GS &gt; 50 OLS model'!$B$9*G39</f>
        <v>12438741.890362965</v>
      </c>
      <c r="T39" s="20">
        <f>'GS &gt; 50 OLS model'!$B$10*H39</f>
        <v>488698.74100297439</v>
      </c>
      <c r="U39" s="20">
        <f>'GS &gt; 50 OLS model'!$B$11*I39</f>
        <v>0</v>
      </c>
      <c r="V39" s="20">
        <f>'GS &gt; 50 OLS model'!$B$12*J39</f>
        <v>0</v>
      </c>
      <c r="W39" s="20">
        <f>'GS &gt; 50 OLS model'!$B$13*K39</f>
        <v>0</v>
      </c>
      <c r="X39" s="20">
        <f>'GS &gt; 50 OLS model'!$B$14*L39</f>
        <v>0</v>
      </c>
      <c r="Y39" s="20">
        <f>'GS &gt; 50 OLS model'!$B$15*M39</f>
        <v>0</v>
      </c>
      <c r="Z39" s="20">
        <f t="shared" si="3"/>
        <v>13652032.437429702</v>
      </c>
      <c r="AA39" s="23">
        <f t="shared" ca="1" si="4"/>
        <v>7.7052913246583712E-2</v>
      </c>
    </row>
    <row r="40" spans="1:27" ht="14.4" x14ac:dyDescent="0.3">
      <c r="A40" s="22">
        <f>'Monthly Data'!A40</f>
        <v>40969</v>
      </c>
      <c r="B40" s="6">
        <f t="shared" si="2"/>
        <v>2012</v>
      </c>
      <c r="C40" s="20">
        <f ca="1">'Monthly Data'!N40</f>
        <v>12781827.774171758</v>
      </c>
      <c r="D40" s="20">
        <f>'Monthly Data'!P40</f>
        <v>208</v>
      </c>
      <c r="E40" s="6">
        <f>'Monthly Data'!AG40</f>
        <v>250.79999999999995</v>
      </c>
      <c r="F40" s="6">
        <f>'Monthly Data'!AH40</f>
        <v>4.8</v>
      </c>
      <c r="G40" s="6">
        <f>'Monthly Data'!AJ40</f>
        <v>148.5</v>
      </c>
      <c r="H40" s="6">
        <f>'Monthly Data'!AN40</f>
        <v>39</v>
      </c>
      <c r="I40" s="6">
        <f>'Monthly Data'!AW40</f>
        <v>0</v>
      </c>
      <c r="J40" s="6">
        <f>'Monthly Data'!AV40</f>
        <v>0</v>
      </c>
      <c r="K40" s="6">
        <f>'Monthly Data'!AW40</f>
        <v>0</v>
      </c>
      <c r="L40" s="6">
        <f>'Monthly Data'!AX40</f>
        <v>0</v>
      </c>
      <c r="M40" s="6">
        <f>'Monthly Data'!AY40</f>
        <v>0</v>
      </c>
      <c r="O40" s="20">
        <f>'GS &gt; 50 OLS model'!$B$5</f>
        <v>-11694573.8944258</v>
      </c>
      <c r="P40" s="20">
        <f>'GS &gt; 50 OLS model'!$B$6*D40</f>
        <v>10541332.811591856</v>
      </c>
      <c r="Q40" s="20">
        <f>'GS &gt; 50 OLS model'!$B$7*E40</f>
        <v>672514.06625685096</v>
      </c>
      <c r="R40" s="20">
        <f>'GS &gt; 50 OLS model'!$B$8*F40</f>
        <v>70954.64618554656</v>
      </c>
      <c r="S40" s="20">
        <f>'GS &gt; 50 OLS model'!$B$9*G40</f>
        <v>12447123.791906336</v>
      </c>
      <c r="T40" s="20">
        <f>'GS &gt; 50 OLS model'!$B$10*H40</f>
        <v>501559.23418726318</v>
      </c>
      <c r="U40" s="20">
        <f>'GS &gt; 50 OLS model'!$B$11*I40</f>
        <v>0</v>
      </c>
      <c r="V40" s="20">
        <f>'GS &gt; 50 OLS model'!$B$12*J40</f>
        <v>0</v>
      </c>
      <c r="W40" s="20">
        <f>'GS &gt; 50 OLS model'!$B$13*K40</f>
        <v>0</v>
      </c>
      <c r="X40" s="20">
        <f>'GS &gt; 50 OLS model'!$B$14*L40</f>
        <v>0</v>
      </c>
      <c r="Y40" s="20">
        <f>'GS &gt; 50 OLS model'!$B$15*M40</f>
        <v>0</v>
      </c>
      <c r="Z40" s="20">
        <f t="shared" si="3"/>
        <v>12538910.655702055</v>
      </c>
      <c r="AA40" s="23">
        <f t="shared" ca="1" si="4"/>
        <v>1.9004881208035569E-2</v>
      </c>
    </row>
    <row r="41" spans="1:27" ht="14.4" x14ac:dyDescent="0.3">
      <c r="A41" s="22">
        <f>'Monthly Data'!A41</f>
        <v>41000</v>
      </c>
      <c r="B41" s="6">
        <f t="shared" si="2"/>
        <v>2012</v>
      </c>
      <c r="C41" s="20">
        <f ca="1">'Monthly Data'!N41</f>
        <v>11400354.174002958</v>
      </c>
      <c r="D41" s="20">
        <f>'Monthly Data'!P41</f>
        <v>206</v>
      </c>
      <c r="E41" s="6">
        <f>'Monthly Data'!AG41</f>
        <v>252.49999999999991</v>
      </c>
      <c r="F41" s="6">
        <f>'Monthly Data'!AH41</f>
        <v>4.3</v>
      </c>
      <c r="G41" s="6">
        <f>'Monthly Data'!AJ41</f>
        <v>150.6</v>
      </c>
      <c r="H41" s="6">
        <f>'Monthly Data'!AN41</f>
        <v>40</v>
      </c>
      <c r="I41" s="6">
        <f>'Monthly Data'!AW41</f>
        <v>0</v>
      </c>
      <c r="J41" s="6">
        <f>'Monthly Data'!AV41</f>
        <v>0</v>
      </c>
      <c r="K41" s="6">
        <f>'Monthly Data'!AW41</f>
        <v>0</v>
      </c>
      <c r="L41" s="6">
        <f>'Monthly Data'!AX41</f>
        <v>0</v>
      </c>
      <c r="M41" s="6">
        <f>'Monthly Data'!AY41</f>
        <v>0</v>
      </c>
      <c r="O41" s="20">
        <f>'GS &gt; 50 OLS model'!$B$5</f>
        <v>-11694573.8944258</v>
      </c>
      <c r="P41" s="20">
        <f>'GS &gt; 50 OLS model'!$B$6*D41</f>
        <v>10439973.842249628</v>
      </c>
      <c r="Q41" s="20">
        <f>'GS &gt; 50 OLS model'!$B$7*E41</f>
        <v>677072.57468044199</v>
      </c>
      <c r="R41" s="20">
        <f>'GS &gt; 50 OLS model'!$B$8*F41</f>
        <v>63563.537207885456</v>
      </c>
      <c r="S41" s="20">
        <f>'GS &gt; 50 OLS model'!$B$9*G41</f>
        <v>12623143.724317133</v>
      </c>
      <c r="T41" s="20">
        <f>'GS &gt; 50 OLS model'!$B$10*H41</f>
        <v>514419.72737155203</v>
      </c>
      <c r="U41" s="20">
        <f>'GS &gt; 50 OLS model'!$B$11*I41</f>
        <v>0</v>
      </c>
      <c r="V41" s="20">
        <f>'GS &gt; 50 OLS model'!$B$12*J41</f>
        <v>0</v>
      </c>
      <c r="W41" s="20">
        <f>'GS &gt; 50 OLS model'!$B$13*K41</f>
        <v>0</v>
      </c>
      <c r="X41" s="20">
        <f>'GS &gt; 50 OLS model'!$B$14*L41</f>
        <v>0</v>
      </c>
      <c r="Y41" s="20">
        <f>'GS &gt; 50 OLS model'!$B$15*M41</f>
        <v>0</v>
      </c>
      <c r="Z41" s="20">
        <f t="shared" si="3"/>
        <v>12623599.511400841</v>
      </c>
      <c r="AA41" s="23">
        <f t="shared" ca="1" si="4"/>
        <v>0.10729888902814409</v>
      </c>
    </row>
    <row r="42" spans="1:27" ht="14.4" x14ac:dyDescent="0.3">
      <c r="A42" s="22">
        <f>'Monthly Data'!A42</f>
        <v>41030</v>
      </c>
      <c r="B42" s="6">
        <f t="shared" si="2"/>
        <v>2012</v>
      </c>
      <c r="C42" s="20">
        <f ca="1">'Monthly Data'!N42</f>
        <v>12880130.856031761</v>
      </c>
      <c r="D42" s="20">
        <f>'Monthly Data'!P42</f>
        <v>208</v>
      </c>
      <c r="E42" s="6">
        <f>'Monthly Data'!AG42</f>
        <v>48.2</v>
      </c>
      <c r="F42" s="6">
        <f>'Monthly Data'!AH42</f>
        <v>59.3</v>
      </c>
      <c r="G42" s="6">
        <f>'Monthly Data'!AJ42</f>
        <v>151.1</v>
      </c>
      <c r="H42" s="6">
        <f>'Monthly Data'!AN42</f>
        <v>41</v>
      </c>
      <c r="I42" s="6">
        <f>'Monthly Data'!AW42</f>
        <v>0</v>
      </c>
      <c r="J42" s="6">
        <f>'Monthly Data'!AV42</f>
        <v>0</v>
      </c>
      <c r="K42" s="6">
        <f>'Monthly Data'!AW42</f>
        <v>0</v>
      </c>
      <c r="L42" s="6">
        <f>'Monthly Data'!AX42</f>
        <v>0</v>
      </c>
      <c r="M42" s="6">
        <f>'Monthly Data'!AY42</f>
        <v>0</v>
      </c>
      <c r="O42" s="20">
        <f>'GS &gt; 50 OLS model'!$B$5</f>
        <v>-11694573.8944258</v>
      </c>
      <c r="P42" s="20">
        <f>'GS &gt; 50 OLS model'!$B$6*D42</f>
        <v>10541332.811591856</v>
      </c>
      <c r="Q42" s="20">
        <f>'GS &gt; 50 OLS model'!$B$7*E42</f>
        <v>129247.12118652403</v>
      </c>
      <c r="R42" s="20">
        <f>'GS &gt; 50 OLS model'!$B$8*F42</f>
        <v>876585.52475060639</v>
      </c>
      <c r="S42" s="20">
        <f>'GS &gt; 50 OLS model'!$B$9*G42</f>
        <v>12665053.232033988</v>
      </c>
      <c r="T42" s="20">
        <f>'GS &gt; 50 OLS model'!$B$10*H42</f>
        <v>527280.22055584076</v>
      </c>
      <c r="U42" s="20">
        <f>'GS &gt; 50 OLS model'!$B$11*I42</f>
        <v>0</v>
      </c>
      <c r="V42" s="20">
        <f>'GS &gt; 50 OLS model'!$B$12*J42</f>
        <v>0</v>
      </c>
      <c r="W42" s="20">
        <f>'GS &gt; 50 OLS model'!$B$13*K42</f>
        <v>0</v>
      </c>
      <c r="X42" s="20">
        <f>'GS &gt; 50 OLS model'!$B$14*L42</f>
        <v>0</v>
      </c>
      <c r="Y42" s="20">
        <f>'GS &gt; 50 OLS model'!$B$15*M42</f>
        <v>0</v>
      </c>
      <c r="Z42" s="20">
        <f t="shared" si="3"/>
        <v>13044925.015693014</v>
      </c>
      <c r="AA42" s="23">
        <f t="shared" ca="1" si="4"/>
        <v>1.2794447626600073E-2</v>
      </c>
    </row>
    <row r="43" spans="1:27" ht="14.4" x14ac:dyDescent="0.3">
      <c r="A43" s="22">
        <f>'Monthly Data'!A43</f>
        <v>41061</v>
      </c>
      <c r="B43" s="6">
        <f t="shared" si="2"/>
        <v>2012</v>
      </c>
      <c r="C43" s="20">
        <f ca="1">'Monthly Data'!N43</f>
        <v>14743265.379287858</v>
      </c>
      <c r="D43" s="20">
        <f>'Monthly Data'!P43</f>
        <v>206</v>
      </c>
      <c r="E43" s="6">
        <f>'Monthly Data'!AG43</f>
        <v>10.3</v>
      </c>
      <c r="F43" s="6">
        <f>'Monthly Data'!AH43</f>
        <v>147.09999999999997</v>
      </c>
      <c r="G43" s="6">
        <f>'Monthly Data'!AJ43</f>
        <v>152.19999999999999</v>
      </c>
      <c r="H43" s="6">
        <f>'Monthly Data'!AN43</f>
        <v>42</v>
      </c>
      <c r="I43" s="6">
        <f>'Monthly Data'!AW43</f>
        <v>0</v>
      </c>
      <c r="J43" s="6">
        <f>'Monthly Data'!AV43</f>
        <v>0</v>
      </c>
      <c r="K43" s="6">
        <f>'Monthly Data'!AW43</f>
        <v>0</v>
      </c>
      <c r="L43" s="6">
        <f>'Monthly Data'!AX43</f>
        <v>0</v>
      </c>
      <c r="M43" s="6">
        <f>'Monthly Data'!AY43</f>
        <v>0</v>
      </c>
      <c r="O43" s="20">
        <f>'GS &gt; 50 OLS model'!$B$5</f>
        <v>-11694573.8944258</v>
      </c>
      <c r="P43" s="20">
        <f>'GS &gt; 50 OLS model'!$B$6*D43</f>
        <v>10439973.842249628</v>
      </c>
      <c r="Q43" s="20">
        <f>'GS &gt; 50 OLS model'!$B$7*E43</f>
        <v>27619.198095875468</v>
      </c>
      <c r="R43" s="20">
        <f>'GS &gt; 50 OLS model'!$B$8*F43</f>
        <v>2174464.261227895</v>
      </c>
      <c r="S43" s="20">
        <f>'GS &gt; 50 OLS model'!$B$9*G43</f>
        <v>12757254.149011072</v>
      </c>
      <c r="T43" s="20">
        <f>'GS &gt; 50 OLS model'!$B$10*H43</f>
        <v>540140.71374012961</v>
      </c>
      <c r="U43" s="20">
        <f>'GS &gt; 50 OLS model'!$B$11*I43</f>
        <v>0</v>
      </c>
      <c r="V43" s="20">
        <f>'GS &gt; 50 OLS model'!$B$12*J43</f>
        <v>0</v>
      </c>
      <c r="W43" s="20">
        <f>'GS &gt; 50 OLS model'!$B$13*K43</f>
        <v>0</v>
      </c>
      <c r="X43" s="20">
        <f>'GS &gt; 50 OLS model'!$B$14*L43</f>
        <v>0</v>
      </c>
      <c r="Y43" s="20">
        <f>'GS &gt; 50 OLS model'!$B$15*M43</f>
        <v>0</v>
      </c>
      <c r="Z43" s="20">
        <f t="shared" si="3"/>
        <v>14244878.2698988</v>
      </c>
      <c r="AA43" s="23">
        <f t="shared" ca="1" si="4"/>
        <v>3.38043911282516E-2</v>
      </c>
    </row>
    <row r="44" spans="1:27" ht="14.4" x14ac:dyDescent="0.3">
      <c r="A44" s="22">
        <f>'Monthly Data'!A44</f>
        <v>41091</v>
      </c>
      <c r="B44" s="6">
        <f t="shared" si="2"/>
        <v>2012</v>
      </c>
      <c r="C44" s="20">
        <f ca="1">'Monthly Data'!N44</f>
        <v>14959296.897546859</v>
      </c>
      <c r="D44" s="20">
        <f>'Monthly Data'!P44</f>
        <v>208</v>
      </c>
      <c r="E44" s="6">
        <f>'Monthly Data'!AG44</f>
        <v>0</v>
      </c>
      <c r="F44" s="6">
        <f>'Monthly Data'!AH44</f>
        <v>235.50000000000009</v>
      </c>
      <c r="G44" s="6">
        <f>'Monthly Data'!AJ44</f>
        <v>153.4</v>
      </c>
      <c r="H44" s="6">
        <f>'Monthly Data'!AN44</f>
        <v>43</v>
      </c>
      <c r="I44" s="6">
        <f>'Monthly Data'!AW44</f>
        <v>0</v>
      </c>
      <c r="J44" s="6">
        <f>'Monthly Data'!AV44</f>
        <v>0</v>
      </c>
      <c r="K44" s="6">
        <f>'Monthly Data'!AW44</f>
        <v>0</v>
      </c>
      <c r="L44" s="6">
        <f>'Monthly Data'!AX44</f>
        <v>0</v>
      </c>
      <c r="M44" s="6">
        <f>'Monthly Data'!AY44</f>
        <v>0</v>
      </c>
      <c r="O44" s="20">
        <f>'GS &gt; 50 OLS model'!$B$5</f>
        <v>-11694573.8944258</v>
      </c>
      <c r="P44" s="20">
        <f>'GS &gt; 50 OLS model'!$B$6*D44</f>
        <v>10541332.811591856</v>
      </c>
      <c r="Q44" s="20">
        <f>'GS &gt; 50 OLS model'!$B$7*E44</f>
        <v>0</v>
      </c>
      <c r="R44" s="20">
        <f>'GS &gt; 50 OLS model'!$B$8*F44</f>
        <v>3481212.3284783792</v>
      </c>
      <c r="S44" s="20">
        <f>'GS &gt; 50 OLS model'!$B$9*G44</f>
        <v>12857836.967531528</v>
      </c>
      <c r="T44" s="20">
        <f>'GS &gt; 50 OLS model'!$B$10*H44</f>
        <v>553001.20692441845</v>
      </c>
      <c r="U44" s="20">
        <f>'GS &gt; 50 OLS model'!$B$11*I44</f>
        <v>0</v>
      </c>
      <c r="V44" s="20">
        <f>'GS &gt; 50 OLS model'!$B$12*J44</f>
        <v>0</v>
      </c>
      <c r="W44" s="20">
        <f>'GS &gt; 50 OLS model'!$B$13*K44</f>
        <v>0</v>
      </c>
      <c r="X44" s="20">
        <f>'GS &gt; 50 OLS model'!$B$14*L44</f>
        <v>0</v>
      </c>
      <c r="Y44" s="20">
        <f>'GS &gt; 50 OLS model'!$B$15*M44</f>
        <v>0</v>
      </c>
      <c r="Z44" s="20">
        <f t="shared" si="3"/>
        <v>15738809.420100382</v>
      </c>
      <c r="AA44" s="23">
        <f t="shared" ca="1" si="4"/>
        <v>5.2108901099579927E-2</v>
      </c>
    </row>
    <row r="45" spans="1:27" ht="14.4" x14ac:dyDescent="0.3">
      <c r="A45" s="22">
        <f>'Monthly Data'!A45</f>
        <v>41122</v>
      </c>
      <c r="B45" s="6">
        <f t="shared" si="2"/>
        <v>2012</v>
      </c>
      <c r="C45" s="20">
        <f ca="1">'Monthly Data'!N45</f>
        <v>15427464.10820546</v>
      </c>
      <c r="D45" s="20">
        <f>'Monthly Data'!P45</f>
        <v>207</v>
      </c>
      <c r="E45" s="6">
        <f>'Monthly Data'!AG45</f>
        <v>0.7</v>
      </c>
      <c r="F45" s="6">
        <f>'Monthly Data'!AH45</f>
        <v>143.69999999999999</v>
      </c>
      <c r="G45" s="6">
        <f>'Monthly Data'!AJ45</f>
        <v>155</v>
      </c>
      <c r="H45" s="6">
        <f>'Monthly Data'!AN45</f>
        <v>44</v>
      </c>
      <c r="I45" s="6">
        <f>'Monthly Data'!AW45</f>
        <v>0</v>
      </c>
      <c r="J45" s="6">
        <f>'Monthly Data'!AV45</f>
        <v>1</v>
      </c>
      <c r="K45" s="6">
        <f>'Monthly Data'!AW45</f>
        <v>0</v>
      </c>
      <c r="L45" s="6">
        <f>'Monthly Data'!AX45</f>
        <v>0</v>
      </c>
      <c r="M45" s="6">
        <f>'Monthly Data'!AY45</f>
        <v>0</v>
      </c>
      <c r="O45" s="20">
        <f>'GS &gt; 50 OLS model'!$B$5</f>
        <v>-11694573.8944258</v>
      </c>
      <c r="P45" s="20">
        <f>'GS &gt; 50 OLS model'!$B$6*D45</f>
        <v>10490653.326920742</v>
      </c>
      <c r="Q45" s="20">
        <f>'GS &gt; 50 OLS model'!$B$7*E45</f>
        <v>1877.032880302216</v>
      </c>
      <c r="R45" s="20">
        <f>'GS &gt; 50 OLS model'!$B$8*F45</f>
        <v>2124204.7201797999</v>
      </c>
      <c r="S45" s="20">
        <f>'GS &gt; 50 OLS model'!$B$9*G45</f>
        <v>12991947.392225469</v>
      </c>
      <c r="T45" s="20">
        <f>'GS &gt; 50 OLS model'!$B$10*H45</f>
        <v>565861.70010870718</v>
      </c>
      <c r="U45" s="20">
        <f>'GS &gt; 50 OLS model'!$B$11*I45</f>
        <v>0</v>
      </c>
      <c r="V45" s="20">
        <f>'GS &gt; 50 OLS model'!$B$12*J45</f>
        <v>1257541.23571065</v>
      </c>
      <c r="W45" s="20">
        <f>'GS &gt; 50 OLS model'!$B$13*K45</f>
        <v>0</v>
      </c>
      <c r="X45" s="20">
        <f>'GS &gt; 50 OLS model'!$B$14*L45</f>
        <v>0</v>
      </c>
      <c r="Y45" s="20">
        <f>'GS &gt; 50 OLS model'!$B$15*M45</f>
        <v>0</v>
      </c>
      <c r="Z45" s="20">
        <f t="shared" si="3"/>
        <v>15737511.513599871</v>
      </c>
      <c r="AA45" s="23">
        <f t="shared" ca="1" si="4"/>
        <v>2.0097107549224807E-2</v>
      </c>
    </row>
    <row r="46" spans="1:27" ht="14.4" x14ac:dyDescent="0.3">
      <c r="A46" s="22">
        <f>'Monthly Data'!A46</f>
        <v>41153</v>
      </c>
      <c r="B46" s="6">
        <f t="shared" si="2"/>
        <v>2012</v>
      </c>
      <c r="C46" s="20">
        <f ca="1">'Monthly Data'!N46</f>
        <v>13989318.161179857</v>
      </c>
      <c r="D46" s="20">
        <f>'Monthly Data'!P46</f>
        <v>205</v>
      </c>
      <c r="E46" s="6">
        <f>'Monthly Data'!AG46</f>
        <v>53.2</v>
      </c>
      <c r="F46" s="6">
        <f>'Monthly Data'!AH46</f>
        <v>50.29999999999999</v>
      </c>
      <c r="G46" s="6">
        <f>'Monthly Data'!AJ46</f>
        <v>156.9</v>
      </c>
      <c r="H46" s="6">
        <f>'Monthly Data'!AN46</f>
        <v>45</v>
      </c>
      <c r="I46" s="6">
        <f>'Monthly Data'!AW46</f>
        <v>1</v>
      </c>
      <c r="J46" s="6">
        <f>'Monthly Data'!AV46</f>
        <v>0</v>
      </c>
      <c r="K46" s="6">
        <f>'Monthly Data'!AW46</f>
        <v>1</v>
      </c>
      <c r="L46" s="6">
        <f>'Monthly Data'!AX46</f>
        <v>0</v>
      </c>
      <c r="M46" s="6">
        <f>'Monthly Data'!AY46</f>
        <v>0</v>
      </c>
      <c r="O46" s="20">
        <f>'GS &gt; 50 OLS model'!$B$5</f>
        <v>-11694573.8944258</v>
      </c>
      <c r="P46" s="20">
        <f>'GS &gt; 50 OLS model'!$B$6*D46</f>
        <v>10389294.357578512</v>
      </c>
      <c r="Q46" s="20">
        <f>'GS &gt; 50 OLS model'!$B$7*E46</f>
        <v>142654.49890296842</v>
      </c>
      <c r="R46" s="20">
        <f>'GS &gt; 50 OLS model'!$B$8*F46</f>
        <v>743545.56315270648</v>
      </c>
      <c r="S46" s="20">
        <f>'GS &gt; 50 OLS model'!$B$9*G46</f>
        <v>13151203.521549523</v>
      </c>
      <c r="T46" s="20">
        <f>'GS &gt; 50 OLS model'!$B$10*H46</f>
        <v>578722.19329299603</v>
      </c>
      <c r="U46" s="20">
        <f>'GS &gt; 50 OLS model'!$B$11*I46</f>
        <v>-797686.81375559501</v>
      </c>
      <c r="V46" s="20">
        <f>'GS &gt; 50 OLS model'!$B$12*J46</f>
        <v>0</v>
      </c>
      <c r="W46" s="20">
        <f>'GS &gt; 50 OLS model'!$B$13*K46</f>
        <v>1979532.62008895</v>
      </c>
      <c r="X46" s="20">
        <f>'GS &gt; 50 OLS model'!$B$14*L46</f>
        <v>0</v>
      </c>
      <c r="Y46" s="20">
        <f>'GS &gt; 50 OLS model'!$B$15*M46</f>
        <v>0</v>
      </c>
      <c r="Z46" s="20">
        <f t="shared" si="3"/>
        <v>14492692.046384262</v>
      </c>
      <c r="AA46" s="23">
        <f t="shared" ca="1" si="4"/>
        <v>3.5982731924795258E-2</v>
      </c>
    </row>
    <row r="47" spans="1:27" ht="14.4" x14ac:dyDescent="0.3">
      <c r="A47" s="22">
        <f>'Monthly Data'!A47</f>
        <v>41183</v>
      </c>
      <c r="B47" s="6">
        <f t="shared" si="2"/>
        <v>2012</v>
      </c>
      <c r="C47" s="20">
        <f ca="1">'Monthly Data'!N47</f>
        <v>14174576.273356561</v>
      </c>
      <c r="D47" s="20">
        <f>'Monthly Data'!P47</f>
        <v>204</v>
      </c>
      <c r="E47" s="6">
        <f>'Monthly Data'!AG47</f>
        <v>207.19999999999996</v>
      </c>
      <c r="F47" s="6">
        <f>'Monthly Data'!AH47</f>
        <v>5.6</v>
      </c>
      <c r="G47" s="6">
        <f>'Monthly Data'!AJ47</f>
        <v>157.5</v>
      </c>
      <c r="H47" s="6">
        <f>'Monthly Data'!AN47</f>
        <v>46</v>
      </c>
      <c r="I47" s="6">
        <f>'Monthly Data'!AW47</f>
        <v>0</v>
      </c>
      <c r="J47" s="6">
        <f>'Monthly Data'!AV47</f>
        <v>0</v>
      </c>
      <c r="K47" s="6">
        <f>'Monthly Data'!AW47</f>
        <v>0</v>
      </c>
      <c r="L47" s="6">
        <f>'Monthly Data'!AX47</f>
        <v>1</v>
      </c>
      <c r="M47" s="6">
        <f>'Monthly Data'!AY47</f>
        <v>0</v>
      </c>
      <c r="O47" s="20">
        <f>'GS &gt; 50 OLS model'!$B$5</f>
        <v>-11694573.8944258</v>
      </c>
      <c r="P47" s="20">
        <f>'GS &gt; 50 OLS model'!$B$6*D47</f>
        <v>10338614.872907398</v>
      </c>
      <c r="Q47" s="20">
        <f>'GS &gt; 50 OLS model'!$B$7*E47</f>
        <v>555601.73256945587</v>
      </c>
      <c r="R47" s="20">
        <f>'GS &gt; 50 OLS model'!$B$8*F47</f>
        <v>82780.420549804316</v>
      </c>
      <c r="S47" s="20">
        <f>'GS &gt; 50 OLS model'!$B$9*G47</f>
        <v>13201494.930809751</v>
      </c>
      <c r="T47" s="20">
        <f>'GS &gt; 50 OLS model'!$B$10*H47</f>
        <v>591582.68647728476</v>
      </c>
      <c r="U47" s="20">
        <f>'GS &gt; 50 OLS model'!$B$11*I47</f>
        <v>0</v>
      </c>
      <c r="V47" s="20">
        <f>'GS &gt; 50 OLS model'!$B$12*J47</f>
        <v>0</v>
      </c>
      <c r="W47" s="20">
        <f>'GS &gt; 50 OLS model'!$B$13*K47</f>
        <v>0</v>
      </c>
      <c r="X47" s="20">
        <f>'GS &gt; 50 OLS model'!$B$14*L47</f>
        <v>1466841.9423256</v>
      </c>
      <c r="Y47" s="20">
        <f>'GS &gt; 50 OLS model'!$B$15*M47</f>
        <v>0</v>
      </c>
      <c r="Z47" s="20">
        <f t="shared" si="3"/>
        <v>14542342.691213494</v>
      </c>
      <c r="AA47" s="23">
        <f t="shared" ca="1" si="4"/>
        <v>2.5945496413054041E-2</v>
      </c>
    </row>
    <row r="48" spans="1:27" ht="14.4" x14ac:dyDescent="0.3">
      <c r="A48" s="22">
        <f>'Monthly Data'!A48</f>
        <v>41214</v>
      </c>
      <c r="B48" s="6">
        <f t="shared" si="2"/>
        <v>2012</v>
      </c>
      <c r="C48" s="20">
        <f ca="1">'Monthly Data'!N48</f>
        <v>14174334.11660606</v>
      </c>
      <c r="D48" s="20">
        <f>'Monthly Data'!P48</f>
        <v>206</v>
      </c>
      <c r="E48" s="6">
        <f>'Monthly Data'!AG48</f>
        <v>405.49999999999994</v>
      </c>
      <c r="F48" s="6">
        <f>'Monthly Data'!AH48</f>
        <v>0</v>
      </c>
      <c r="G48" s="6">
        <f>'Monthly Data'!AJ48</f>
        <v>157.6</v>
      </c>
      <c r="H48" s="6">
        <f>'Monthly Data'!AN48</f>
        <v>47</v>
      </c>
      <c r="I48" s="6">
        <f>'Monthly Data'!AW48</f>
        <v>0</v>
      </c>
      <c r="J48" s="6">
        <f>'Monthly Data'!AV48</f>
        <v>0</v>
      </c>
      <c r="K48" s="6">
        <f>'Monthly Data'!AW48</f>
        <v>0</v>
      </c>
      <c r="L48" s="6">
        <f>'Monthly Data'!AX48</f>
        <v>0</v>
      </c>
      <c r="M48" s="6">
        <f>'Monthly Data'!AY48</f>
        <v>1</v>
      </c>
      <c r="O48" s="20">
        <f>'GS &gt; 50 OLS model'!$B$5</f>
        <v>-11694573.8944258</v>
      </c>
      <c r="P48" s="20">
        <f>'GS &gt; 50 OLS model'!$B$6*D48</f>
        <v>10439973.842249628</v>
      </c>
      <c r="Q48" s="20">
        <f>'GS &gt; 50 OLS model'!$B$7*E48</f>
        <v>1087338.3328036407</v>
      </c>
      <c r="R48" s="20">
        <f>'GS &gt; 50 OLS model'!$B$8*F48</f>
        <v>0</v>
      </c>
      <c r="S48" s="20">
        <f>'GS &gt; 50 OLS model'!$B$9*G48</f>
        <v>13209876.832353121</v>
      </c>
      <c r="T48" s="20">
        <f>'GS &gt; 50 OLS model'!$B$10*H48</f>
        <v>604443.17966157361</v>
      </c>
      <c r="U48" s="20">
        <f>'GS &gt; 50 OLS model'!$B$11*I48</f>
        <v>0</v>
      </c>
      <c r="V48" s="20">
        <f>'GS &gt; 50 OLS model'!$B$12*J48</f>
        <v>0</v>
      </c>
      <c r="W48" s="20">
        <f>'GS &gt; 50 OLS model'!$B$13*K48</f>
        <v>0</v>
      </c>
      <c r="X48" s="20">
        <f>'GS &gt; 50 OLS model'!$B$14*L48</f>
        <v>0</v>
      </c>
      <c r="Y48" s="20">
        <f>'GS &gt; 50 OLS model'!$B$15*M48</f>
        <v>671693.73401239095</v>
      </c>
      <c r="Z48" s="20">
        <f t="shared" si="3"/>
        <v>14318752.026654555</v>
      </c>
      <c r="AA48" s="23">
        <f t="shared" ca="1" si="4"/>
        <v>1.018869097203657E-2</v>
      </c>
    </row>
    <row r="49" spans="1:27" ht="14.4" x14ac:dyDescent="0.3">
      <c r="A49" s="22">
        <f>'Monthly Data'!A49</f>
        <v>41244</v>
      </c>
      <c r="B49" s="6">
        <f t="shared" si="2"/>
        <v>2012</v>
      </c>
      <c r="C49" s="20">
        <f ca="1">'Monthly Data'!N49</f>
        <v>12910330.309349159</v>
      </c>
      <c r="D49" s="20">
        <f>'Monthly Data'!P49</f>
        <v>204</v>
      </c>
      <c r="E49" s="6">
        <f>'Monthly Data'!AG49</f>
        <v>484.20000000000005</v>
      </c>
      <c r="F49" s="6">
        <f>'Monthly Data'!AH49</f>
        <v>0</v>
      </c>
      <c r="G49" s="6">
        <f>'Monthly Data'!AJ49</f>
        <v>155.5</v>
      </c>
      <c r="H49" s="6">
        <f>'Monthly Data'!AN49</f>
        <v>48</v>
      </c>
      <c r="I49" s="6">
        <f>'Monthly Data'!AW49</f>
        <v>0</v>
      </c>
      <c r="J49" s="6">
        <f>'Monthly Data'!AV49</f>
        <v>0</v>
      </c>
      <c r="K49" s="6">
        <f>'Monthly Data'!AW49</f>
        <v>0</v>
      </c>
      <c r="L49" s="6">
        <f>'Monthly Data'!AX49</f>
        <v>0</v>
      </c>
      <c r="M49" s="6">
        <f>'Monthly Data'!AY49</f>
        <v>0</v>
      </c>
      <c r="O49" s="20">
        <f>'GS &gt; 50 OLS model'!$B$5</f>
        <v>-11694573.8944258</v>
      </c>
      <c r="P49" s="20">
        <f>'GS &gt; 50 OLS model'!$B$6*D49</f>
        <v>10338614.872907398</v>
      </c>
      <c r="Q49" s="20">
        <f>'GS &gt; 50 OLS model'!$B$7*E49</f>
        <v>1298370.4580604758</v>
      </c>
      <c r="R49" s="20">
        <f>'GS &gt; 50 OLS model'!$B$8*F49</f>
        <v>0</v>
      </c>
      <c r="S49" s="20">
        <f>'GS &gt; 50 OLS model'!$B$9*G49</f>
        <v>13033856.899942325</v>
      </c>
      <c r="T49" s="20">
        <f>'GS &gt; 50 OLS model'!$B$10*H49</f>
        <v>617303.67284586234</v>
      </c>
      <c r="U49" s="20">
        <f>'GS &gt; 50 OLS model'!$B$11*I49</f>
        <v>0</v>
      </c>
      <c r="V49" s="20">
        <f>'GS &gt; 50 OLS model'!$B$12*J49</f>
        <v>0</v>
      </c>
      <c r="W49" s="20">
        <f>'GS &gt; 50 OLS model'!$B$13*K49</f>
        <v>0</v>
      </c>
      <c r="X49" s="20">
        <f>'GS &gt; 50 OLS model'!$B$14*L49</f>
        <v>0</v>
      </c>
      <c r="Y49" s="20">
        <f>'GS &gt; 50 OLS model'!$B$15*M49</f>
        <v>0</v>
      </c>
      <c r="Z49" s="20">
        <f t="shared" si="3"/>
        <v>13593572.009330261</v>
      </c>
      <c r="AA49" s="23">
        <f t="shared" ca="1" si="4"/>
        <v>5.2922092898454016E-2</v>
      </c>
    </row>
    <row r="50" spans="1:27" ht="14.4" x14ac:dyDescent="0.3">
      <c r="A50" s="22">
        <f>'Monthly Data'!A50</f>
        <v>41275</v>
      </c>
      <c r="B50" s="6">
        <f t="shared" si="2"/>
        <v>2013</v>
      </c>
      <c r="C50" s="20">
        <f ca="1">'Monthly Data'!N50</f>
        <v>13849091.99800721</v>
      </c>
      <c r="D50" s="20">
        <f>'Monthly Data'!P50</f>
        <v>203</v>
      </c>
      <c r="E50" s="6">
        <f>'Monthly Data'!AG50</f>
        <v>598.19999999999993</v>
      </c>
      <c r="F50" s="6">
        <f>'Monthly Data'!AH50</f>
        <v>0</v>
      </c>
      <c r="G50" s="6">
        <f>'Monthly Data'!AJ50</f>
        <v>151.1</v>
      </c>
      <c r="H50" s="6">
        <f>'Monthly Data'!AN50</f>
        <v>49</v>
      </c>
      <c r="I50" s="6">
        <f>'Monthly Data'!AW50</f>
        <v>0</v>
      </c>
      <c r="J50" s="6">
        <f>'Monthly Data'!AV50</f>
        <v>0</v>
      </c>
      <c r="K50" s="6">
        <f>'Monthly Data'!AW50</f>
        <v>0</v>
      </c>
      <c r="L50" s="6">
        <f>'Monthly Data'!AX50</f>
        <v>0</v>
      </c>
      <c r="M50" s="6">
        <f>'Monthly Data'!AY50</f>
        <v>0</v>
      </c>
      <c r="O50" s="20">
        <f>'GS &gt; 50 OLS model'!$B$5</f>
        <v>-11694573.8944258</v>
      </c>
      <c r="P50" s="20">
        <f>'GS &gt; 50 OLS model'!$B$6*D50</f>
        <v>10287935.388236284</v>
      </c>
      <c r="Q50" s="20">
        <f>'GS &gt; 50 OLS model'!$B$7*E50</f>
        <v>1604058.6699954078</v>
      </c>
      <c r="R50" s="20">
        <f>'GS &gt; 50 OLS model'!$B$8*F50</f>
        <v>0</v>
      </c>
      <c r="S50" s="20">
        <f>'GS &gt; 50 OLS model'!$B$9*G50</f>
        <v>12665053.232033988</v>
      </c>
      <c r="T50" s="20">
        <f>'GS &gt; 50 OLS model'!$B$10*H50</f>
        <v>630164.16603015119</v>
      </c>
      <c r="U50" s="20">
        <f>'GS &gt; 50 OLS model'!$B$11*I50</f>
        <v>0</v>
      </c>
      <c r="V50" s="20">
        <f>'GS &gt; 50 OLS model'!$B$12*J50</f>
        <v>0</v>
      </c>
      <c r="W50" s="20">
        <f>'GS &gt; 50 OLS model'!$B$13*K50</f>
        <v>0</v>
      </c>
      <c r="X50" s="20">
        <f>'GS &gt; 50 OLS model'!$B$14*L50</f>
        <v>0</v>
      </c>
      <c r="Y50" s="20">
        <f>'GS &gt; 50 OLS model'!$B$15*M50</f>
        <v>0</v>
      </c>
      <c r="Z50" s="20">
        <f t="shared" si="3"/>
        <v>13492637.561870033</v>
      </c>
      <c r="AA50" s="23">
        <f t="shared" ca="1" si="4"/>
        <v>2.5738469799209105E-2</v>
      </c>
    </row>
    <row r="51" spans="1:27" ht="14.4" x14ac:dyDescent="0.3">
      <c r="A51" s="22">
        <f>'Monthly Data'!A51</f>
        <v>41306</v>
      </c>
      <c r="B51" s="6">
        <f t="shared" si="2"/>
        <v>2013</v>
      </c>
      <c r="C51" s="20">
        <f ca="1">'Monthly Data'!N51</f>
        <v>12913536.665801208</v>
      </c>
      <c r="D51" s="20">
        <f>'Monthly Data'!P51</f>
        <v>204</v>
      </c>
      <c r="E51" s="6">
        <f>'Monthly Data'!AG51</f>
        <v>574.80000000000007</v>
      </c>
      <c r="F51" s="6">
        <f>'Monthly Data'!AH51</f>
        <v>0</v>
      </c>
      <c r="G51" s="6">
        <f>'Monthly Data'!AJ51</f>
        <v>150.19999999999999</v>
      </c>
      <c r="H51" s="6">
        <f>'Monthly Data'!AN51</f>
        <v>50</v>
      </c>
      <c r="I51" s="6">
        <f>'Monthly Data'!AW51</f>
        <v>0</v>
      </c>
      <c r="J51" s="6">
        <f>'Monthly Data'!AV51</f>
        <v>0</v>
      </c>
      <c r="K51" s="6">
        <f>'Monthly Data'!AW51</f>
        <v>0</v>
      </c>
      <c r="L51" s="6">
        <f>'Monthly Data'!AX51</f>
        <v>0</v>
      </c>
      <c r="M51" s="6">
        <f>'Monthly Data'!AY51</f>
        <v>0</v>
      </c>
      <c r="O51" s="20">
        <f>'GS &gt; 50 OLS model'!$B$5</f>
        <v>-11694573.8944258</v>
      </c>
      <c r="P51" s="20">
        <f>'GS &gt; 50 OLS model'!$B$6*D51</f>
        <v>10338614.872907398</v>
      </c>
      <c r="Q51" s="20">
        <f>'GS &gt; 50 OLS model'!$B$7*E51</f>
        <v>1541312.1422824485</v>
      </c>
      <c r="R51" s="20">
        <f>'GS &gt; 50 OLS model'!$B$8*F51</f>
        <v>0</v>
      </c>
      <c r="S51" s="20">
        <f>'GS &gt; 50 OLS model'!$B$9*G51</f>
        <v>12589616.118143646</v>
      </c>
      <c r="T51" s="20">
        <f>'GS &gt; 50 OLS model'!$B$10*H51</f>
        <v>643024.65921444003</v>
      </c>
      <c r="U51" s="20">
        <f>'GS &gt; 50 OLS model'!$B$11*I51</f>
        <v>0</v>
      </c>
      <c r="V51" s="20">
        <f>'GS &gt; 50 OLS model'!$B$12*J51</f>
        <v>0</v>
      </c>
      <c r="W51" s="20">
        <f>'GS &gt; 50 OLS model'!$B$13*K51</f>
        <v>0</v>
      </c>
      <c r="X51" s="20">
        <f>'GS &gt; 50 OLS model'!$B$14*L51</f>
        <v>0</v>
      </c>
      <c r="Y51" s="20">
        <f>'GS &gt; 50 OLS model'!$B$15*M51</f>
        <v>0</v>
      </c>
      <c r="Z51" s="20">
        <f t="shared" si="3"/>
        <v>13417993.898122134</v>
      </c>
      <c r="AA51" s="23">
        <f t="shared" ca="1" si="4"/>
        <v>3.9064219615132567E-2</v>
      </c>
    </row>
    <row r="52" spans="1:27" ht="14.4" x14ac:dyDescent="0.3">
      <c r="A52" s="22">
        <f>'Monthly Data'!A52</f>
        <v>41334</v>
      </c>
      <c r="B52" s="6">
        <f t="shared" si="2"/>
        <v>2013</v>
      </c>
      <c r="C52" s="20">
        <f ca="1">'Monthly Data'!N52</f>
        <v>13644930.137241308</v>
      </c>
      <c r="D52" s="20">
        <f>'Monthly Data'!P52</f>
        <v>205</v>
      </c>
      <c r="E52" s="6">
        <f>'Monthly Data'!AG52</f>
        <v>505.20000000000005</v>
      </c>
      <c r="F52" s="6">
        <f>'Monthly Data'!AH52</f>
        <v>0</v>
      </c>
      <c r="G52" s="6">
        <f>'Monthly Data'!AJ52</f>
        <v>149.4</v>
      </c>
      <c r="H52" s="6">
        <f>'Monthly Data'!AN52</f>
        <v>51</v>
      </c>
      <c r="I52" s="6">
        <f>'Monthly Data'!AW52</f>
        <v>0</v>
      </c>
      <c r="J52" s="6">
        <f>'Monthly Data'!AV52</f>
        <v>0</v>
      </c>
      <c r="K52" s="6">
        <f>'Monthly Data'!AW52</f>
        <v>0</v>
      </c>
      <c r="L52" s="6">
        <f>'Monthly Data'!AX52</f>
        <v>0</v>
      </c>
      <c r="M52" s="6">
        <f>'Monthly Data'!AY52</f>
        <v>0</v>
      </c>
      <c r="O52" s="20">
        <f>'GS &gt; 50 OLS model'!$B$5</f>
        <v>-11694573.8944258</v>
      </c>
      <c r="P52" s="20">
        <f>'GS &gt; 50 OLS model'!$B$6*D52</f>
        <v>10389294.357578512</v>
      </c>
      <c r="Q52" s="20">
        <f>'GS &gt; 50 OLS model'!$B$7*E52</f>
        <v>1354681.4444695422</v>
      </c>
      <c r="R52" s="20">
        <f>'GS &gt; 50 OLS model'!$B$8*F52</f>
        <v>0</v>
      </c>
      <c r="S52" s="20">
        <f>'GS &gt; 50 OLS model'!$B$9*G52</f>
        <v>12522560.905796679</v>
      </c>
      <c r="T52" s="20">
        <f>'GS &gt; 50 OLS model'!$B$10*H52</f>
        <v>655885.15239872877</v>
      </c>
      <c r="U52" s="20">
        <f>'GS &gt; 50 OLS model'!$B$11*I52</f>
        <v>0</v>
      </c>
      <c r="V52" s="20">
        <f>'GS &gt; 50 OLS model'!$B$12*J52</f>
        <v>0</v>
      </c>
      <c r="W52" s="20">
        <f>'GS &gt; 50 OLS model'!$B$13*K52</f>
        <v>0</v>
      </c>
      <c r="X52" s="20">
        <f>'GS &gt; 50 OLS model'!$B$14*L52</f>
        <v>0</v>
      </c>
      <c r="Y52" s="20">
        <f>'GS &gt; 50 OLS model'!$B$15*M52</f>
        <v>0</v>
      </c>
      <c r="Z52" s="20">
        <f t="shared" si="3"/>
        <v>13227847.96581766</v>
      </c>
      <c r="AA52" s="23">
        <f t="shared" ca="1" si="4"/>
        <v>3.0566823518231073E-2</v>
      </c>
    </row>
    <row r="53" spans="1:27" ht="14.4" x14ac:dyDescent="0.3">
      <c r="A53" s="22">
        <f>'Monthly Data'!A53</f>
        <v>41365</v>
      </c>
      <c r="B53" s="6">
        <f t="shared" si="2"/>
        <v>2013</v>
      </c>
      <c r="C53" s="20">
        <f ca="1">'Monthly Data'!N53</f>
        <v>12517016.774652008</v>
      </c>
      <c r="D53" s="20">
        <f>'Monthly Data'!P53</f>
        <v>209</v>
      </c>
      <c r="E53" s="6">
        <f>'Monthly Data'!AG53</f>
        <v>300.19999999999993</v>
      </c>
      <c r="F53" s="6">
        <f>'Monthly Data'!AH53</f>
        <v>0</v>
      </c>
      <c r="G53" s="6">
        <f>'Monthly Data'!AJ53</f>
        <v>152.6</v>
      </c>
      <c r="H53" s="6">
        <f>'Monthly Data'!AN53</f>
        <v>52</v>
      </c>
      <c r="I53" s="6">
        <f>'Monthly Data'!AW53</f>
        <v>0</v>
      </c>
      <c r="J53" s="6">
        <f>'Monthly Data'!AV53</f>
        <v>0</v>
      </c>
      <c r="K53" s="6">
        <f>'Monthly Data'!AW53</f>
        <v>0</v>
      </c>
      <c r="L53" s="6">
        <f>'Monthly Data'!AX53</f>
        <v>0</v>
      </c>
      <c r="M53" s="6">
        <f>'Monthly Data'!AY53</f>
        <v>0</v>
      </c>
      <c r="O53" s="20">
        <f>'GS &gt; 50 OLS model'!$B$5</f>
        <v>-11694573.8944258</v>
      </c>
      <c r="P53" s="20">
        <f>'GS &gt; 50 OLS model'!$B$6*D53</f>
        <v>10592012.296262972</v>
      </c>
      <c r="Q53" s="20">
        <f>'GS &gt; 50 OLS model'!$B$7*E53</f>
        <v>804978.95809532166</v>
      </c>
      <c r="R53" s="20">
        <f>'GS &gt; 50 OLS model'!$B$8*F53</f>
        <v>0</v>
      </c>
      <c r="S53" s="20">
        <f>'GS &gt; 50 OLS model'!$B$9*G53</f>
        <v>12790781.755184557</v>
      </c>
      <c r="T53" s="20">
        <f>'GS &gt; 50 OLS model'!$B$10*H53</f>
        <v>668745.64558301761</v>
      </c>
      <c r="U53" s="20">
        <f>'GS &gt; 50 OLS model'!$B$11*I53</f>
        <v>0</v>
      </c>
      <c r="V53" s="20">
        <f>'GS &gt; 50 OLS model'!$B$12*J53</f>
        <v>0</v>
      </c>
      <c r="W53" s="20">
        <f>'GS &gt; 50 OLS model'!$B$13*K53</f>
        <v>0</v>
      </c>
      <c r="X53" s="20">
        <f>'GS &gt; 50 OLS model'!$B$14*L53</f>
        <v>0</v>
      </c>
      <c r="Y53" s="20">
        <f>'GS &gt; 50 OLS model'!$B$15*M53</f>
        <v>0</v>
      </c>
      <c r="Z53" s="20">
        <f t="shared" si="3"/>
        <v>13161944.760700068</v>
      </c>
      <c r="AA53" s="23">
        <f t="shared" ca="1" si="4"/>
        <v>5.152409696806446E-2</v>
      </c>
    </row>
    <row r="54" spans="1:27" ht="14.4" x14ac:dyDescent="0.3">
      <c r="A54" s="22">
        <f>'Monthly Data'!A54</f>
        <v>41395</v>
      </c>
      <c r="B54" s="6">
        <f t="shared" si="2"/>
        <v>2013</v>
      </c>
      <c r="C54" s="20">
        <f ca="1">'Monthly Data'!N54</f>
        <v>13122967.337625708</v>
      </c>
      <c r="D54" s="20">
        <f>'Monthly Data'!P54</f>
        <v>205</v>
      </c>
      <c r="E54" s="6">
        <f>'Monthly Data'!AG54</f>
        <v>73.300000000000011</v>
      </c>
      <c r="F54" s="6">
        <f>'Monthly Data'!AH54</f>
        <v>59.899999999999991</v>
      </c>
      <c r="G54" s="6">
        <f>'Monthly Data'!AJ54</f>
        <v>154</v>
      </c>
      <c r="H54" s="6">
        <f>'Monthly Data'!AN54</f>
        <v>53</v>
      </c>
      <c r="I54" s="6">
        <f>'Monthly Data'!AW54</f>
        <v>0</v>
      </c>
      <c r="J54" s="6">
        <f>'Monthly Data'!AV54</f>
        <v>0</v>
      </c>
      <c r="K54" s="6">
        <f>'Monthly Data'!AW54</f>
        <v>0</v>
      </c>
      <c r="L54" s="6">
        <f>'Monthly Data'!AX54</f>
        <v>0</v>
      </c>
      <c r="M54" s="6">
        <f>'Monthly Data'!AY54</f>
        <v>0</v>
      </c>
      <c r="O54" s="20">
        <f>'GS &gt; 50 OLS model'!$B$5</f>
        <v>-11694573.8944258</v>
      </c>
      <c r="P54" s="20">
        <f>'GS &gt; 50 OLS model'!$B$6*D54</f>
        <v>10389294.357578512</v>
      </c>
      <c r="Q54" s="20">
        <f>'GS &gt; 50 OLS model'!$B$7*E54</f>
        <v>196552.15732307493</v>
      </c>
      <c r="R54" s="20">
        <f>'GS &gt; 50 OLS model'!$B$8*F54</f>
        <v>885454.85552379966</v>
      </c>
      <c r="S54" s="20">
        <f>'GS &gt; 50 OLS model'!$B$9*G54</f>
        <v>12908128.376791757</v>
      </c>
      <c r="T54" s="20">
        <f>'GS &gt; 50 OLS model'!$B$10*H54</f>
        <v>681606.13876730634</v>
      </c>
      <c r="U54" s="20">
        <f>'GS &gt; 50 OLS model'!$B$11*I54</f>
        <v>0</v>
      </c>
      <c r="V54" s="20">
        <f>'GS &gt; 50 OLS model'!$B$12*J54</f>
        <v>0</v>
      </c>
      <c r="W54" s="20">
        <f>'GS &gt; 50 OLS model'!$B$13*K54</f>
        <v>0</v>
      </c>
      <c r="X54" s="20">
        <f>'GS &gt; 50 OLS model'!$B$14*L54</f>
        <v>0</v>
      </c>
      <c r="Y54" s="20">
        <f>'GS &gt; 50 OLS model'!$B$15*M54</f>
        <v>0</v>
      </c>
      <c r="Z54" s="20">
        <f t="shared" si="3"/>
        <v>13366461.991558649</v>
      </c>
      <c r="AA54" s="23">
        <f t="shared" ca="1" si="4"/>
        <v>1.8554847213160468E-2</v>
      </c>
    </row>
    <row r="55" spans="1:27" ht="14.4" x14ac:dyDescent="0.3">
      <c r="A55" s="22">
        <f>'Monthly Data'!A55</f>
        <v>41426</v>
      </c>
      <c r="B55" s="6">
        <f t="shared" si="2"/>
        <v>2013</v>
      </c>
      <c r="C55" s="20">
        <f ca="1">'Monthly Data'!N55</f>
        <v>13706309.307653708</v>
      </c>
      <c r="D55" s="20">
        <f>'Monthly Data'!P55</f>
        <v>208</v>
      </c>
      <c r="E55" s="6">
        <f>'Monthly Data'!AG55</f>
        <v>14.700000000000001</v>
      </c>
      <c r="F55" s="6">
        <f>'Monthly Data'!AH55</f>
        <v>103.49999999999999</v>
      </c>
      <c r="G55" s="6">
        <f>'Monthly Data'!AJ55</f>
        <v>155.9</v>
      </c>
      <c r="H55" s="6">
        <f>'Monthly Data'!AN55</f>
        <v>54</v>
      </c>
      <c r="I55" s="6">
        <f>'Monthly Data'!AW55</f>
        <v>0</v>
      </c>
      <c r="J55" s="6">
        <f>'Monthly Data'!AV55</f>
        <v>0</v>
      </c>
      <c r="K55" s="6">
        <f>'Monthly Data'!AW55</f>
        <v>0</v>
      </c>
      <c r="L55" s="6">
        <f>'Monthly Data'!AX55</f>
        <v>0</v>
      </c>
      <c r="M55" s="6">
        <f>'Monthly Data'!AY55</f>
        <v>0</v>
      </c>
      <c r="O55" s="20">
        <f>'GS &gt; 50 OLS model'!$B$5</f>
        <v>-11694573.8944258</v>
      </c>
      <c r="P55" s="20">
        <f>'GS &gt; 50 OLS model'!$B$6*D55</f>
        <v>10541332.811591856</v>
      </c>
      <c r="Q55" s="20">
        <f>'GS &gt; 50 OLS model'!$B$7*E55</f>
        <v>39417.690486346539</v>
      </c>
      <c r="R55" s="20">
        <f>'GS &gt; 50 OLS model'!$B$8*F55</f>
        <v>1529959.5583758475</v>
      </c>
      <c r="S55" s="20">
        <f>'GS &gt; 50 OLS model'!$B$9*G55</f>
        <v>13067384.506115811</v>
      </c>
      <c r="T55" s="20">
        <f>'GS &gt; 50 OLS model'!$B$10*H55</f>
        <v>694466.63195159519</v>
      </c>
      <c r="U55" s="20">
        <f>'GS &gt; 50 OLS model'!$B$11*I55</f>
        <v>0</v>
      </c>
      <c r="V55" s="20">
        <f>'GS &gt; 50 OLS model'!$B$12*J55</f>
        <v>0</v>
      </c>
      <c r="W55" s="20">
        <f>'GS &gt; 50 OLS model'!$B$13*K55</f>
        <v>0</v>
      </c>
      <c r="X55" s="20">
        <f>'GS &gt; 50 OLS model'!$B$14*L55</f>
        <v>0</v>
      </c>
      <c r="Y55" s="20">
        <f>'GS &gt; 50 OLS model'!$B$15*M55</f>
        <v>0</v>
      </c>
      <c r="Z55" s="20">
        <f t="shared" si="3"/>
        <v>14177987.304095656</v>
      </c>
      <c r="AA55" s="23">
        <f t="shared" ca="1" si="4"/>
        <v>3.4413202405884614E-2</v>
      </c>
    </row>
    <row r="56" spans="1:27" ht="14.4" x14ac:dyDescent="0.3">
      <c r="A56" s="22">
        <f>'Monthly Data'!A56</f>
        <v>41456</v>
      </c>
      <c r="B56" s="6">
        <f t="shared" si="2"/>
        <v>2013</v>
      </c>
      <c r="C56" s="20">
        <f ca="1">'Monthly Data'!N56</f>
        <v>14308336.935974209</v>
      </c>
      <c r="D56" s="20">
        <f>'Monthly Data'!P56</f>
        <v>209</v>
      </c>
      <c r="E56" s="6">
        <f>'Monthly Data'!AG56</f>
        <v>1.5</v>
      </c>
      <c r="F56" s="6">
        <f>'Monthly Data'!AH56</f>
        <v>174.80000000000004</v>
      </c>
      <c r="G56" s="6">
        <f>'Monthly Data'!AJ56</f>
        <v>156.6</v>
      </c>
      <c r="H56" s="6">
        <f>'Monthly Data'!AN56</f>
        <v>55</v>
      </c>
      <c r="I56" s="6">
        <f>'Monthly Data'!AW56</f>
        <v>0</v>
      </c>
      <c r="J56" s="6">
        <f>'Monthly Data'!AV56</f>
        <v>0</v>
      </c>
      <c r="K56" s="6">
        <f>'Monthly Data'!AW56</f>
        <v>0</v>
      </c>
      <c r="L56" s="6">
        <f>'Monthly Data'!AX56</f>
        <v>0</v>
      </c>
      <c r="M56" s="6">
        <f>'Monthly Data'!AY56</f>
        <v>0</v>
      </c>
      <c r="O56" s="20">
        <f>'GS &gt; 50 OLS model'!$B$5</f>
        <v>-11694573.8944258</v>
      </c>
      <c r="P56" s="20">
        <f>'GS &gt; 50 OLS model'!$B$6*D56</f>
        <v>10592012.296262972</v>
      </c>
      <c r="Q56" s="20">
        <f>'GS &gt; 50 OLS model'!$B$7*E56</f>
        <v>4022.2133149333204</v>
      </c>
      <c r="R56" s="20">
        <f>'GS &gt; 50 OLS model'!$B$8*F56</f>
        <v>2583931.698590321</v>
      </c>
      <c r="S56" s="20">
        <f>'GS &gt; 50 OLS model'!$B$9*G56</f>
        <v>13126057.816919409</v>
      </c>
      <c r="T56" s="20">
        <f>'GS &gt; 50 OLS model'!$B$10*H56</f>
        <v>707327.12513588404</v>
      </c>
      <c r="U56" s="20">
        <f>'GS &gt; 50 OLS model'!$B$11*I56</f>
        <v>0</v>
      </c>
      <c r="V56" s="20">
        <f>'GS &gt; 50 OLS model'!$B$12*J56</f>
        <v>0</v>
      </c>
      <c r="W56" s="20">
        <f>'GS &gt; 50 OLS model'!$B$13*K56</f>
        <v>0</v>
      </c>
      <c r="X56" s="20">
        <f>'GS &gt; 50 OLS model'!$B$14*L56</f>
        <v>0</v>
      </c>
      <c r="Y56" s="20">
        <f>'GS &gt; 50 OLS model'!$B$15*M56</f>
        <v>0</v>
      </c>
      <c r="Z56" s="20">
        <f t="shared" si="3"/>
        <v>15318777.255797718</v>
      </c>
      <c r="AA56" s="23">
        <f t="shared" ca="1" si="4"/>
        <v>7.0618991175909945E-2</v>
      </c>
    </row>
    <row r="57" spans="1:27" ht="14.4" x14ac:dyDescent="0.3">
      <c r="A57" s="22">
        <f>'Monthly Data'!A57</f>
        <v>41487</v>
      </c>
      <c r="B57" s="6">
        <f t="shared" si="2"/>
        <v>2013</v>
      </c>
      <c r="C57" s="20">
        <f ca="1">'Monthly Data'!N57</f>
        <v>14823345.522277808</v>
      </c>
      <c r="D57" s="20">
        <f>'Monthly Data'!P57</f>
        <v>208</v>
      </c>
      <c r="E57" s="6">
        <f>'Monthly Data'!AG57</f>
        <v>1.2</v>
      </c>
      <c r="F57" s="6">
        <f>'Monthly Data'!AH57</f>
        <v>134.29999999999998</v>
      </c>
      <c r="G57" s="6">
        <f>'Monthly Data'!AJ57</f>
        <v>156.5</v>
      </c>
      <c r="H57" s="6">
        <f>'Monthly Data'!AN57</f>
        <v>56</v>
      </c>
      <c r="I57" s="6">
        <f>'Monthly Data'!AW57</f>
        <v>0</v>
      </c>
      <c r="J57" s="6">
        <f>'Monthly Data'!AV57</f>
        <v>1</v>
      </c>
      <c r="K57" s="6">
        <f>'Monthly Data'!AW57</f>
        <v>0</v>
      </c>
      <c r="L57" s="6">
        <f>'Monthly Data'!AX57</f>
        <v>0</v>
      </c>
      <c r="M57" s="6">
        <f>'Monthly Data'!AY57</f>
        <v>0</v>
      </c>
      <c r="O57" s="20">
        <f>'GS &gt; 50 OLS model'!$B$5</f>
        <v>-11694573.8944258</v>
      </c>
      <c r="P57" s="20">
        <f>'GS &gt; 50 OLS model'!$B$6*D57</f>
        <v>10541332.811591856</v>
      </c>
      <c r="Q57" s="20">
        <f>'GS &gt; 50 OLS model'!$B$7*E57</f>
        <v>3217.770651946656</v>
      </c>
      <c r="R57" s="20">
        <f>'GS &gt; 50 OLS model'!$B$8*F57</f>
        <v>1985251.8713997712</v>
      </c>
      <c r="S57" s="20">
        <f>'GS &gt; 50 OLS model'!$B$9*G57</f>
        <v>13117675.915376037</v>
      </c>
      <c r="T57" s="20">
        <f>'GS &gt; 50 OLS model'!$B$10*H57</f>
        <v>720187.61832017277</v>
      </c>
      <c r="U57" s="20">
        <f>'GS &gt; 50 OLS model'!$B$11*I57</f>
        <v>0</v>
      </c>
      <c r="V57" s="20">
        <f>'GS &gt; 50 OLS model'!$B$12*J57</f>
        <v>1257541.23571065</v>
      </c>
      <c r="W57" s="20">
        <f>'GS &gt; 50 OLS model'!$B$13*K57</f>
        <v>0</v>
      </c>
      <c r="X57" s="20">
        <f>'GS &gt; 50 OLS model'!$B$14*L57</f>
        <v>0</v>
      </c>
      <c r="Y57" s="20">
        <f>'GS &gt; 50 OLS model'!$B$15*M57</f>
        <v>0</v>
      </c>
      <c r="Z57" s="20">
        <f t="shared" si="3"/>
        <v>15930633.328624634</v>
      </c>
      <c r="AA57" s="23">
        <f t="shared" ca="1" si="4"/>
        <v>7.4698913594282629E-2</v>
      </c>
    </row>
    <row r="58" spans="1:27" ht="14.4" x14ac:dyDescent="0.3">
      <c r="A58" s="22">
        <f>'Monthly Data'!A58</f>
        <v>41518</v>
      </c>
      <c r="B58" s="6">
        <f t="shared" si="2"/>
        <v>2013</v>
      </c>
      <c r="C58" s="20">
        <f ca="1">'Monthly Data'!N58</f>
        <v>17407710.791521009</v>
      </c>
      <c r="D58" s="20">
        <f>'Monthly Data'!P58</f>
        <v>212</v>
      </c>
      <c r="E58" s="6">
        <f>'Monthly Data'!AG58</f>
        <v>41.2</v>
      </c>
      <c r="F58" s="6">
        <f>'Monthly Data'!AH58</f>
        <v>65.3</v>
      </c>
      <c r="G58" s="6">
        <f>'Monthly Data'!AJ58</f>
        <v>154.6</v>
      </c>
      <c r="H58" s="6">
        <f>'Monthly Data'!AN58</f>
        <v>57</v>
      </c>
      <c r="I58" s="6">
        <f>'Monthly Data'!AW58</f>
        <v>1</v>
      </c>
      <c r="J58" s="6">
        <f>'Monthly Data'!AV58</f>
        <v>0</v>
      </c>
      <c r="K58" s="6">
        <f>'Monthly Data'!AW58</f>
        <v>1</v>
      </c>
      <c r="L58" s="6">
        <f>'Monthly Data'!AX58</f>
        <v>0</v>
      </c>
      <c r="M58" s="6">
        <f>'Monthly Data'!AY58</f>
        <v>0</v>
      </c>
      <c r="O58" s="20">
        <f>'GS &gt; 50 OLS model'!$B$5</f>
        <v>-11694573.8944258</v>
      </c>
      <c r="P58" s="20">
        <f>'GS &gt; 50 OLS model'!$B$6*D58</f>
        <v>10744050.750276316</v>
      </c>
      <c r="Q58" s="20">
        <f>'GS &gt; 50 OLS model'!$B$7*E58</f>
        <v>110476.79238350187</v>
      </c>
      <c r="R58" s="20">
        <f>'GS &gt; 50 OLS model'!$B$8*F58</f>
        <v>965278.83248253958</v>
      </c>
      <c r="S58" s="20">
        <f>'GS &gt; 50 OLS model'!$B$9*G58</f>
        <v>12958419.786051983</v>
      </c>
      <c r="T58" s="20">
        <f>'GS &gt; 50 OLS model'!$B$10*H58</f>
        <v>733048.11150446162</v>
      </c>
      <c r="U58" s="20">
        <f>'GS &gt; 50 OLS model'!$B$11*I58</f>
        <v>-797686.81375559501</v>
      </c>
      <c r="V58" s="20">
        <f>'GS &gt; 50 OLS model'!$B$12*J58</f>
        <v>0</v>
      </c>
      <c r="W58" s="20">
        <f>'GS &gt; 50 OLS model'!$B$13*K58</f>
        <v>1979532.62008895</v>
      </c>
      <c r="X58" s="20">
        <f>'GS &gt; 50 OLS model'!$B$14*L58</f>
        <v>0</v>
      </c>
      <c r="Y58" s="20">
        <f>'GS &gt; 50 OLS model'!$B$15*M58</f>
        <v>0</v>
      </c>
      <c r="Z58" s="20">
        <f t="shared" si="3"/>
        <v>14998546.184606358</v>
      </c>
      <c r="AA58" s="23">
        <f t="shared" ca="1" si="4"/>
        <v>0.13839640580932172</v>
      </c>
    </row>
    <row r="59" spans="1:27" ht="14.4" x14ac:dyDescent="0.3">
      <c r="A59" s="22">
        <f>'Monthly Data'!A59</f>
        <v>41548</v>
      </c>
      <c r="B59" s="6">
        <f t="shared" si="2"/>
        <v>2013</v>
      </c>
      <c r="C59" s="20">
        <f ca="1">'Monthly Data'!N59</f>
        <v>14654921.464652408</v>
      </c>
      <c r="D59" s="20">
        <f>'Monthly Data'!P59</f>
        <v>209</v>
      </c>
      <c r="E59" s="6">
        <f>'Monthly Data'!AG59</f>
        <v>170.49999999999997</v>
      </c>
      <c r="F59" s="6">
        <f>'Monthly Data'!AH59</f>
        <v>19.899999999999999</v>
      </c>
      <c r="G59" s="6">
        <f>'Monthly Data'!AJ59</f>
        <v>155.80000000000001</v>
      </c>
      <c r="H59" s="6">
        <f>'Monthly Data'!AN59</f>
        <v>58</v>
      </c>
      <c r="I59" s="6">
        <f>'Monthly Data'!AW59</f>
        <v>0</v>
      </c>
      <c r="J59" s="6">
        <f>'Monthly Data'!AV59</f>
        <v>0</v>
      </c>
      <c r="K59" s="6">
        <f>'Monthly Data'!AW59</f>
        <v>0</v>
      </c>
      <c r="L59" s="6">
        <f>'Monthly Data'!AX59</f>
        <v>1</v>
      </c>
      <c r="M59" s="6">
        <f>'Monthly Data'!AY59</f>
        <v>0</v>
      </c>
      <c r="O59" s="20">
        <f>'GS &gt; 50 OLS model'!$B$5</f>
        <v>-11694573.8944258</v>
      </c>
      <c r="P59" s="20">
        <f>'GS &gt; 50 OLS model'!$B$6*D59</f>
        <v>10592012.296262972</v>
      </c>
      <c r="Q59" s="20">
        <f>'GS &gt; 50 OLS model'!$B$7*E59</f>
        <v>457191.58013075398</v>
      </c>
      <c r="R59" s="20">
        <f>'GS &gt; 50 OLS model'!$B$8*F59</f>
        <v>294166.13731091173</v>
      </c>
      <c r="S59" s="20">
        <f>'GS &gt; 50 OLS model'!$B$9*G59</f>
        <v>13059002.60457244</v>
      </c>
      <c r="T59" s="20">
        <f>'GS &gt; 50 OLS model'!$B$10*H59</f>
        <v>745908.60468875035</v>
      </c>
      <c r="U59" s="20">
        <f>'GS &gt; 50 OLS model'!$B$11*I59</f>
        <v>0</v>
      </c>
      <c r="V59" s="20">
        <f>'GS &gt; 50 OLS model'!$B$12*J59</f>
        <v>0</v>
      </c>
      <c r="W59" s="20">
        <f>'GS &gt; 50 OLS model'!$B$13*K59</f>
        <v>0</v>
      </c>
      <c r="X59" s="20">
        <f>'GS &gt; 50 OLS model'!$B$14*L59</f>
        <v>1466841.9423256</v>
      </c>
      <c r="Y59" s="20">
        <f>'GS &gt; 50 OLS model'!$B$15*M59</f>
        <v>0</v>
      </c>
      <c r="Z59" s="20">
        <f t="shared" si="3"/>
        <v>14920549.270865627</v>
      </c>
      <c r="AA59" s="23">
        <f t="shared" ca="1" si="4"/>
        <v>1.8125501856418102E-2</v>
      </c>
    </row>
    <row r="60" spans="1:27" ht="14.4" x14ac:dyDescent="0.3">
      <c r="A60" s="22">
        <f>'Monthly Data'!A60</f>
        <v>41579</v>
      </c>
      <c r="B60" s="6">
        <f t="shared" si="2"/>
        <v>2013</v>
      </c>
      <c r="C60" s="20">
        <f ca="1">'Monthly Data'!N60</f>
        <v>14053596.57630801</v>
      </c>
      <c r="D60" s="20">
        <f>'Monthly Data'!P60</f>
        <v>211</v>
      </c>
      <c r="E60" s="6">
        <f>'Monthly Data'!AG60</f>
        <v>424.9</v>
      </c>
      <c r="F60" s="6">
        <f>'Monthly Data'!AH60</f>
        <v>0</v>
      </c>
      <c r="G60" s="6">
        <f>'Monthly Data'!AJ60</f>
        <v>156.69999999999999</v>
      </c>
      <c r="H60" s="6">
        <f>'Monthly Data'!AN60</f>
        <v>59</v>
      </c>
      <c r="I60" s="6">
        <f>'Monthly Data'!AW60</f>
        <v>0</v>
      </c>
      <c r="J60" s="6">
        <f>'Monthly Data'!AV60</f>
        <v>0</v>
      </c>
      <c r="K60" s="6">
        <f>'Monthly Data'!AW60</f>
        <v>0</v>
      </c>
      <c r="L60" s="6">
        <f>'Monthly Data'!AX60</f>
        <v>0</v>
      </c>
      <c r="M60" s="6">
        <f>'Monthly Data'!AY60</f>
        <v>1</v>
      </c>
      <c r="O60" s="20">
        <f>'GS &gt; 50 OLS model'!$B$5</f>
        <v>-11694573.8944258</v>
      </c>
      <c r="P60" s="20">
        <f>'GS &gt; 50 OLS model'!$B$6*D60</f>
        <v>10693371.2656052</v>
      </c>
      <c r="Q60" s="20">
        <f>'GS &gt; 50 OLS model'!$B$7*E60</f>
        <v>1139358.9583434451</v>
      </c>
      <c r="R60" s="20">
        <f>'GS &gt; 50 OLS model'!$B$8*F60</f>
        <v>0</v>
      </c>
      <c r="S60" s="20">
        <f>'GS &gt; 50 OLS model'!$B$9*G60</f>
        <v>13134439.71846278</v>
      </c>
      <c r="T60" s="20">
        <f>'GS &gt; 50 OLS model'!$B$10*H60</f>
        <v>758769.09787303919</v>
      </c>
      <c r="U60" s="20">
        <f>'GS &gt; 50 OLS model'!$B$11*I60</f>
        <v>0</v>
      </c>
      <c r="V60" s="20">
        <f>'GS &gt; 50 OLS model'!$B$12*J60</f>
        <v>0</v>
      </c>
      <c r="W60" s="20">
        <f>'GS &gt; 50 OLS model'!$B$13*K60</f>
        <v>0</v>
      </c>
      <c r="X60" s="20">
        <f>'GS &gt; 50 OLS model'!$B$14*L60</f>
        <v>0</v>
      </c>
      <c r="Y60" s="20">
        <f>'GS &gt; 50 OLS model'!$B$15*M60</f>
        <v>671693.73401239095</v>
      </c>
      <c r="Z60" s="20">
        <f t="shared" si="3"/>
        <v>14703058.879871055</v>
      </c>
      <c r="AA60" s="23">
        <f t="shared" ca="1" si="4"/>
        <v>4.621324513170736E-2</v>
      </c>
    </row>
    <row r="61" spans="1:27" ht="14.4" x14ac:dyDescent="0.3">
      <c r="A61" s="22">
        <f>'Monthly Data'!A61</f>
        <v>41609</v>
      </c>
      <c r="B61" s="6">
        <f t="shared" si="2"/>
        <v>2013</v>
      </c>
      <c r="C61" s="20">
        <f ca="1">'Monthly Data'!N61</f>
        <v>14070719.674795508</v>
      </c>
      <c r="D61" s="20">
        <f>'Monthly Data'!P61</f>
        <v>214</v>
      </c>
      <c r="E61" s="6">
        <f>'Monthly Data'!AG61</f>
        <v>614.30000000000007</v>
      </c>
      <c r="F61" s="6">
        <f>'Monthly Data'!AH61</f>
        <v>0</v>
      </c>
      <c r="G61" s="6">
        <f>'Monthly Data'!AJ61</f>
        <v>159.19999999999999</v>
      </c>
      <c r="H61" s="6">
        <f>'Monthly Data'!AN61</f>
        <v>60</v>
      </c>
      <c r="I61" s="6">
        <f>'Monthly Data'!AW61</f>
        <v>0</v>
      </c>
      <c r="J61" s="6">
        <f>'Monthly Data'!AV61</f>
        <v>0</v>
      </c>
      <c r="K61" s="6">
        <f>'Monthly Data'!AW61</f>
        <v>0</v>
      </c>
      <c r="L61" s="6">
        <f>'Monthly Data'!AX61</f>
        <v>0</v>
      </c>
      <c r="M61" s="6">
        <f>'Monthly Data'!AY61</f>
        <v>0</v>
      </c>
      <c r="O61" s="20">
        <f>'GS &gt; 50 OLS model'!$B$5</f>
        <v>-11694573.8944258</v>
      </c>
      <c r="P61" s="20">
        <f>'GS &gt; 50 OLS model'!$B$6*D61</f>
        <v>10845409.719618546</v>
      </c>
      <c r="Q61" s="20">
        <f>'GS &gt; 50 OLS model'!$B$7*E61</f>
        <v>1647230.4262423592</v>
      </c>
      <c r="R61" s="20">
        <f>'GS &gt; 50 OLS model'!$B$8*F61</f>
        <v>0</v>
      </c>
      <c r="S61" s="20">
        <f>'GS &gt; 50 OLS model'!$B$9*G61</f>
        <v>13343987.257047061</v>
      </c>
      <c r="T61" s="20">
        <f>'GS &gt; 50 OLS model'!$B$10*H61</f>
        <v>771629.59105732804</v>
      </c>
      <c r="U61" s="20">
        <f>'GS &gt; 50 OLS model'!$B$11*I61</f>
        <v>0</v>
      </c>
      <c r="V61" s="20">
        <f>'GS &gt; 50 OLS model'!$B$12*J61</f>
        <v>0</v>
      </c>
      <c r="W61" s="20">
        <f>'GS &gt; 50 OLS model'!$B$13*K61</f>
        <v>0</v>
      </c>
      <c r="X61" s="20">
        <f>'GS &gt; 50 OLS model'!$B$14*L61</f>
        <v>0</v>
      </c>
      <c r="Y61" s="20">
        <f>'GS &gt; 50 OLS model'!$B$15*M61</f>
        <v>0</v>
      </c>
      <c r="Z61" s="20">
        <f t="shared" si="3"/>
        <v>14913683.099539494</v>
      </c>
      <c r="AA61" s="23">
        <f t="shared" ca="1" si="4"/>
        <v>5.9909048309303103E-2</v>
      </c>
    </row>
    <row r="62" spans="1:27" ht="14.4" x14ac:dyDescent="0.3">
      <c r="A62" s="22">
        <f>'Monthly Data'!A62</f>
        <v>41640</v>
      </c>
      <c r="B62" s="6">
        <f t="shared" si="2"/>
        <v>2014</v>
      </c>
      <c r="C62" s="20">
        <f ca="1">'Monthly Data'!N62</f>
        <v>14875645.707828557</v>
      </c>
      <c r="D62" s="20">
        <f>'Monthly Data'!P62</f>
        <v>211</v>
      </c>
      <c r="E62" s="6">
        <f>'Monthly Data'!AG62</f>
        <v>784.99999999999977</v>
      </c>
      <c r="F62" s="6">
        <f>'Monthly Data'!AH62</f>
        <v>0</v>
      </c>
      <c r="G62" s="6">
        <f>'Monthly Data'!AJ62</f>
        <v>157.1</v>
      </c>
      <c r="H62" s="6">
        <f>'Monthly Data'!AN62</f>
        <v>61</v>
      </c>
      <c r="I62" s="6">
        <f>'Monthly Data'!AW62</f>
        <v>0</v>
      </c>
      <c r="J62" s="6">
        <f>'Monthly Data'!AV62</f>
        <v>0</v>
      </c>
      <c r="K62" s="6">
        <f>'Monthly Data'!AW62</f>
        <v>0</v>
      </c>
      <c r="L62" s="6">
        <f>'Monthly Data'!AX62</f>
        <v>0</v>
      </c>
      <c r="M62" s="6">
        <f>'Monthly Data'!AY62</f>
        <v>0</v>
      </c>
      <c r="O62" s="20">
        <f>'GS &gt; 50 OLS model'!$B$5</f>
        <v>-11694573.8944258</v>
      </c>
      <c r="P62" s="20">
        <f>'GS &gt; 50 OLS model'!$B$6*D62</f>
        <v>10693371.2656052</v>
      </c>
      <c r="Q62" s="20">
        <f>'GS &gt; 50 OLS model'!$B$7*E62</f>
        <v>2104958.3014817704</v>
      </c>
      <c r="R62" s="20">
        <f>'GS &gt; 50 OLS model'!$B$8*F62</f>
        <v>0</v>
      </c>
      <c r="S62" s="20">
        <f>'GS &gt; 50 OLS model'!$B$9*G62</f>
        <v>13167967.324636266</v>
      </c>
      <c r="T62" s="20">
        <f>'GS &gt; 50 OLS model'!$B$10*H62</f>
        <v>784490.08424161677</v>
      </c>
      <c r="U62" s="20">
        <f>'GS &gt; 50 OLS model'!$B$11*I62</f>
        <v>0</v>
      </c>
      <c r="V62" s="20">
        <f>'GS &gt; 50 OLS model'!$B$12*J62</f>
        <v>0</v>
      </c>
      <c r="W62" s="20">
        <f>'GS &gt; 50 OLS model'!$B$13*K62</f>
        <v>0</v>
      </c>
      <c r="X62" s="20">
        <f>'GS &gt; 50 OLS model'!$B$14*L62</f>
        <v>0</v>
      </c>
      <c r="Y62" s="20">
        <f>'GS &gt; 50 OLS model'!$B$15*M62</f>
        <v>0</v>
      </c>
      <c r="Z62" s="20">
        <f t="shared" si="3"/>
        <v>15056213.081539053</v>
      </c>
      <c r="AA62" s="23">
        <f t="shared" ca="1" si="4"/>
        <v>1.2138456189197202E-2</v>
      </c>
    </row>
    <row r="63" spans="1:27" ht="14.4" x14ac:dyDescent="0.3">
      <c r="A63" s="22">
        <f>'Monthly Data'!A63</f>
        <v>41671</v>
      </c>
      <c r="B63" s="6">
        <f t="shared" si="2"/>
        <v>2014</v>
      </c>
      <c r="C63" s="20">
        <f ca="1">'Monthly Data'!N63</f>
        <v>13682562.631763957</v>
      </c>
      <c r="D63" s="20">
        <f>'Monthly Data'!P63</f>
        <v>210</v>
      </c>
      <c r="E63" s="6">
        <f>'Monthly Data'!AG63</f>
        <v>674.19999999999982</v>
      </c>
      <c r="F63" s="6">
        <f>'Monthly Data'!AH63</f>
        <v>0</v>
      </c>
      <c r="G63" s="6">
        <f>'Monthly Data'!AJ63</f>
        <v>154.69999999999999</v>
      </c>
      <c r="H63" s="6">
        <f>'Monthly Data'!AN63</f>
        <v>62</v>
      </c>
      <c r="I63" s="6">
        <f>'Monthly Data'!AW63</f>
        <v>0</v>
      </c>
      <c r="J63" s="6">
        <f>'Monthly Data'!AV63</f>
        <v>0</v>
      </c>
      <c r="K63" s="6">
        <f>'Monthly Data'!AW63</f>
        <v>0</v>
      </c>
      <c r="L63" s="6">
        <f>'Monthly Data'!AX63</f>
        <v>0</v>
      </c>
      <c r="M63" s="6">
        <f>'Monthly Data'!AY63</f>
        <v>0</v>
      </c>
      <c r="O63" s="20">
        <f>'GS &gt; 50 OLS model'!$B$5</f>
        <v>-11694573.8944258</v>
      </c>
      <c r="P63" s="20">
        <f>'GS &gt; 50 OLS model'!$B$6*D63</f>
        <v>10642691.780934086</v>
      </c>
      <c r="Q63" s="20">
        <f>'GS &gt; 50 OLS model'!$B$7*E63</f>
        <v>1807850.8112853626</v>
      </c>
      <c r="R63" s="20">
        <f>'GS &gt; 50 OLS model'!$B$8*F63</f>
        <v>0</v>
      </c>
      <c r="S63" s="20">
        <f>'GS &gt; 50 OLS model'!$B$9*G63</f>
        <v>12966801.687595354</v>
      </c>
      <c r="T63" s="20">
        <f>'GS &gt; 50 OLS model'!$B$10*H63</f>
        <v>797350.57742590562</v>
      </c>
      <c r="U63" s="20">
        <f>'GS &gt; 50 OLS model'!$B$11*I63</f>
        <v>0</v>
      </c>
      <c r="V63" s="20">
        <f>'GS &gt; 50 OLS model'!$B$12*J63</f>
        <v>0</v>
      </c>
      <c r="W63" s="20">
        <f>'GS &gt; 50 OLS model'!$B$13*K63</f>
        <v>0</v>
      </c>
      <c r="X63" s="20">
        <f>'GS &gt; 50 OLS model'!$B$14*L63</f>
        <v>0</v>
      </c>
      <c r="Y63" s="20">
        <f>'GS &gt; 50 OLS model'!$B$15*M63</f>
        <v>0</v>
      </c>
      <c r="Z63" s="20">
        <f t="shared" si="3"/>
        <v>14520120.96281491</v>
      </c>
      <c r="AA63" s="23">
        <f t="shared" ca="1" si="4"/>
        <v>6.1213557254732973E-2</v>
      </c>
    </row>
    <row r="64" spans="1:27" ht="14.4" x14ac:dyDescent="0.3">
      <c r="A64" s="22">
        <f>'Monthly Data'!A64</f>
        <v>41699</v>
      </c>
      <c r="B64" s="6">
        <f t="shared" si="2"/>
        <v>2014</v>
      </c>
      <c r="C64" s="20">
        <f ca="1">'Monthly Data'!N64</f>
        <v>14325269.380689258</v>
      </c>
      <c r="D64" s="20">
        <f>'Monthly Data'!P64</f>
        <v>213</v>
      </c>
      <c r="E64" s="6">
        <f>'Monthly Data'!AG64</f>
        <v>591.90000000000009</v>
      </c>
      <c r="F64" s="6">
        <f>'Monthly Data'!AH64</f>
        <v>0</v>
      </c>
      <c r="G64" s="6">
        <f>'Monthly Data'!AJ64</f>
        <v>152.4</v>
      </c>
      <c r="H64" s="6">
        <f>'Monthly Data'!AN64</f>
        <v>63</v>
      </c>
      <c r="I64" s="6">
        <f>'Monthly Data'!AW64</f>
        <v>0</v>
      </c>
      <c r="J64" s="6">
        <f>'Monthly Data'!AV64</f>
        <v>0</v>
      </c>
      <c r="K64" s="6">
        <f>'Monthly Data'!AW64</f>
        <v>0</v>
      </c>
      <c r="L64" s="6">
        <f>'Monthly Data'!AX64</f>
        <v>0</v>
      </c>
      <c r="M64" s="6">
        <f>'Monthly Data'!AY64</f>
        <v>0</v>
      </c>
      <c r="O64" s="20">
        <f>'GS &gt; 50 OLS model'!$B$5</f>
        <v>-11694573.8944258</v>
      </c>
      <c r="P64" s="20">
        <f>'GS &gt; 50 OLS model'!$B$6*D64</f>
        <v>10794730.23494743</v>
      </c>
      <c r="Q64" s="20">
        <f>'GS &gt; 50 OLS model'!$B$7*E64</f>
        <v>1587165.3740726884</v>
      </c>
      <c r="R64" s="20">
        <f>'GS &gt; 50 OLS model'!$B$8*F64</f>
        <v>0</v>
      </c>
      <c r="S64" s="20">
        <f>'GS &gt; 50 OLS model'!$B$9*G64</f>
        <v>12774017.952097816</v>
      </c>
      <c r="T64" s="20">
        <f>'GS &gt; 50 OLS model'!$B$10*H64</f>
        <v>810211.07061019435</v>
      </c>
      <c r="U64" s="20">
        <f>'GS &gt; 50 OLS model'!$B$11*I64</f>
        <v>0</v>
      </c>
      <c r="V64" s="20">
        <f>'GS &gt; 50 OLS model'!$B$12*J64</f>
        <v>0</v>
      </c>
      <c r="W64" s="20">
        <f>'GS &gt; 50 OLS model'!$B$13*K64</f>
        <v>0</v>
      </c>
      <c r="X64" s="20">
        <f>'GS &gt; 50 OLS model'!$B$14*L64</f>
        <v>0</v>
      </c>
      <c r="Y64" s="20">
        <f>'GS &gt; 50 OLS model'!$B$15*M64</f>
        <v>0</v>
      </c>
      <c r="Z64" s="20">
        <f t="shared" si="3"/>
        <v>14271550.737302328</v>
      </c>
      <c r="AA64" s="23">
        <f t="shared" ca="1" si="4"/>
        <v>3.7499220405128302E-3</v>
      </c>
    </row>
    <row r="65" spans="1:27" ht="14.4" x14ac:dyDescent="0.3">
      <c r="A65" s="22">
        <f>'Monthly Data'!A65</f>
        <v>41730</v>
      </c>
      <c r="B65" s="6">
        <f t="shared" si="2"/>
        <v>2014</v>
      </c>
      <c r="C65" s="20">
        <f ca="1">'Monthly Data'!N65</f>
        <v>12347342.329740856</v>
      </c>
      <c r="D65" s="20">
        <f>'Monthly Data'!P65</f>
        <v>211</v>
      </c>
      <c r="E65" s="6">
        <f>'Monthly Data'!AG65</f>
        <v>253.7</v>
      </c>
      <c r="F65" s="6">
        <f>'Monthly Data'!AH65</f>
        <v>0</v>
      </c>
      <c r="G65" s="6">
        <f>'Monthly Data'!AJ65</f>
        <v>151.1</v>
      </c>
      <c r="H65" s="6">
        <f>'Monthly Data'!AN65</f>
        <v>64</v>
      </c>
      <c r="I65" s="6">
        <f>'Monthly Data'!AW65</f>
        <v>0</v>
      </c>
      <c r="J65" s="6">
        <f>'Monthly Data'!AV65</f>
        <v>0</v>
      </c>
      <c r="K65" s="6">
        <f>'Monthly Data'!AW65</f>
        <v>0</v>
      </c>
      <c r="L65" s="6">
        <f>'Monthly Data'!AX65</f>
        <v>0</v>
      </c>
      <c r="M65" s="6">
        <f>'Monthly Data'!AY65</f>
        <v>0</v>
      </c>
      <c r="O65" s="20">
        <f>'GS &gt; 50 OLS model'!$B$5</f>
        <v>-11694573.8944258</v>
      </c>
      <c r="P65" s="20">
        <f>'GS &gt; 50 OLS model'!$B$6*D65</f>
        <v>10693371.2656052</v>
      </c>
      <c r="Q65" s="20">
        <f>'GS &gt; 50 OLS model'!$B$7*E65</f>
        <v>680290.34533238888</v>
      </c>
      <c r="R65" s="20">
        <f>'GS &gt; 50 OLS model'!$B$8*F65</f>
        <v>0</v>
      </c>
      <c r="S65" s="20">
        <f>'GS &gt; 50 OLS model'!$B$9*G65</f>
        <v>12665053.232033988</v>
      </c>
      <c r="T65" s="20">
        <f>'GS &gt; 50 OLS model'!$B$10*H65</f>
        <v>823071.5637944832</v>
      </c>
      <c r="U65" s="20">
        <f>'GS &gt; 50 OLS model'!$B$11*I65</f>
        <v>0</v>
      </c>
      <c r="V65" s="20">
        <f>'GS &gt; 50 OLS model'!$B$12*J65</f>
        <v>0</v>
      </c>
      <c r="W65" s="20">
        <f>'GS &gt; 50 OLS model'!$B$13*K65</f>
        <v>0</v>
      </c>
      <c r="X65" s="20">
        <f>'GS &gt; 50 OLS model'!$B$14*L65</f>
        <v>0</v>
      </c>
      <c r="Y65" s="20">
        <f>'GS &gt; 50 OLS model'!$B$15*M65</f>
        <v>0</v>
      </c>
      <c r="Z65" s="20">
        <f t="shared" si="3"/>
        <v>13167212.512340261</v>
      </c>
      <c r="AA65" s="23">
        <f t="shared" ca="1" si="4"/>
        <v>6.6400538731690953E-2</v>
      </c>
    </row>
    <row r="66" spans="1:27" ht="14.4" x14ac:dyDescent="0.3">
      <c r="A66" s="22">
        <f>'Monthly Data'!A66</f>
        <v>41760</v>
      </c>
      <c r="B66" s="6">
        <f t="shared" si="2"/>
        <v>2014</v>
      </c>
      <c r="C66" s="20">
        <f ca="1">'Monthly Data'!N66</f>
        <v>13027047.197540756</v>
      </c>
      <c r="D66" s="20">
        <f>'Monthly Data'!P66</f>
        <v>213</v>
      </c>
      <c r="E66" s="6">
        <f>'Monthly Data'!AG66</f>
        <v>90.600000000000009</v>
      </c>
      <c r="F66" s="6">
        <f>'Monthly Data'!AH66</f>
        <v>36.4</v>
      </c>
      <c r="G66" s="6">
        <f>'Monthly Data'!AJ66</f>
        <v>151.19999999999999</v>
      </c>
      <c r="H66" s="6">
        <f>'Monthly Data'!AN66</f>
        <v>65</v>
      </c>
      <c r="I66" s="6">
        <f>'Monthly Data'!AW66</f>
        <v>0</v>
      </c>
      <c r="J66" s="6">
        <f>'Monthly Data'!AV66</f>
        <v>0</v>
      </c>
      <c r="K66" s="6">
        <f>'Monthly Data'!AW66</f>
        <v>0</v>
      </c>
      <c r="L66" s="6">
        <f>'Monthly Data'!AX66</f>
        <v>0</v>
      </c>
      <c r="M66" s="6">
        <f>'Monthly Data'!AY66</f>
        <v>0</v>
      </c>
      <c r="O66" s="20">
        <f>'GS &gt; 50 OLS model'!$B$5</f>
        <v>-11694573.8944258</v>
      </c>
      <c r="P66" s="20">
        <f>'GS &gt; 50 OLS model'!$B$6*D66</f>
        <v>10794730.23494743</v>
      </c>
      <c r="Q66" s="20">
        <f>'GS &gt; 50 OLS model'!$B$7*E66</f>
        <v>242941.68422197257</v>
      </c>
      <c r="R66" s="20">
        <f>'GS &gt; 50 OLS model'!$B$8*F66</f>
        <v>538072.73357372801</v>
      </c>
      <c r="S66" s="20">
        <f>'GS &gt; 50 OLS model'!$B$9*G66</f>
        <v>12673435.13357736</v>
      </c>
      <c r="T66" s="20">
        <f>'GS &gt; 50 OLS model'!$B$10*H66</f>
        <v>835932.05697877205</v>
      </c>
      <c r="U66" s="20">
        <f>'GS &gt; 50 OLS model'!$B$11*I66</f>
        <v>0</v>
      </c>
      <c r="V66" s="20">
        <f>'GS &gt; 50 OLS model'!$B$12*J66</f>
        <v>0</v>
      </c>
      <c r="W66" s="20">
        <f>'GS &gt; 50 OLS model'!$B$13*K66</f>
        <v>0</v>
      </c>
      <c r="X66" s="20">
        <f>'GS &gt; 50 OLS model'!$B$14*L66</f>
        <v>0</v>
      </c>
      <c r="Y66" s="20">
        <f>'GS &gt; 50 OLS model'!$B$15*M66</f>
        <v>0</v>
      </c>
      <c r="Z66" s="20">
        <f t="shared" si="3"/>
        <v>13390537.948873462</v>
      </c>
      <c r="AA66" s="23">
        <f t="shared" ref="AA66:AA97" ca="1" si="5">ABS(Z66-C66)/C66</f>
        <v>2.7902773807507626E-2</v>
      </c>
    </row>
    <row r="67" spans="1:27" ht="14.4" x14ac:dyDescent="0.3">
      <c r="A67" s="22">
        <f>'Monthly Data'!A67</f>
        <v>41791</v>
      </c>
      <c r="B67" s="6">
        <f t="shared" ref="B67:B97" si="6">YEAR(A67)</f>
        <v>2014</v>
      </c>
      <c r="C67" s="20">
        <f ca="1">'Monthly Data'!N67</f>
        <v>14734221.274116758</v>
      </c>
      <c r="D67" s="20">
        <f>'Monthly Data'!P67</f>
        <v>214</v>
      </c>
      <c r="E67" s="6">
        <f>'Monthly Data'!AG67</f>
        <v>2.4000000000000004</v>
      </c>
      <c r="F67" s="6">
        <f>'Monthly Data'!AH67</f>
        <v>123.29999999999997</v>
      </c>
      <c r="G67" s="6">
        <f>'Monthly Data'!AJ67</f>
        <v>150.9</v>
      </c>
      <c r="H67" s="6">
        <f>'Monthly Data'!AN67</f>
        <v>66</v>
      </c>
      <c r="I67" s="6">
        <f>'Monthly Data'!AW67</f>
        <v>0</v>
      </c>
      <c r="J67" s="6">
        <f>'Monthly Data'!AV67</f>
        <v>0</v>
      </c>
      <c r="K67" s="6">
        <f>'Monthly Data'!AW67</f>
        <v>0</v>
      </c>
      <c r="L67" s="6">
        <f>'Monthly Data'!AX67</f>
        <v>0</v>
      </c>
      <c r="M67" s="6">
        <f>'Monthly Data'!AY67</f>
        <v>0</v>
      </c>
      <c r="O67" s="20">
        <f>'GS &gt; 50 OLS model'!$B$5</f>
        <v>-11694573.8944258</v>
      </c>
      <c r="P67" s="20">
        <f>'GS &gt; 50 OLS model'!$B$6*D67</f>
        <v>10845409.719618546</v>
      </c>
      <c r="Q67" s="20">
        <f>'GS &gt; 50 OLS model'!$B$7*E67</f>
        <v>6435.5413038933129</v>
      </c>
      <c r="R67" s="20">
        <f>'GS &gt; 50 OLS model'!$B$8*F67</f>
        <v>1822647.4738912268</v>
      </c>
      <c r="S67" s="20">
        <f>'GS &gt; 50 OLS model'!$B$9*G67</f>
        <v>12648289.428947248</v>
      </c>
      <c r="T67" s="20">
        <f>'GS &gt; 50 OLS model'!$B$10*H67</f>
        <v>848792.55016306078</v>
      </c>
      <c r="U67" s="20">
        <f>'GS &gt; 50 OLS model'!$B$11*I67</f>
        <v>0</v>
      </c>
      <c r="V67" s="20">
        <f>'GS &gt; 50 OLS model'!$B$12*J67</f>
        <v>0</v>
      </c>
      <c r="W67" s="20">
        <f>'GS &gt; 50 OLS model'!$B$13*K67</f>
        <v>0</v>
      </c>
      <c r="X67" s="20">
        <f>'GS &gt; 50 OLS model'!$B$14*L67</f>
        <v>0</v>
      </c>
      <c r="Y67" s="20">
        <f>'GS &gt; 50 OLS model'!$B$15*M67</f>
        <v>0</v>
      </c>
      <c r="Z67" s="20">
        <f t="shared" ref="Z67:Z97" si="7">SUM(O67:Y67)</f>
        <v>14477000.819498174</v>
      </c>
      <c r="AA67" s="23">
        <f t="shared" ca="1" si="5"/>
        <v>1.7457349786814805E-2</v>
      </c>
    </row>
    <row r="68" spans="1:27" ht="14.4" x14ac:dyDescent="0.3">
      <c r="A68" s="22">
        <f>'Monthly Data'!A68</f>
        <v>41821</v>
      </c>
      <c r="B68" s="6">
        <f t="shared" si="6"/>
        <v>2014</v>
      </c>
      <c r="C68" s="20">
        <f ca="1">'Monthly Data'!N68</f>
        <v>14543861.212159758</v>
      </c>
      <c r="D68" s="20">
        <f>'Monthly Data'!P68</f>
        <v>214</v>
      </c>
      <c r="E68" s="6">
        <f>'Monthly Data'!AG68</f>
        <v>0.7</v>
      </c>
      <c r="F68" s="6">
        <f>'Monthly Data'!AH68</f>
        <v>113.59999999999997</v>
      </c>
      <c r="G68" s="6">
        <f>'Monthly Data'!AJ68</f>
        <v>153.6</v>
      </c>
      <c r="H68" s="6">
        <f>'Monthly Data'!AN68</f>
        <v>67</v>
      </c>
      <c r="I68" s="6">
        <f>'Monthly Data'!AW68</f>
        <v>0</v>
      </c>
      <c r="J68" s="6">
        <f>'Monthly Data'!AV68</f>
        <v>0</v>
      </c>
      <c r="K68" s="6">
        <f>'Monthly Data'!AW68</f>
        <v>0</v>
      </c>
      <c r="L68" s="6">
        <f>'Monthly Data'!AX68</f>
        <v>0</v>
      </c>
      <c r="M68" s="6">
        <f>'Monthly Data'!AY68</f>
        <v>0</v>
      </c>
      <c r="O68" s="20">
        <f>'GS &gt; 50 OLS model'!$B$5</f>
        <v>-11694573.8944258</v>
      </c>
      <c r="P68" s="20">
        <f>'GS &gt; 50 OLS model'!$B$6*D68</f>
        <v>10845409.719618546</v>
      </c>
      <c r="Q68" s="20">
        <f>'GS &gt; 50 OLS model'!$B$7*E68</f>
        <v>1877.032880302216</v>
      </c>
      <c r="R68" s="20">
        <f>'GS &gt; 50 OLS model'!$B$8*F68</f>
        <v>1679259.9597246014</v>
      </c>
      <c r="S68" s="20">
        <f>'GS &gt; 50 OLS model'!$B$9*G68</f>
        <v>12874600.770618271</v>
      </c>
      <c r="T68" s="20">
        <f>'GS &gt; 50 OLS model'!$B$10*H68</f>
        <v>861653.04334734962</v>
      </c>
      <c r="U68" s="20">
        <f>'GS &gt; 50 OLS model'!$B$11*I68</f>
        <v>0</v>
      </c>
      <c r="V68" s="20">
        <f>'GS &gt; 50 OLS model'!$B$12*J68</f>
        <v>0</v>
      </c>
      <c r="W68" s="20">
        <f>'GS &gt; 50 OLS model'!$B$13*K68</f>
        <v>0</v>
      </c>
      <c r="X68" s="20">
        <f>'GS &gt; 50 OLS model'!$B$14*L68</f>
        <v>0</v>
      </c>
      <c r="Y68" s="20">
        <f>'GS &gt; 50 OLS model'!$B$15*M68</f>
        <v>0</v>
      </c>
      <c r="Z68" s="20">
        <f t="shared" si="7"/>
        <v>14568226.63176327</v>
      </c>
      <c r="AA68" s="23">
        <f t="shared" ca="1" si="5"/>
        <v>1.6753061135608455E-3</v>
      </c>
    </row>
    <row r="69" spans="1:27" ht="14.4" x14ac:dyDescent="0.3">
      <c r="A69" s="22">
        <f>'Monthly Data'!A69</f>
        <v>41852</v>
      </c>
      <c r="B69" s="6">
        <f t="shared" si="6"/>
        <v>2014</v>
      </c>
      <c r="C69" s="20">
        <f ca="1">'Monthly Data'!N69</f>
        <v>15553654.723300757</v>
      </c>
      <c r="D69" s="20">
        <f>'Monthly Data'!P69</f>
        <v>213</v>
      </c>
      <c r="E69" s="6">
        <f>'Monthly Data'!AG69</f>
        <v>0.7</v>
      </c>
      <c r="F69" s="6">
        <f>'Monthly Data'!AH69</f>
        <v>130.19999999999996</v>
      </c>
      <c r="G69" s="6">
        <f>'Monthly Data'!AJ69</f>
        <v>154.5</v>
      </c>
      <c r="H69" s="6">
        <f>'Monthly Data'!AN69</f>
        <v>68</v>
      </c>
      <c r="I69" s="6">
        <f>'Monthly Data'!AW69</f>
        <v>0</v>
      </c>
      <c r="J69" s="6">
        <f>'Monthly Data'!AV69</f>
        <v>1</v>
      </c>
      <c r="K69" s="6">
        <f>'Monthly Data'!AW69</f>
        <v>0</v>
      </c>
      <c r="L69" s="6">
        <f>'Monthly Data'!AX69</f>
        <v>0</v>
      </c>
      <c r="M69" s="6">
        <f>'Monthly Data'!AY69</f>
        <v>0</v>
      </c>
      <c r="O69" s="20">
        <f>'GS &gt; 50 OLS model'!$B$5</f>
        <v>-11694573.8944258</v>
      </c>
      <c r="P69" s="20">
        <f>'GS &gt; 50 OLS model'!$B$6*D69</f>
        <v>10794730.23494743</v>
      </c>
      <c r="Q69" s="20">
        <f>'GS &gt; 50 OLS model'!$B$7*E69</f>
        <v>1877.032880302216</v>
      </c>
      <c r="R69" s="20">
        <f>'GS &gt; 50 OLS model'!$B$8*F69</f>
        <v>1924644.7777829499</v>
      </c>
      <c r="S69" s="20">
        <f>'GS &gt; 50 OLS model'!$B$9*G69</f>
        <v>12950037.884508612</v>
      </c>
      <c r="T69" s="20">
        <f>'GS &gt; 50 OLS model'!$B$10*H69</f>
        <v>874513.53653163835</v>
      </c>
      <c r="U69" s="20">
        <f>'GS &gt; 50 OLS model'!$B$11*I69</f>
        <v>0</v>
      </c>
      <c r="V69" s="20">
        <f>'GS &gt; 50 OLS model'!$B$12*J69</f>
        <v>1257541.23571065</v>
      </c>
      <c r="W69" s="20">
        <f>'GS &gt; 50 OLS model'!$B$13*K69</f>
        <v>0</v>
      </c>
      <c r="X69" s="20">
        <f>'GS &gt; 50 OLS model'!$B$14*L69</f>
        <v>0</v>
      </c>
      <c r="Y69" s="20">
        <f>'GS &gt; 50 OLS model'!$B$15*M69</f>
        <v>0</v>
      </c>
      <c r="Z69" s="20">
        <f t="shared" si="7"/>
        <v>16108770.807935782</v>
      </c>
      <c r="AA69" s="23">
        <f t="shared" ca="1" si="5"/>
        <v>3.5690395248610715E-2</v>
      </c>
    </row>
    <row r="70" spans="1:27" ht="14.4" x14ac:dyDescent="0.3">
      <c r="A70" s="22">
        <f>'Monthly Data'!A70</f>
        <v>41883</v>
      </c>
      <c r="B70" s="6">
        <f t="shared" si="6"/>
        <v>2014</v>
      </c>
      <c r="C70" s="20">
        <f ca="1">'Monthly Data'!N70</f>
        <v>15488003.303288059</v>
      </c>
      <c r="D70" s="20">
        <f>'Monthly Data'!P70</f>
        <v>214</v>
      </c>
      <c r="E70" s="6">
        <f>'Monthly Data'!AG70</f>
        <v>57.20000000000001</v>
      </c>
      <c r="F70" s="6">
        <f>'Monthly Data'!AH70</f>
        <v>50.499999999999979</v>
      </c>
      <c r="G70" s="6">
        <f>'Monthly Data'!AJ70</f>
        <v>156.6</v>
      </c>
      <c r="H70" s="6">
        <f>'Monthly Data'!AN70</f>
        <v>69</v>
      </c>
      <c r="I70" s="6">
        <f>'Monthly Data'!AW70</f>
        <v>1</v>
      </c>
      <c r="J70" s="6">
        <f>'Monthly Data'!AV70</f>
        <v>0</v>
      </c>
      <c r="K70" s="6">
        <f>'Monthly Data'!AW70</f>
        <v>1</v>
      </c>
      <c r="L70" s="6">
        <f>'Monthly Data'!AX70</f>
        <v>0</v>
      </c>
      <c r="M70" s="6">
        <f>'Monthly Data'!AY70</f>
        <v>0</v>
      </c>
      <c r="O70" s="20">
        <f>'GS &gt; 50 OLS model'!$B$5</f>
        <v>-11694573.8944258</v>
      </c>
      <c r="P70" s="20">
        <f>'GS &gt; 50 OLS model'!$B$6*D70</f>
        <v>10845409.719618546</v>
      </c>
      <c r="Q70" s="20">
        <f>'GS &gt; 50 OLS model'!$B$7*E70</f>
        <v>153380.40107612396</v>
      </c>
      <c r="R70" s="20">
        <f>'GS &gt; 50 OLS model'!$B$8*F70</f>
        <v>746502.00674377079</v>
      </c>
      <c r="S70" s="20">
        <f>'GS &gt; 50 OLS model'!$B$9*G70</f>
        <v>13126057.816919409</v>
      </c>
      <c r="T70" s="20">
        <f>'GS &gt; 50 OLS model'!$B$10*H70</f>
        <v>887374.0297159272</v>
      </c>
      <c r="U70" s="20">
        <f>'GS &gt; 50 OLS model'!$B$11*I70</f>
        <v>-797686.81375559501</v>
      </c>
      <c r="V70" s="20">
        <f>'GS &gt; 50 OLS model'!$B$12*J70</f>
        <v>0</v>
      </c>
      <c r="W70" s="20">
        <f>'GS &gt; 50 OLS model'!$B$13*K70</f>
        <v>1979532.62008895</v>
      </c>
      <c r="X70" s="20">
        <f>'GS &gt; 50 OLS model'!$B$14*L70</f>
        <v>0</v>
      </c>
      <c r="Y70" s="20">
        <f>'GS &gt; 50 OLS model'!$B$15*M70</f>
        <v>0</v>
      </c>
      <c r="Z70" s="20">
        <f t="shared" si="7"/>
        <v>15245995.885981333</v>
      </c>
      <c r="AA70" s="23">
        <f t="shared" ca="1" si="5"/>
        <v>1.5625475574075409E-2</v>
      </c>
    </row>
    <row r="71" spans="1:27" ht="14.4" x14ac:dyDescent="0.3">
      <c r="A71" s="22">
        <f>'Monthly Data'!A71</f>
        <v>41913</v>
      </c>
      <c r="B71" s="6">
        <f t="shared" si="6"/>
        <v>2014</v>
      </c>
      <c r="C71" s="20">
        <f ca="1">'Monthly Data'!N71</f>
        <v>14136513.320189355</v>
      </c>
      <c r="D71" s="20">
        <f>'Monthly Data'!P71</f>
        <v>214</v>
      </c>
      <c r="E71" s="6">
        <f>'Monthly Data'!AG71</f>
        <v>179.7</v>
      </c>
      <c r="F71" s="6">
        <f>'Monthly Data'!AH71</f>
        <v>3.9</v>
      </c>
      <c r="G71" s="6">
        <f>'Monthly Data'!AJ71</f>
        <v>158.30000000000001</v>
      </c>
      <c r="H71" s="6">
        <f>'Monthly Data'!AN71</f>
        <v>70</v>
      </c>
      <c r="I71" s="6">
        <f>'Monthly Data'!AW71</f>
        <v>0</v>
      </c>
      <c r="J71" s="6">
        <f>'Monthly Data'!AV71</f>
        <v>0</v>
      </c>
      <c r="K71" s="6">
        <f>'Monthly Data'!AW71</f>
        <v>0</v>
      </c>
      <c r="L71" s="6">
        <f>'Monthly Data'!AX71</f>
        <v>1</v>
      </c>
      <c r="M71" s="6">
        <f>'Monthly Data'!AY71</f>
        <v>0</v>
      </c>
      <c r="O71" s="20">
        <f>'GS &gt; 50 OLS model'!$B$5</f>
        <v>-11694573.8944258</v>
      </c>
      <c r="P71" s="20">
        <f>'GS &gt; 50 OLS model'!$B$6*D71</f>
        <v>10845409.719618546</v>
      </c>
      <c r="Q71" s="20">
        <f>'GS &gt; 50 OLS model'!$B$7*E71</f>
        <v>481861.15512901172</v>
      </c>
      <c r="R71" s="20">
        <f>'GS &gt; 50 OLS model'!$B$8*F71</f>
        <v>57650.650025756579</v>
      </c>
      <c r="S71" s="20">
        <f>'GS &gt; 50 OLS model'!$B$9*G71</f>
        <v>13268550.143156722</v>
      </c>
      <c r="T71" s="20">
        <f>'GS &gt; 50 OLS model'!$B$10*H71</f>
        <v>900234.52290021605</v>
      </c>
      <c r="U71" s="20">
        <f>'GS &gt; 50 OLS model'!$B$11*I71</f>
        <v>0</v>
      </c>
      <c r="V71" s="20">
        <f>'GS &gt; 50 OLS model'!$B$12*J71</f>
        <v>0</v>
      </c>
      <c r="W71" s="20">
        <f>'GS &gt; 50 OLS model'!$B$13*K71</f>
        <v>0</v>
      </c>
      <c r="X71" s="20">
        <f>'GS &gt; 50 OLS model'!$B$14*L71</f>
        <v>1466841.9423256</v>
      </c>
      <c r="Y71" s="20">
        <f>'GS &gt; 50 OLS model'!$B$15*M71</f>
        <v>0</v>
      </c>
      <c r="Z71" s="20">
        <f t="shared" si="7"/>
        <v>15325974.238730052</v>
      </c>
      <c r="AA71" s="23">
        <f t="shared" ca="1" si="5"/>
        <v>8.41410389959414E-2</v>
      </c>
    </row>
    <row r="72" spans="1:27" ht="14.4" x14ac:dyDescent="0.3">
      <c r="A72" s="22">
        <f>'Monthly Data'!A72</f>
        <v>41944</v>
      </c>
      <c r="B72" s="6">
        <f t="shared" si="6"/>
        <v>2014</v>
      </c>
      <c r="C72" s="20">
        <f ca="1">'Monthly Data'!N72</f>
        <v>14316064.015974456</v>
      </c>
      <c r="D72" s="20">
        <f>'Monthly Data'!P72</f>
        <v>203</v>
      </c>
      <c r="E72" s="6">
        <f>'Monthly Data'!AG72</f>
        <v>442</v>
      </c>
      <c r="F72" s="6">
        <f>'Monthly Data'!AH72</f>
        <v>0</v>
      </c>
      <c r="G72" s="6">
        <f>'Monthly Data'!AJ72</f>
        <v>159.30000000000001</v>
      </c>
      <c r="H72" s="6">
        <f>'Monthly Data'!AN72</f>
        <v>71</v>
      </c>
      <c r="I72" s="6">
        <f>'Monthly Data'!AW72</f>
        <v>0</v>
      </c>
      <c r="J72" s="6">
        <f>'Monthly Data'!AV72</f>
        <v>0</v>
      </c>
      <c r="K72" s="6">
        <f>'Monthly Data'!AW72</f>
        <v>0</v>
      </c>
      <c r="L72" s="6">
        <f>'Monthly Data'!AX72</f>
        <v>0</v>
      </c>
      <c r="M72" s="6">
        <f>'Monthly Data'!AY72</f>
        <v>1</v>
      </c>
      <c r="O72" s="20">
        <f>'GS &gt; 50 OLS model'!$B$5</f>
        <v>-11694573.8944258</v>
      </c>
      <c r="P72" s="20">
        <f>'GS &gt; 50 OLS model'!$B$6*D72</f>
        <v>10287935.388236284</v>
      </c>
      <c r="Q72" s="20">
        <f>'GS &gt; 50 OLS model'!$B$7*E72</f>
        <v>1185212.190133685</v>
      </c>
      <c r="R72" s="20">
        <f>'GS &gt; 50 OLS model'!$B$8*F72</f>
        <v>0</v>
      </c>
      <c r="S72" s="20">
        <f>'GS &gt; 50 OLS model'!$B$9*G72</f>
        <v>13352369.158590434</v>
      </c>
      <c r="T72" s="20">
        <f>'GS &gt; 50 OLS model'!$B$10*H72</f>
        <v>913095.01608450478</v>
      </c>
      <c r="U72" s="20">
        <f>'GS &gt; 50 OLS model'!$B$11*I72</f>
        <v>0</v>
      </c>
      <c r="V72" s="20">
        <f>'GS &gt; 50 OLS model'!$B$12*J72</f>
        <v>0</v>
      </c>
      <c r="W72" s="20">
        <f>'GS &gt; 50 OLS model'!$B$13*K72</f>
        <v>0</v>
      </c>
      <c r="X72" s="20">
        <f>'GS &gt; 50 OLS model'!$B$14*L72</f>
        <v>0</v>
      </c>
      <c r="Y72" s="20">
        <f>'GS &gt; 50 OLS model'!$B$15*M72</f>
        <v>671693.73401239095</v>
      </c>
      <c r="Z72" s="20">
        <f t="shared" si="7"/>
        <v>14715731.5926315</v>
      </c>
      <c r="AA72" s="23">
        <f t="shared" ca="1" si="5"/>
        <v>2.7917420333625091E-2</v>
      </c>
    </row>
    <row r="73" spans="1:27" ht="14.4" x14ac:dyDescent="0.3">
      <c r="A73" s="22">
        <f>'Monthly Data'!A73</f>
        <v>41974</v>
      </c>
      <c r="B73" s="6">
        <f t="shared" si="6"/>
        <v>2014</v>
      </c>
      <c r="C73" s="20">
        <f ca="1">'Monthly Data'!N73</f>
        <v>14393324.346090155</v>
      </c>
      <c r="D73" s="20">
        <f>'Monthly Data'!P73</f>
        <v>207</v>
      </c>
      <c r="E73" s="6">
        <f>'Monthly Data'!AG73</f>
        <v>513.9</v>
      </c>
      <c r="F73" s="6">
        <f>'Monthly Data'!AH73</f>
        <v>0</v>
      </c>
      <c r="G73" s="6">
        <f>'Monthly Data'!AJ73</f>
        <v>161.1</v>
      </c>
      <c r="H73" s="6">
        <f>'Monthly Data'!AN73</f>
        <v>72</v>
      </c>
      <c r="I73" s="6">
        <f>'Monthly Data'!AW73</f>
        <v>0</v>
      </c>
      <c r="J73" s="6">
        <f>'Monthly Data'!AV73</f>
        <v>0</v>
      </c>
      <c r="K73" s="6">
        <f>'Monthly Data'!AW73</f>
        <v>0</v>
      </c>
      <c r="L73" s="6">
        <f>'Monthly Data'!AX73</f>
        <v>0</v>
      </c>
      <c r="M73" s="6">
        <f>'Monthly Data'!AY73</f>
        <v>0</v>
      </c>
      <c r="O73" s="20">
        <f>'GS &gt; 50 OLS model'!$B$5</f>
        <v>-11694573.8944258</v>
      </c>
      <c r="P73" s="20">
        <f>'GS &gt; 50 OLS model'!$B$6*D73</f>
        <v>10490653.326920742</v>
      </c>
      <c r="Q73" s="20">
        <f>'GS &gt; 50 OLS model'!$B$7*E73</f>
        <v>1378010.2816961554</v>
      </c>
      <c r="R73" s="20">
        <f>'GS &gt; 50 OLS model'!$B$8*F73</f>
        <v>0</v>
      </c>
      <c r="S73" s="20">
        <f>'GS &gt; 50 OLS model'!$B$9*G73</f>
        <v>13503243.386371115</v>
      </c>
      <c r="T73" s="20">
        <f>'GS &gt; 50 OLS model'!$B$10*H73</f>
        <v>925955.50926879363</v>
      </c>
      <c r="U73" s="20">
        <f>'GS &gt; 50 OLS model'!$B$11*I73</f>
        <v>0</v>
      </c>
      <c r="V73" s="20">
        <f>'GS &gt; 50 OLS model'!$B$12*J73</f>
        <v>0</v>
      </c>
      <c r="W73" s="20">
        <f>'GS &gt; 50 OLS model'!$B$13*K73</f>
        <v>0</v>
      </c>
      <c r="X73" s="20">
        <f>'GS &gt; 50 OLS model'!$B$14*L73</f>
        <v>0</v>
      </c>
      <c r="Y73" s="20">
        <f>'GS &gt; 50 OLS model'!$B$15*M73</f>
        <v>0</v>
      </c>
      <c r="Z73" s="20">
        <f t="shared" si="7"/>
        <v>14603288.609831007</v>
      </c>
      <c r="AA73" s="23">
        <f t="shared" ca="1" si="5"/>
        <v>1.4587614278134974E-2</v>
      </c>
    </row>
    <row r="74" spans="1:27" ht="14.4" x14ac:dyDescent="0.3">
      <c r="A74" s="22">
        <f>'Monthly Data'!A74</f>
        <v>42005</v>
      </c>
      <c r="B74" s="6">
        <f t="shared" si="6"/>
        <v>2015</v>
      </c>
      <c r="C74" s="20">
        <f ca="1">'Monthly Data'!N74</f>
        <v>15177771.982996177</v>
      </c>
      <c r="D74" s="20">
        <f>'Monthly Data'!P74</f>
        <v>210</v>
      </c>
      <c r="E74" s="6">
        <f>'Monthly Data'!AG74</f>
        <v>724.69999999999982</v>
      </c>
      <c r="F74" s="6">
        <f>'Monthly Data'!AH74</f>
        <v>0</v>
      </c>
      <c r="G74" s="6">
        <f>'Monthly Data'!AJ74</f>
        <v>159.30000000000001</v>
      </c>
      <c r="H74" s="6">
        <f>'Monthly Data'!AN74</f>
        <v>73</v>
      </c>
      <c r="I74" s="6">
        <f>'Monthly Data'!AW74</f>
        <v>0</v>
      </c>
      <c r="J74" s="6">
        <f>'Monthly Data'!AV74</f>
        <v>0</v>
      </c>
      <c r="K74" s="6">
        <f>'Monthly Data'!AW74</f>
        <v>0</v>
      </c>
      <c r="L74" s="6">
        <f>'Monthly Data'!AX74</f>
        <v>0</v>
      </c>
      <c r="M74" s="6">
        <f>'Monthly Data'!AY74</f>
        <v>0</v>
      </c>
      <c r="O74" s="20">
        <f>'GS &gt; 50 OLS model'!$B$5</f>
        <v>-11694573.8944258</v>
      </c>
      <c r="P74" s="20">
        <f>'GS &gt; 50 OLS model'!$B$6*D74</f>
        <v>10642691.780934086</v>
      </c>
      <c r="Q74" s="20">
        <f>'GS &gt; 50 OLS model'!$B$7*E74</f>
        <v>1943265.3262214509</v>
      </c>
      <c r="R74" s="20">
        <f>'GS &gt; 50 OLS model'!$B$8*F74</f>
        <v>0</v>
      </c>
      <c r="S74" s="20">
        <f>'GS &gt; 50 OLS model'!$B$9*G74</f>
        <v>13352369.158590434</v>
      </c>
      <c r="T74" s="20">
        <f>'GS &gt; 50 OLS model'!$B$10*H74</f>
        <v>938816.00245308236</v>
      </c>
      <c r="U74" s="20">
        <f>'GS &gt; 50 OLS model'!$B$11*I74</f>
        <v>0</v>
      </c>
      <c r="V74" s="20">
        <f>'GS &gt; 50 OLS model'!$B$12*J74</f>
        <v>0</v>
      </c>
      <c r="W74" s="20">
        <f>'GS &gt; 50 OLS model'!$B$13*K74</f>
        <v>0</v>
      </c>
      <c r="X74" s="20">
        <f>'GS &gt; 50 OLS model'!$B$14*L74</f>
        <v>0</v>
      </c>
      <c r="Y74" s="20">
        <f>'GS &gt; 50 OLS model'!$B$15*M74</f>
        <v>0</v>
      </c>
      <c r="Z74" s="20">
        <f t="shared" si="7"/>
        <v>15182568.373773254</v>
      </c>
      <c r="AA74" s="23">
        <f t="shared" ca="1" si="5"/>
        <v>3.1601415428107461E-4</v>
      </c>
    </row>
    <row r="75" spans="1:27" ht="14.4" x14ac:dyDescent="0.3">
      <c r="A75" s="22">
        <f>'Monthly Data'!A75</f>
        <v>42036</v>
      </c>
      <c r="B75" s="6">
        <f t="shared" si="6"/>
        <v>2015</v>
      </c>
      <c r="C75" s="20">
        <f ca="1">'Monthly Data'!N75</f>
        <v>13603697.950717775</v>
      </c>
      <c r="D75" s="20">
        <f>'Monthly Data'!P75</f>
        <v>209</v>
      </c>
      <c r="E75" s="6">
        <f>'Monthly Data'!AG75</f>
        <v>757.39999999999986</v>
      </c>
      <c r="F75" s="6">
        <f>'Monthly Data'!AH75</f>
        <v>0</v>
      </c>
      <c r="G75" s="6">
        <f>'Monthly Data'!AJ75</f>
        <v>159.1</v>
      </c>
      <c r="H75" s="6">
        <f>'Monthly Data'!AN75</f>
        <v>74</v>
      </c>
      <c r="I75" s="6">
        <f>'Monthly Data'!AW75</f>
        <v>0</v>
      </c>
      <c r="J75" s="6">
        <f>'Monthly Data'!AV75</f>
        <v>0</v>
      </c>
      <c r="K75" s="6">
        <f>'Monthly Data'!AW75</f>
        <v>0</v>
      </c>
      <c r="L75" s="6">
        <f>'Monthly Data'!AX75</f>
        <v>0</v>
      </c>
      <c r="M75" s="6">
        <f>'Monthly Data'!AY75</f>
        <v>0</v>
      </c>
      <c r="O75" s="20">
        <f>'GS &gt; 50 OLS model'!$B$5</f>
        <v>-11694573.8944258</v>
      </c>
      <c r="P75" s="20">
        <f>'GS &gt; 50 OLS model'!$B$6*D75</f>
        <v>10592012.296262972</v>
      </c>
      <c r="Q75" s="20">
        <f>'GS &gt; 50 OLS model'!$B$7*E75</f>
        <v>2030949.5764869973</v>
      </c>
      <c r="R75" s="20">
        <f>'GS &gt; 50 OLS model'!$B$8*F75</f>
        <v>0</v>
      </c>
      <c r="S75" s="20">
        <f>'GS &gt; 50 OLS model'!$B$9*G75</f>
        <v>13335605.355503691</v>
      </c>
      <c r="T75" s="20">
        <f>'GS &gt; 50 OLS model'!$B$10*H75</f>
        <v>951676.4956373712</v>
      </c>
      <c r="U75" s="20">
        <f>'GS &gt; 50 OLS model'!$B$11*I75</f>
        <v>0</v>
      </c>
      <c r="V75" s="20">
        <f>'GS &gt; 50 OLS model'!$B$12*J75</f>
        <v>0</v>
      </c>
      <c r="W75" s="20">
        <f>'GS &gt; 50 OLS model'!$B$13*K75</f>
        <v>0</v>
      </c>
      <c r="X75" s="20">
        <f>'GS &gt; 50 OLS model'!$B$14*L75</f>
        <v>0</v>
      </c>
      <c r="Y75" s="20">
        <f>'GS &gt; 50 OLS model'!$B$15*M75</f>
        <v>0</v>
      </c>
      <c r="Z75" s="20">
        <f t="shared" si="7"/>
        <v>15215669.829465233</v>
      </c>
      <c r="AA75" s="23">
        <f t="shared" ca="1" si="5"/>
        <v>0.1184951242365981</v>
      </c>
    </row>
    <row r="76" spans="1:27" ht="14.4" x14ac:dyDescent="0.3">
      <c r="A76" s="22">
        <f>'Monthly Data'!A76</f>
        <v>42064</v>
      </c>
      <c r="B76" s="6">
        <f t="shared" si="6"/>
        <v>2015</v>
      </c>
      <c r="C76" s="20">
        <f ca="1">'Monthly Data'!N76</f>
        <v>14133898.267234076</v>
      </c>
      <c r="D76" s="20">
        <f>'Monthly Data'!P76</f>
        <v>209</v>
      </c>
      <c r="E76" s="6">
        <f>'Monthly Data'!AG76</f>
        <v>508.7</v>
      </c>
      <c r="F76" s="6">
        <f>'Monthly Data'!AH76</f>
        <v>0</v>
      </c>
      <c r="G76" s="6">
        <f>'Monthly Data'!AJ76</f>
        <v>156.1</v>
      </c>
      <c r="H76" s="6">
        <f>'Monthly Data'!AN76</f>
        <v>75</v>
      </c>
      <c r="I76" s="6">
        <f>'Monthly Data'!AW76</f>
        <v>0</v>
      </c>
      <c r="J76" s="6">
        <f>'Monthly Data'!AV76</f>
        <v>0</v>
      </c>
      <c r="K76" s="6">
        <f>'Monthly Data'!AW76</f>
        <v>0</v>
      </c>
      <c r="L76" s="6">
        <f>'Monthly Data'!AX76</f>
        <v>0</v>
      </c>
      <c r="M76" s="6">
        <f>'Monthly Data'!AY76</f>
        <v>0</v>
      </c>
      <c r="O76" s="20">
        <f>'GS &gt; 50 OLS model'!$B$5</f>
        <v>-11694573.8944258</v>
      </c>
      <c r="P76" s="20">
        <f>'GS &gt; 50 OLS model'!$B$6*D76</f>
        <v>10592012.296262972</v>
      </c>
      <c r="Q76" s="20">
        <f>'GS &gt; 50 OLS model'!$B$7*E76</f>
        <v>1364066.6088710532</v>
      </c>
      <c r="R76" s="20">
        <f>'GS &gt; 50 OLS model'!$B$8*F76</f>
        <v>0</v>
      </c>
      <c r="S76" s="20">
        <f>'GS &gt; 50 OLS model'!$B$9*G76</f>
        <v>13084148.309202552</v>
      </c>
      <c r="T76" s="20">
        <f>'GS &gt; 50 OLS model'!$B$10*H76</f>
        <v>964536.98882166005</v>
      </c>
      <c r="U76" s="20">
        <f>'GS &gt; 50 OLS model'!$B$11*I76</f>
        <v>0</v>
      </c>
      <c r="V76" s="20">
        <f>'GS &gt; 50 OLS model'!$B$12*J76</f>
        <v>0</v>
      </c>
      <c r="W76" s="20">
        <f>'GS &gt; 50 OLS model'!$B$13*K76</f>
        <v>0</v>
      </c>
      <c r="X76" s="20">
        <f>'GS &gt; 50 OLS model'!$B$14*L76</f>
        <v>0</v>
      </c>
      <c r="Y76" s="20">
        <f>'GS &gt; 50 OLS model'!$B$15*M76</f>
        <v>0</v>
      </c>
      <c r="Z76" s="20">
        <f t="shared" si="7"/>
        <v>14310190.308732437</v>
      </c>
      <c r="AA76" s="23">
        <f t="shared" ca="1" si="5"/>
        <v>1.2472994934953675E-2</v>
      </c>
    </row>
    <row r="77" spans="1:27" ht="14.4" x14ac:dyDescent="0.3">
      <c r="A77" s="22">
        <f>'Monthly Data'!A77</f>
        <v>42095</v>
      </c>
      <c r="B77" s="6">
        <f t="shared" si="6"/>
        <v>2015</v>
      </c>
      <c r="C77" s="20">
        <f ca="1">'Monthly Data'!N77</f>
        <v>13435674.575831477</v>
      </c>
      <c r="D77" s="20">
        <f>'Monthly Data'!P77</f>
        <v>209</v>
      </c>
      <c r="E77" s="6">
        <f>'Monthly Data'!AG77</f>
        <v>257.39999999999992</v>
      </c>
      <c r="F77" s="6">
        <f>'Monthly Data'!AH77</f>
        <v>0</v>
      </c>
      <c r="G77" s="6">
        <f>'Monthly Data'!AJ77</f>
        <v>156.4</v>
      </c>
      <c r="H77" s="6">
        <f>'Monthly Data'!AN77</f>
        <v>76</v>
      </c>
      <c r="I77" s="6">
        <f>'Monthly Data'!AW77</f>
        <v>0</v>
      </c>
      <c r="J77" s="6">
        <f>'Monthly Data'!AV77</f>
        <v>0</v>
      </c>
      <c r="K77" s="6">
        <f>'Monthly Data'!AW77</f>
        <v>0</v>
      </c>
      <c r="L77" s="6">
        <f>'Monthly Data'!AX77</f>
        <v>0</v>
      </c>
      <c r="M77" s="6">
        <f>'Monthly Data'!AY77</f>
        <v>0</v>
      </c>
      <c r="O77" s="20">
        <f>'GS &gt; 50 OLS model'!$B$5</f>
        <v>-11694573.8944258</v>
      </c>
      <c r="P77" s="20">
        <f>'GS &gt; 50 OLS model'!$B$6*D77</f>
        <v>10592012.296262972</v>
      </c>
      <c r="Q77" s="20">
        <f>'GS &gt; 50 OLS model'!$B$7*E77</f>
        <v>690211.80484255753</v>
      </c>
      <c r="R77" s="20">
        <f>'GS &gt; 50 OLS model'!$B$8*F77</f>
        <v>0</v>
      </c>
      <c r="S77" s="20">
        <f>'GS &gt; 50 OLS model'!$B$9*G77</f>
        <v>13109294.013832668</v>
      </c>
      <c r="T77" s="20">
        <f>'GS &gt; 50 OLS model'!$B$10*H77</f>
        <v>977397.48200594878</v>
      </c>
      <c r="U77" s="20">
        <f>'GS &gt; 50 OLS model'!$B$11*I77</f>
        <v>0</v>
      </c>
      <c r="V77" s="20">
        <f>'GS &gt; 50 OLS model'!$B$12*J77</f>
        <v>0</v>
      </c>
      <c r="W77" s="20">
        <f>'GS &gt; 50 OLS model'!$B$13*K77</f>
        <v>0</v>
      </c>
      <c r="X77" s="20">
        <f>'GS &gt; 50 OLS model'!$B$14*L77</f>
        <v>0</v>
      </c>
      <c r="Y77" s="20">
        <f>'GS &gt; 50 OLS model'!$B$15*M77</f>
        <v>0</v>
      </c>
      <c r="Z77" s="20">
        <f t="shared" si="7"/>
        <v>13674341.702518346</v>
      </c>
      <c r="AA77" s="23">
        <f t="shared" ca="1" si="5"/>
        <v>1.7763687661518038E-2</v>
      </c>
    </row>
    <row r="78" spans="1:27" ht="14.4" x14ac:dyDescent="0.3">
      <c r="A78" s="22">
        <f>'Monthly Data'!A78</f>
        <v>42125</v>
      </c>
      <c r="B78" s="6">
        <f t="shared" si="6"/>
        <v>2015</v>
      </c>
      <c r="C78" s="20">
        <f ca="1">'Monthly Data'!N78</f>
        <v>14011800.138445877</v>
      </c>
      <c r="D78" s="20">
        <f>'Monthly Data'!P78</f>
        <v>209</v>
      </c>
      <c r="E78" s="6">
        <f>'Monthly Data'!AG78</f>
        <v>68.7</v>
      </c>
      <c r="F78" s="6">
        <f>'Monthly Data'!AH78</f>
        <v>64.099999999999994</v>
      </c>
      <c r="G78" s="6">
        <f>'Monthly Data'!AJ78</f>
        <v>159.1</v>
      </c>
      <c r="H78" s="6">
        <f>'Monthly Data'!AN78</f>
        <v>77</v>
      </c>
      <c r="I78" s="6">
        <f>'Monthly Data'!AW78</f>
        <v>0</v>
      </c>
      <c r="J78" s="6">
        <f>'Monthly Data'!AV78</f>
        <v>0</v>
      </c>
      <c r="K78" s="6">
        <f>'Monthly Data'!AW78</f>
        <v>0</v>
      </c>
      <c r="L78" s="6">
        <f>'Monthly Data'!AX78</f>
        <v>0</v>
      </c>
      <c r="M78" s="6">
        <f>'Monthly Data'!AY78</f>
        <v>0</v>
      </c>
      <c r="O78" s="20">
        <f>'GS &gt; 50 OLS model'!$B$5</f>
        <v>-11694573.8944258</v>
      </c>
      <c r="P78" s="20">
        <f>'GS &gt; 50 OLS model'!$B$6*D78</f>
        <v>10592012.296262972</v>
      </c>
      <c r="Q78" s="20">
        <f>'GS &gt; 50 OLS model'!$B$7*E78</f>
        <v>184217.36982394606</v>
      </c>
      <c r="R78" s="20">
        <f>'GS &gt; 50 OLS model'!$B$8*F78</f>
        <v>947540.17093615292</v>
      </c>
      <c r="S78" s="20">
        <f>'GS &gt; 50 OLS model'!$B$9*G78</f>
        <v>13335605.355503691</v>
      </c>
      <c r="T78" s="20">
        <f>'GS &gt; 50 OLS model'!$B$10*H78</f>
        <v>990257.97519023763</v>
      </c>
      <c r="U78" s="20">
        <f>'GS &gt; 50 OLS model'!$B$11*I78</f>
        <v>0</v>
      </c>
      <c r="V78" s="20">
        <f>'GS &gt; 50 OLS model'!$B$12*J78</f>
        <v>0</v>
      </c>
      <c r="W78" s="20">
        <f>'GS &gt; 50 OLS model'!$B$13*K78</f>
        <v>0</v>
      </c>
      <c r="X78" s="20">
        <f>'GS &gt; 50 OLS model'!$B$14*L78</f>
        <v>0</v>
      </c>
      <c r="Y78" s="20">
        <f>'GS &gt; 50 OLS model'!$B$15*M78</f>
        <v>0</v>
      </c>
      <c r="Z78" s="20">
        <f t="shared" si="7"/>
        <v>14355059.2732912</v>
      </c>
      <c r="AA78" s="23">
        <f t="shared" ca="1" si="5"/>
        <v>2.4497861192259097E-2</v>
      </c>
    </row>
    <row r="79" spans="1:27" ht="14.4" x14ac:dyDescent="0.3">
      <c r="A79" s="22">
        <f>'Monthly Data'!A79</f>
        <v>42156</v>
      </c>
      <c r="B79" s="6">
        <f t="shared" si="6"/>
        <v>2015</v>
      </c>
      <c r="C79" s="20">
        <f ca="1">'Monthly Data'!N79</f>
        <v>14704464.368572976</v>
      </c>
      <c r="D79" s="20">
        <f>'Monthly Data'!P79</f>
        <v>210</v>
      </c>
      <c r="E79" s="6">
        <f>'Monthly Data'!AG79</f>
        <v>13.1</v>
      </c>
      <c r="F79" s="6">
        <f>'Monthly Data'!AH79</f>
        <v>89.59999999999998</v>
      </c>
      <c r="G79" s="6">
        <f>'Monthly Data'!AJ79</f>
        <v>163.9</v>
      </c>
      <c r="H79" s="6">
        <f>'Monthly Data'!AN79</f>
        <v>78</v>
      </c>
      <c r="I79" s="6">
        <f>'Monthly Data'!AW79</f>
        <v>0</v>
      </c>
      <c r="J79" s="6">
        <f>'Monthly Data'!AV79</f>
        <v>0</v>
      </c>
      <c r="K79" s="6">
        <f>'Monthly Data'!AW79</f>
        <v>0</v>
      </c>
      <c r="L79" s="6">
        <f>'Monthly Data'!AX79</f>
        <v>0</v>
      </c>
      <c r="M79" s="6">
        <f>'Monthly Data'!AY79</f>
        <v>0</v>
      </c>
      <c r="O79" s="20">
        <f>'GS &gt; 50 OLS model'!$B$5</f>
        <v>-11694573.8944258</v>
      </c>
      <c r="P79" s="20">
        <f>'GS &gt; 50 OLS model'!$B$6*D79</f>
        <v>10642691.780934086</v>
      </c>
      <c r="Q79" s="20">
        <f>'GS &gt; 50 OLS model'!$B$7*E79</f>
        <v>35127.329617084331</v>
      </c>
      <c r="R79" s="20">
        <f>'GS &gt; 50 OLS model'!$B$8*F79</f>
        <v>1324486.7287968688</v>
      </c>
      <c r="S79" s="20">
        <f>'GS &gt; 50 OLS model'!$B$9*G79</f>
        <v>13737936.629585512</v>
      </c>
      <c r="T79" s="20">
        <f>'GS &gt; 50 OLS model'!$B$10*H79</f>
        <v>1003118.4683745264</v>
      </c>
      <c r="U79" s="20">
        <f>'GS &gt; 50 OLS model'!$B$11*I79</f>
        <v>0</v>
      </c>
      <c r="V79" s="20">
        <f>'GS &gt; 50 OLS model'!$B$12*J79</f>
        <v>0</v>
      </c>
      <c r="W79" s="20">
        <f>'GS &gt; 50 OLS model'!$B$13*K79</f>
        <v>0</v>
      </c>
      <c r="X79" s="20">
        <f>'GS &gt; 50 OLS model'!$B$14*L79</f>
        <v>0</v>
      </c>
      <c r="Y79" s="20">
        <f>'GS &gt; 50 OLS model'!$B$15*M79</f>
        <v>0</v>
      </c>
      <c r="Z79" s="20">
        <f t="shared" si="7"/>
        <v>15048787.042882277</v>
      </c>
      <c r="AA79" s="23">
        <f t="shared" ca="1" si="5"/>
        <v>2.3416199711782888E-2</v>
      </c>
    </row>
    <row r="80" spans="1:27" ht="14.4" x14ac:dyDescent="0.3">
      <c r="A80" s="22">
        <f>'Monthly Data'!A80</f>
        <v>42186</v>
      </c>
      <c r="B80" s="6">
        <f t="shared" si="6"/>
        <v>2015</v>
      </c>
      <c r="C80" s="20">
        <f ca="1">'Monthly Data'!N80</f>
        <v>17048932.617466077</v>
      </c>
      <c r="D80" s="20">
        <f>'Monthly Data'!P80</f>
        <v>211</v>
      </c>
      <c r="E80" s="6">
        <f>'Monthly Data'!AG80</f>
        <v>1.9</v>
      </c>
      <c r="F80" s="6">
        <f>'Monthly Data'!AH80</f>
        <v>152.89999999999998</v>
      </c>
      <c r="G80" s="6">
        <f>'Monthly Data'!AJ80</f>
        <v>164.8</v>
      </c>
      <c r="H80" s="6">
        <f>'Monthly Data'!AN80</f>
        <v>79</v>
      </c>
      <c r="I80" s="6">
        <f>'Monthly Data'!AW80</f>
        <v>0</v>
      </c>
      <c r="J80" s="6">
        <f>'Monthly Data'!AV80</f>
        <v>0</v>
      </c>
      <c r="K80" s="6">
        <f>'Monthly Data'!AW80</f>
        <v>0</v>
      </c>
      <c r="L80" s="6">
        <f>'Monthly Data'!AX80</f>
        <v>0</v>
      </c>
      <c r="M80" s="6">
        <f>'Monthly Data'!AY80</f>
        <v>0</v>
      </c>
      <c r="O80" s="20">
        <f>'GS &gt; 50 OLS model'!$B$5</f>
        <v>-11694573.8944258</v>
      </c>
      <c r="P80" s="20">
        <f>'GS &gt; 50 OLS model'!$B$6*D80</f>
        <v>10693371.2656052</v>
      </c>
      <c r="Q80" s="20">
        <f>'GS &gt; 50 OLS model'!$B$7*E80</f>
        <v>5094.8035322488722</v>
      </c>
      <c r="R80" s="20">
        <f>'GS &gt; 50 OLS model'!$B$8*F80</f>
        <v>2260201.1253687642</v>
      </c>
      <c r="S80" s="20">
        <f>'GS &gt; 50 OLS model'!$B$9*G80</f>
        <v>13813373.743475854</v>
      </c>
      <c r="T80" s="20">
        <f>'GS &gt; 50 OLS model'!$B$10*H80</f>
        <v>1015978.9615588152</v>
      </c>
      <c r="U80" s="20">
        <f>'GS &gt; 50 OLS model'!$B$11*I80</f>
        <v>0</v>
      </c>
      <c r="V80" s="20">
        <f>'GS &gt; 50 OLS model'!$B$12*J80</f>
        <v>0</v>
      </c>
      <c r="W80" s="20">
        <f>'GS &gt; 50 OLS model'!$B$13*K80</f>
        <v>0</v>
      </c>
      <c r="X80" s="20">
        <f>'GS &gt; 50 OLS model'!$B$14*L80</f>
        <v>0</v>
      </c>
      <c r="Y80" s="20">
        <f>'GS &gt; 50 OLS model'!$B$15*M80</f>
        <v>0</v>
      </c>
      <c r="Z80" s="20">
        <f t="shared" si="7"/>
        <v>16093446.005115082</v>
      </c>
      <c r="AA80" s="23">
        <f t="shared" ca="1" si="5"/>
        <v>5.604377903236768E-2</v>
      </c>
    </row>
    <row r="81" spans="1:27" ht="14.4" x14ac:dyDescent="0.3">
      <c r="A81" s="22">
        <f>'Monthly Data'!A81</f>
        <v>42217</v>
      </c>
      <c r="B81" s="6">
        <f t="shared" si="6"/>
        <v>2015</v>
      </c>
      <c r="C81" s="20">
        <f ca="1">'Monthly Data'!N81</f>
        <v>17102513.859410278</v>
      </c>
      <c r="D81" s="20">
        <f>'Monthly Data'!P81</f>
        <v>213</v>
      </c>
      <c r="E81" s="6">
        <f>'Monthly Data'!AG81</f>
        <v>3.2</v>
      </c>
      <c r="F81" s="6">
        <f>'Monthly Data'!AH81</f>
        <v>138.69999999999999</v>
      </c>
      <c r="G81" s="6">
        <f>'Monthly Data'!AJ81</f>
        <v>160.80000000000001</v>
      </c>
      <c r="H81" s="6">
        <f>'Monthly Data'!AN81</f>
        <v>80</v>
      </c>
      <c r="I81" s="6">
        <f>'Monthly Data'!AW81</f>
        <v>0</v>
      </c>
      <c r="J81" s="6">
        <f>'Monthly Data'!AV81</f>
        <v>1</v>
      </c>
      <c r="K81" s="6">
        <f>'Monthly Data'!AW81</f>
        <v>0</v>
      </c>
      <c r="L81" s="6">
        <f>'Monthly Data'!AX81</f>
        <v>0</v>
      </c>
      <c r="M81" s="6">
        <f>'Monthly Data'!AY81</f>
        <v>0</v>
      </c>
      <c r="O81" s="20">
        <f>'GS &gt; 50 OLS model'!$B$5</f>
        <v>-11694573.8944258</v>
      </c>
      <c r="P81" s="20">
        <f>'GS &gt; 50 OLS model'!$B$6*D81</f>
        <v>10794730.23494743</v>
      </c>
      <c r="Q81" s="20">
        <f>'GS &gt; 50 OLS model'!$B$7*E81</f>
        <v>8580.7217385244167</v>
      </c>
      <c r="R81" s="20">
        <f>'GS &gt; 50 OLS model'!$B$8*F81</f>
        <v>2050293.630403189</v>
      </c>
      <c r="S81" s="20">
        <f>'GS &gt; 50 OLS model'!$B$9*G81</f>
        <v>13478097.681741003</v>
      </c>
      <c r="T81" s="20">
        <f>'GS &gt; 50 OLS model'!$B$10*H81</f>
        <v>1028839.4547431041</v>
      </c>
      <c r="U81" s="20">
        <f>'GS &gt; 50 OLS model'!$B$11*I81</f>
        <v>0</v>
      </c>
      <c r="V81" s="20">
        <f>'GS &gt; 50 OLS model'!$B$12*J81</f>
        <v>1257541.23571065</v>
      </c>
      <c r="W81" s="20">
        <f>'GS &gt; 50 OLS model'!$B$13*K81</f>
        <v>0</v>
      </c>
      <c r="X81" s="20">
        <f>'GS &gt; 50 OLS model'!$B$14*L81</f>
        <v>0</v>
      </c>
      <c r="Y81" s="20">
        <f>'GS &gt; 50 OLS model'!$B$15*M81</f>
        <v>0</v>
      </c>
      <c r="Z81" s="20">
        <f t="shared" si="7"/>
        <v>16923509.064858101</v>
      </c>
      <c r="AA81" s="23">
        <f t="shared" ca="1" si="5"/>
        <v>1.0466577955946738E-2</v>
      </c>
    </row>
    <row r="82" spans="1:27" ht="14.4" x14ac:dyDescent="0.3">
      <c r="A82" s="22">
        <f>'Monthly Data'!A82</f>
        <v>42248</v>
      </c>
      <c r="B82" s="6">
        <f t="shared" si="6"/>
        <v>2015</v>
      </c>
      <c r="C82" s="20">
        <f ca="1">'Monthly Data'!N82</f>
        <v>17704161.987049073</v>
      </c>
      <c r="D82" s="20">
        <f>'Monthly Data'!P82</f>
        <v>221</v>
      </c>
      <c r="E82" s="6">
        <f>'Monthly Data'!AG82</f>
        <v>10.8</v>
      </c>
      <c r="F82" s="6">
        <f>'Monthly Data'!AH82</f>
        <v>109.19999999999997</v>
      </c>
      <c r="G82" s="6">
        <f>'Monthly Data'!AJ82</f>
        <v>156.69999999999999</v>
      </c>
      <c r="H82" s="6">
        <f>'Monthly Data'!AN82</f>
        <v>81</v>
      </c>
      <c r="I82" s="6">
        <f>'Monthly Data'!AW82</f>
        <v>1</v>
      </c>
      <c r="J82" s="6">
        <f>'Monthly Data'!AV82</f>
        <v>0</v>
      </c>
      <c r="K82" s="6">
        <f>'Monthly Data'!AW82</f>
        <v>1</v>
      </c>
      <c r="L82" s="6">
        <f>'Monthly Data'!AX82</f>
        <v>0</v>
      </c>
      <c r="M82" s="6">
        <f>'Monthly Data'!AY82</f>
        <v>0</v>
      </c>
      <c r="O82" s="20">
        <f>'GS &gt; 50 OLS model'!$B$5</f>
        <v>-11694573.8944258</v>
      </c>
      <c r="P82" s="20">
        <f>'GS &gt; 50 OLS model'!$B$6*D82</f>
        <v>11200166.112316348</v>
      </c>
      <c r="Q82" s="20">
        <f>'GS &gt; 50 OLS model'!$B$7*E82</f>
        <v>28959.935867519907</v>
      </c>
      <c r="R82" s="20">
        <f>'GS &gt; 50 OLS model'!$B$8*F82</f>
        <v>1614218.2007211838</v>
      </c>
      <c r="S82" s="20">
        <f>'GS &gt; 50 OLS model'!$B$9*G82</f>
        <v>13134439.71846278</v>
      </c>
      <c r="T82" s="20">
        <f>'GS &gt; 50 OLS model'!$B$10*H82</f>
        <v>1041699.9479273928</v>
      </c>
      <c r="U82" s="20">
        <f>'GS &gt; 50 OLS model'!$B$11*I82</f>
        <v>-797686.81375559501</v>
      </c>
      <c r="V82" s="20">
        <f>'GS &gt; 50 OLS model'!$B$12*J82</f>
        <v>0</v>
      </c>
      <c r="W82" s="20">
        <f>'GS &gt; 50 OLS model'!$B$13*K82</f>
        <v>1979532.62008895</v>
      </c>
      <c r="X82" s="20">
        <f>'GS &gt; 50 OLS model'!$B$14*L82</f>
        <v>0</v>
      </c>
      <c r="Y82" s="20">
        <f>'GS &gt; 50 OLS model'!$B$15*M82</f>
        <v>0</v>
      </c>
      <c r="Z82" s="20">
        <f t="shared" si="7"/>
        <v>16506755.82720278</v>
      </c>
      <c r="AA82" s="23">
        <f t="shared" ca="1" si="5"/>
        <v>6.7634161996609488E-2</v>
      </c>
    </row>
    <row r="83" spans="1:27" ht="14.4" x14ac:dyDescent="0.3">
      <c r="A83" s="22">
        <f>'Monthly Data'!A83</f>
        <v>42278</v>
      </c>
      <c r="B83" s="6">
        <f t="shared" si="6"/>
        <v>2015</v>
      </c>
      <c r="C83" s="20">
        <f ca="1">'Monthly Data'!N83</f>
        <v>15731209.866388276</v>
      </c>
      <c r="D83" s="20">
        <f>'Monthly Data'!P83</f>
        <v>212</v>
      </c>
      <c r="E83" s="6">
        <f>'Monthly Data'!AG83</f>
        <v>157.80000000000001</v>
      </c>
      <c r="F83" s="6">
        <f>'Monthly Data'!AH83</f>
        <v>2.6</v>
      </c>
      <c r="G83" s="6">
        <f>'Monthly Data'!AJ83</f>
        <v>155.1</v>
      </c>
      <c r="H83" s="6">
        <f>'Monthly Data'!AN83</f>
        <v>82</v>
      </c>
      <c r="I83" s="6">
        <f>'Monthly Data'!AW83</f>
        <v>0</v>
      </c>
      <c r="J83" s="6">
        <f>'Monthly Data'!AV83</f>
        <v>0</v>
      </c>
      <c r="K83" s="6">
        <f>'Monthly Data'!AW83</f>
        <v>0</v>
      </c>
      <c r="L83" s="6">
        <f>'Monthly Data'!AX83</f>
        <v>1</v>
      </c>
      <c r="M83" s="6">
        <f>'Monthly Data'!AY83</f>
        <v>0</v>
      </c>
      <c r="O83" s="20">
        <f>'GS &gt; 50 OLS model'!$B$5</f>
        <v>-11694573.8944258</v>
      </c>
      <c r="P83" s="20">
        <f>'GS &gt; 50 OLS model'!$B$6*D83</f>
        <v>10744050.750276316</v>
      </c>
      <c r="Q83" s="20">
        <f>'GS &gt; 50 OLS model'!$B$7*E83</f>
        <v>423136.84073098534</v>
      </c>
      <c r="R83" s="20">
        <f>'GS &gt; 50 OLS model'!$B$8*F83</f>
        <v>38433.766683837719</v>
      </c>
      <c r="S83" s="20">
        <f>'GS &gt; 50 OLS model'!$B$9*G83</f>
        <v>13000329.29376884</v>
      </c>
      <c r="T83" s="20">
        <f>'GS &gt; 50 OLS model'!$B$10*H83</f>
        <v>1054560.4411116815</v>
      </c>
      <c r="U83" s="20">
        <f>'GS &gt; 50 OLS model'!$B$11*I83</f>
        <v>0</v>
      </c>
      <c r="V83" s="20">
        <f>'GS &gt; 50 OLS model'!$B$12*J83</f>
        <v>0</v>
      </c>
      <c r="W83" s="20">
        <f>'GS &gt; 50 OLS model'!$B$13*K83</f>
        <v>0</v>
      </c>
      <c r="X83" s="20">
        <f>'GS &gt; 50 OLS model'!$B$14*L83</f>
        <v>1466841.9423256</v>
      </c>
      <c r="Y83" s="20">
        <f>'GS &gt; 50 OLS model'!$B$15*M83</f>
        <v>0</v>
      </c>
      <c r="Z83" s="20">
        <f t="shared" si="7"/>
        <v>15032779.14047146</v>
      </c>
      <c r="AA83" s="23">
        <f t="shared" ca="1" si="5"/>
        <v>4.4397775622401534E-2</v>
      </c>
    </row>
    <row r="84" spans="1:27" ht="14.4" x14ac:dyDescent="0.3">
      <c r="A84" s="22">
        <f>'Monthly Data'!A84</f>
        <v>42309</v>
      </c>
      <c r="B84" s="6">
        <f t="shared" si="6"/>
        <v>2015</v>
      </c>
      <c r="C84" s="20">
        <f ca="1">'Monthly Data'!N84</f>
        <v>15114579.494740076</v>
      </c>
      <c r="D84" s="20">
        <f>'Monthly Data'!P84</f>
        <v>214</v>
      </c>
      <c r="E84" s="6">
        <f>'Monthly Data'!AG84</f>
        <v>286.60000000000002</v>
      </c>
      <c r="F84" s="6">
        <f>'Monthly Data'!AH84</f>
        <v>0.5</v>
      </c>
      <c r="G84" s="6">
        <f>'Monthly Data'!AJ84</f>
        <v>155.19999999999999</v>
      </c>
      <c r="H84" s="6">
        <f>'Monthly Data'!AN84</f>
        <v>83</v>
      </c>
      <c r="I84" s="6">
        <f>'Monthly Data'!AW84</f>
        <v>0</v>
      </c>
      <c r="J84" s="6">
        <f>'Monthly Data'!AV84</f>
        <v>0</v>
      </c>
      <c r="K84" s="6">
        <f>'Monthly Data'!AW84</f>
        <v>0</v>
      </c>
      <c r="L84" s="6">
        <f>'Monthly Data'!AX84</f>
        <v>0</v>
      </c>
      <c r="M84" s="6">
        <f>'Monthly Data'!AY84</f>
        <v>1</v>
      </c>
      <c r="O84" s="20">
        <f>'GS &gt; 50 OLS model'!$B$5</f>
        <v>-11694573.8944258</v>
      </c>
      <c r="P84" s="20">
        <f>'GS &gt; 50 OLS model'!$B$6*D84</f>
        <v>10845409.719618546</v>
      </c>
      <c r="Q84" s="20">
        <f>'GS &gt; 50 OLS model'!$B$7*E84</f>
        <v>768510.89070659305</v>
      </c>
      <c r="R84" s="20">
        <f>'GS &gt; 50 OLS model'!$B$8*F84</f>
        <v>7391.1089776610997</v>
      </c>
      <c r="S84" s="20">
        <f>'GS &gt; 50 OLS model'!$B$9*G84</f>
        <v>13008711.195312211</v>
      </c>
      <c r="T84" s="20">
        <f>'GS &gt; 50 OLS model'!$B$10*H84</f>
        <v>1067420.9342959705</v>
      </c>
      <c r="U84" s="20">
        <f>'GS &gt; 50 OLS model'!$B$11*I84</f>
        <v>0</v>
      </c>
      <c r="V84" s="20">
        <f>'GS &gt; 50 OLS model'!$B$12*J84</f>
        <v>0</v>
      </c>
      <c r="W84" s="20">
        <f>'GS &gt; 50 OLS model'!$B$13*K84</f>
        <v>0</v>
      </c>
      <c r="X84" s="20">
        <f>'GS &gt; 50 OLS model'!$B$14*L84</f>
        <v>0</v>
      </c>
      <c r="Y84" s="20">
        <f>'GS &gt; 50 OLS model'!$B$15*M84</f>
        <v>671693.73401239095</v>
      </c>
      <c r="Z84" s="20">
        <f t="shared" si="7"/>
        <v>14674563.688497573</v>
      </c>
      <c r="AA84" s="23">
        <f t="shared" ca="1" si="5"/>
        <v>2.9112011114542102E-2</v>
      </c>
    </row>
    <row r="85" spans="1:27" ht="14.4" x14ac:dyDescent="0.3">
      <c r="A85" s="22">
        <f>'Monthly Data'!A85</f>
        <v>42339</v>
      </c>
      <c r="B85" s="6">
        <f t="shared" si="6"/>
        <v>2015</v>
      </c>
      <c r="C85" s="20">
        <f ca="1">'Monthly Data'!N85</f>
        <v>14249803.554450776</v>
      </c>
      <c r="D85" s="20">
        <f>'Monthly Data'!P85</f>
        <v>216</v>
      </c>
      <c r="E85" s="6">
        <f>'Monthly Data'!AG85</f>
        <v>392.2</v>
      </c>
      <c r="F85" s="6">
        <f>'Monthly Data'!AH85</f>
        <v>0</v>
      </c>
      <c r="G85" s="6">
        <f>'Monthly Data'!AJ85</f>
        <v>155.19999999999999</v>
      </c>
      <c r="H85" s="6">
        <f>'Monthly Data'!AN85</f>
        <v>84</v>
      </c>
      <c r="I85" s="6">
        <f>'Monthly Data'!AW85</f>
        <v>0</v>
      </c>
      <c r="J85" s="6">
        <f>'Monthly Data'!AV85</f>
        <v>0</v>
      </c>
      <c r="K85" s="6">
        <f>'Monthly Data'!AW85</f>
        <v>0</v>
      </c>
      <c r="L85" s="6">
        <f>'Monthly Data'!AX85</f>
        <v>0</v>
      </c>
      <c r="M85" s="6">
        <f>'Monthly Data'!AY85</f>
        <v>0</v>
      </c>
      <c r="O85" s="20">
        <f>'GS &gt; 50 OLS model'!$B$5</f>
        <v>-11694573.8944258</v>
      </c>
      <c r="P85" s="20">
        <f>'GS &gt; 50 OLS model'!$B$6*D85</f>
        <v>10946768.688960774</v>
      </c>
      <c r="Q85" s="20">
        <f>'GS &gt; 50 OLS model'!$B$7*E85</f>
        <v>1051674.7080778987</v>
      </c>
      <c r="R85" s="20">
        <f>'GS &gt; 50 OLS model'!$B$8*F85</f>
        <v>0</v>
      </c>
      <c r="S85" s="20">
        <f>'GS &gt; 50 OLS model'!$B$9*G85</f>
        <v>13008711.195312211</v>
      </c>
      <c r="T85" s="20">
        <f>'GS &gt; 50 OLS model'!$B$10*H85</f>
        <v>1080281.4274802592</v>
      </c>
      <c r="U85" s="20">
        <f>'GS &gt; 50 OLS model'!$B$11*I85</f>
        <v>0</v>
      </c>
      <c r="V85" s="20">
        <f>'GS &gt; 50 OLS model'!$B$12*J85</f>
        <v>0</v>
      </c>
      <c r="W85" s="20">
        <f>'GS &gt; 50 OLS model'!$B$13*K85</f>
        <v>0</v>
      </c>
      <c r="X85" s="20">
        <f>'GS &gt; 50 OLS model'!$B$14*L85</f>
        <v>0</v>
      </c>
      <c r="Y85" s="20">
        <f>'GS &gt; 50 OLS model'!$B$15*M85</f>
        <v>0</v>
      </c>
      <c r="Z85" s="20">
        <f t="shared" si="7"/>
        <v>14392862.125405343</v>
      </c>
      <c r="AA85" s="23">
        <f t="shared" ca="1" si="5"/>
        <v>1.0039336360527158E-2</v>
      </c>
    </row>
    <row r="86" spans="1:27" ht="14.4" x14ac:dyDescent="0.3">
      <c r="A86" s="22">
        <f>'Monthly Data'!A86</f>
        <v>42370</v>
      </c>
      <c r="B86" s="6">
        <f t="shared" si="6"/>
        <v>2016</v>
      </c>
      <c r="C86" s="20">
        <f ca="1">'Monthly Data'!N86</f>
        <v>15169746.811950468</v>
      </c>
      <c r="D86" s="20">
        <f>'Monthly Data'!P86</f>
        <v>213</v>
      </c>
      <c r="E86" s="6">
        <f>'Monthly Data'!AG86</f>
        <v>618.5</v>
      </c>
      <c r="F86" s="6">
        <f>'Monthly Data'!AH86</f>
        <v>0</v>
      </c>
      <c r="G86" s="6">
        <f>'Monthly Data'!AJ86</f>
        <v>155</v>
      </c>
      <c r="H86" s="6">
        <f>'Monthly Data'!AN86</f>
        <v>85</v>
      </c>
      <c r="I86" s="6">
        <f>'Monthly Data'!AW86</f>
        <v>0</v>
      </c>
      <c r="J86" s="6">
        <f>'Monthly Data'!AV86</f>
        <v>0</v>
      </c>
      <c r="K86" s="6">
        <f>'Monthly Data'!AW86</f>
        <v>0</v>
      </c>
      <c r="L86" s="6">
        <f>'Monthly Data'!AX86</f>
        <v>0</v>
      </c>
      <c r="M86" s="6">
        <f>'Monthly Data'!AY86</f>
        <v>0</v>
      </c>
      <c r="O86" s="20">
        <f>'GS &gt; 50 OLS model'!$B$5</f>
        <v>-11694573.8944258</v>
      </c>
      <c r="P86" s="20">
        <f>'GS &gt; 50 OLS model'!$B$6*D86</f>
        <v>10794730.23494743</v>
      </c>
      <c r="Q86" s="20">
        <f>'GS &gt; 50 OLS model'!$B$7*E86</f>
        <v>1658492.6235241722</v>
      </c>
      <c r="R86" s="20">
        <f>'GS &gt; 50 OLS model'!$B$8*F86</f>
        <v>0</v>
      </c>
      <c r="S86" s="20">
        <f>'GS &gt; 50 OLS model'!$B$9*G86</f>
        <v>12991947.392225469</v>
      </c>
      <c r="T86" s="20">
        <f>'GS &gt; 50 OLS model'!$B$10*H86</f>
        <v>1093141.9206645479</v>
      </c>
      <c r="U86" s="20">
        <f>'GS &gt; 50 OLS model'!$B$11*I86</f>
        <v>0</v>
      </c>
      <c r="V86" s="20">
        <f>'GS &gt; 50 OLS model'!$B$12*J86</f>
        <v>0</v>
      </c>
      <c r="W86" s="20">
        <f>'GS &gt; 50 OLS model'!$B$13*K86</f>
        <v>0</v>
      </c>
      <c r="X86" s="20">
        <f>'GS &gt; 50 OLS model'!$B$14*L86</f>
        <v>0</v>
      </c>
      <c r="Y86" s="20">
        <f>'GS &gt; 50 OLS model'!$B$15*M86</f>
        <v>0</v>
      </c>
      <c r="Z86" s="20">
        <f t="shared" si="7"/>
        <v>14843738.27693582</v>
      </c>
      <c r="AA86" s="23">
        <f t="shared" ca="1" si="5"/>
        <v>2.1490703770864785E-2</v>
      </c>
    </row>
    <row r="87" spans="1:27" ht="14.4" x14ac:dyDescent="0.3">
      <c r="A87" s="22">
        <f>'Monthly Data'!A87</f>
        <v>42401</v>
      </c>
      <c r="B87" s="6">
        <f t="shared" si="6"/>
        <v>2016</v>
      </c>
      <c r="C87" s="20">
        <f ca="1">'Monthly Data'!N87</f>
        <v>14769186.220313367</v>
      </c>
      <c r="D87" s="20">
        <f>'Monthly Data'!P87</f>
        <v>213</v>
      </c>
      <c r="E87" s="6">
        <f>'Monthly Data'!AG87</f>
        <v>510.5</v>
      </c>
      <c r="F87" s="6">
        <f>'Monthly Data'!AH87</f>
        <v>0</v>
      </c>
      <c r="G87" s="6">
        <f>'Monthly Data'!AJ87</f>
        <v>156</v>
      </c>
      <c r="H87" s="6">
        <f>'Monthly Data'!AN87</f>
        <v>86</v>
      </c>
      <c r="I87" s="6">
        <f>'Monthly Data'!AW87</f>
        <v>0</v>
      </c>
      <c r="J87" s="6">
        <f>'Monthly Data'!AV87</f>
        <v>0</v>
      </c>
      <c r="K87" s="6">
        <f>'Monthly Data'!AW87</f>
        <v>0</v>
      </c>
      <c r="L87" s="6">
        <f>'Monthly Data'!AX87</f>
        <v>0</v>
      </c>
      <c r="M87" s="6">
        <f>'Monthly Data'!AY87</f>
        <v>0</v>
      </c>
      <c r="O87" s="20">
        <f>'GS &gt; 50 OLS model'!$B$5</f>
        <v>-11694573.8944258</v>
      </c>
      <c r="P87" s="20">
        <f>'GS &gt; 50 OLS model'!$B$6*D87</f>
        <v>10794730.23494743</v>
      </c>
      <c r="Q87" s="20">
        <f>'GS &gt; 50 OLS model'!$B$7*E87</f>
        <v>1368893.2648489734</v>
      </c>
      <c r="R87" s="20">
        <f>'GS &gt; 50 OLS model'!$B$8*F87</f>
        <v>0</v>
      </c>
      <c r="S87" s="20">
        <f>'GS &gt; 50 OLS model'!$B$9*G87</f>
        <v>13075766.407659182</v>
      </c>
      <c r="T87" s="20">
        <f>'GS &gt; 50 OLS model'!$B$10*H87</f>
        <v>1106002.4138488369</v>
      </c>
      <c r="U87" s="20">
        <f>'GS &gt; 50 OLS model'!$B$11*I87</f>
        <v>0</v>
      </c>
      <c r="V87" s="20">
        <f>'GS &gt; 50 OLS model'!$B$12*J87</f>
        <v>0</v>
      </c>
      <c r="W87" s="20">
        <f>'GS &gt; 50 OLS model'!$B$13*K87</f>
        <v>0</v>
      </c>
      <c r="X87" s="20">
        <f>'GS &gt; 50 OLS model'!$B$14*L87</f>
        <v>0</v>
      </c>
      <c r="Y87" s="20">
        <f>'GS &gt; 50 OLS model'!$B$15*M87</f>
        <v>0</v>
      </c>
      <c r="Z87" s="20">
        <f t="shared" si="7"/>
        <v>14650818.426878624</v>
      </c>
      <c r="AA87" s="23">
        <f t="shared" ca="1" si="5"/>
        <v>8.0145101882418655E-3</v>
      </c>
    </row>
    <row r="88" spans="1:27" ht="14.4" x14ac:dyDescent="0.3">
      <c r="A88" s="22">
        <f>'Monthly Data'!A88</f>
        <v>42430</v>
      </c>
      <c r="B88" s="6">
        <f t="shared" si="6"/>
        <v>2016</v>
      </c>
      <c r="C88" s="20">
        <f ca="1">'Monthly Data'!N88</f>
        <v>14860679.595221367</v>
      </c>
      <c r="D88" s="20">
        <f>'Monthly Data'!P88</f>
        <v>214</v>
      </c>
      <c r="E88" s="6">
        <f>'Monthly Data'!AG88</f>
        <v>350.9</v>
      </c>
      <c r="F88" s="6">
        <f>'Monthly Data'!AH88</f>
        <v>0</v>
      </c>
      <c r="G88" s="6">
        <f>'Monthly Data'!AJ88</f>
        <v>156.80000000000001</v>
      </c>
      <c r="H88" s="6">
        <f>'Monthly Data'!AN88</f>
        <v>87</v>
      </c>
      <c r="I88" s="6">
        <f>'Monthly Data'!AW88</f>
        <v>0</v>
      </c>
      <c r="J88" s="6">
        <f>'Monthly Data'!AV88</f>
        <v>0</v>
      </c>
      <c r="K88" s="6">
        <f>'Monthly Data'!AW88</f>
        <v>0</v>
      </c>
      <c r="L88" s="6">
        <f>'Monthly Data'!AX88</f>
        <v>0</v>
      </c>
      <c r="M88" s="6">
        <f>'Monthly Data'!AY88</f>
        <v>0</v>
      </c>
      <c r="O88" s="20">
        <f>'GS &gt; 50 OLS model'!$B$5</f>
        <v>-11694573.8944258</v>
      </c>
      <c r="P88" s="20">
        <f>'GS &gt; 50 OLS model'!$B$6*D88</f>
        <v>10845409.719618546</v>
      </c>
      <c r="Q88" s="20">
        <f>'GS &gt; 50 OLS model'!$B$7*E88</f>
        <v>940929.76814006793</v>
      </c>
      <c r="R88" s="20">
        <f>'GS &gt; 50 OLS model'!$B$8*F88</f>
        <v>0</v>
      </c>
      <c r="S88" s="20">
        <f>'GS &gt; 50 OLS model'!$B$9*G88</f>
        <v>13142821.620006153</v>
      </c>
      <c r="T88" s="20">
        <f>'GS &gt; 50 OLS model'!$B$10*H88</f>
        <v>1118862.9070331256</v>
      </c>
      <c r="U88" s="20">
        <f>'GS &gt; 50 OLS model'!$B$11*I88</f>
        <v>0</v>
      </c>
      <c r="V88" s="20">
        <f>'GS &gt; 50 OLS model'!$B$12*J88</f>
        <v>0</v>
      </c>
      <c r="W88" s="20">
        <f>'GS &gt; 50 OLS model'!$B$13*K88</f>
        <v>0</v>
      </c>
      <c r="X88" s="20">
        <f>'GS &gt; 50 OLS model'!$B$14*L88</f>
        <v>0</v>
      </c>
      <c r="Y88" s="20">
        <f>'GS &gt; 50 OLS model'!$B$15*M88</f>
        <v>0</v>
      </c>
      <c r="Z88" s="20">
        <f t="shared" si="7"/>
        <v>14353450.120372092</v>
      </c>
      <c r="AA88" s="23">
        <f t="shared" ca="1" si="5"/>
        <v>3.4132320234693724E-2</v>
      </c>
    </row>
    <row r="89" spans="1:27" ht="14.4" x14ac:dyDescent="0.3">
      <c r="A89" s="22">
        <f>'Monthly Data'!A89</f>
        <v>42461</v>
      </c>
      <c r="B89" s="6">
        <f t="shared" si="6"/>
        <v>2016</v>
      </c>
      <c r="C89" s="20">
        <f ca="1">'Monthly Data'!N89</f>
        <v>14541974.589204766</v>
      </c>
      <c r="D89" s="20">
        <f>'Monthly Data'!P89</f>
        <v>218</v>
      </c>
      <c r="E89" s="6">
        <f>'Monthly Data'!AG89</f>
        <v>315.20000000000005</v>
      </c>
      <c r="F89" s="6">
        <f>'Monthly Data'!AH89</f>
        <v>0</v>
      </c>
      <c r="G89" s="6">
        <f>'Monthly Data'!AJ89</f>
        <v>159.30000000000001</v>
      </c>
      <c r="H89" s="6">
        <f>'Monthly Data'!AN89</f>
        <v>88</v>
      </c>
      <c r="I89" s="6">
        <f>'Monthly Data'!AW89</f>
        <v>0</v>
      </c>
      <c r="J89" s="6">
        <f>'Monthly Data'!AV89</f>
        <v>0</v>
      </c>
      <c r="K89" s="6">
        <f>'Monthly Data'!AW89</f>
        <v>0</v>
      </c>
      <c r="L89" s="6">
        <f>'Monthly Data'!AX89</f>
        <v>0</v>
      </c>
      <c r="M89" s="6">
        <f>'Monthly Data'!AY89</f>
        <v>0</v>
      </c>
      <c r="O89" s="20">
        <f>'GS &gt; 50 OLS model'!$B$5</f>
        <v>-11694573.8944258</v>
      </c>
      <c r="P89" s="20">
        <f>'GS &gt; 50 OLS model'!$B$6*D89</f>
        <v>11048127.658303004</v>
      </c>
      <c r="Q89" s="20">
        <f>'GS &gt; 50 OLS model'!$B$7*E89</f>
        <v>845201.09124465508</v>
      </c>
      <c r="R89" s="20">
        <f>'GS &gt; 50 OLS model'!$B$8*F89</f>
        <v>0</v>
      </c>
      <c r="S89" s="20">
        <f>'GS &gt; 50 OLS model'!$B$9*G89</f>
        <v>13352369.158590434</v>
      </c>
      <c r="T89" s="20">
        <f>'GS &gt; 50 OLS model'!$B$10*H89</f>
        <v>1131723.4002174144</v>
      </c>
      <c r="U89" s="20">
        <f>'GS &gt; 50 OLS model'!$B$11*I89</f>
        <v>0</v>
      </c>
      <c r="V89" s="20">
        <f>'GS &gt; 50 OLS model'!$B$12*J89</f>
        <v>0</v>
      </c>
      <c r="W89" s="20">
        <f>'GS &gt; 50 OLS model'!$B$13*K89</f>
        <v>0</v>
      </c>
      <c r="X89" s="20">
        <f>'GS &gt; 50 OLS model'!$B$14*L89</f>
        <v>0</v>
      </c>
      <c r="Y89" s="20">
        <f>'GS &gt; 50 OLS model'!$B$15*M89</f>
        <v>0</v>
      </c>
      <c r="Z89" s="20">
        <f t="shared" si="7"/>
        <v>14682847.413929706</v>
      </c>
      <c r="AA89" s="23">
        <f t="shared" ca="1" si="5"/>
        <v>9.6873243630557233E-3</v>
      </c>
    </row>
    <row r="90" spans="1:27" ht="14.4" x14ac:dyDescent="0.3">
      <c r="A90" s="22">
        <f>'Monthly Data'!A90</f>
        <v>42491</v>
      </c>
      <c r="B90" s="6">
        <f t="shared" si="6"/>
        <v>2016</v>
      </c>
      <c r="C90" s="20">
        <f ca="1">'Monthly Data'!N90</f>
        <v>15021598.285015468</v>
      </c>
      <c r="D90" s="20">
        <f>'Monthly Data'!P90</f>
        <v>220</v>
      </c>
      <c r="E90" s="6">
        <f>'Monthly Data'!AG90</f>
        <v>110.9</v>
      </c>
      <c r="F90" s="6">
        <f>'Monthly Data'!AH90</f>
        <v>47</v>
      </c>
      <c r="G90" s="6">
        <f>'Monthly Data'!AJ90</f>
        <v>162.1</v>
      </c>
      <c r="H90" s="6">
        <f>'Monthly Data'!AN90</f>
        <v>89</v>
      </c>
      <c r="I90" s="6">
        <f>'Monthly Data'!AW90</f>
        <v>0</v>
      </c>
      <c r="J90" s="6">
        <f>'Monthly Data'!AV90</f>
        <v>0</v>
      </c>
      <c r="K90" s="6">
        <f>'Monthly Data'!AW90</f>
        <v>0</v>
      </c>
      <c r="L90" s="6">
        <f>'Monthly Data'!AX90</f>
        <v>0</v>
      </c>
      <c r="M90" s="6">
        <f>'Monthly Data'!AY90</f>
        <v>0</v>
      </c>
      <c r="O90" s="20">
        <f>'GS &gt; 50 OLS model'!$B$5</f>
        <v>-11694573.8944258</v>
      </c>
      <c r="P90" s="20">
        <f>'GS &gt; 50 OLS model'!$B$6*D90</f>
        <v>11149486.627645234</v>
      </c>
      <c r="Q90" s="20">
        <f>'GS &gt; 50 OLS model'!$B$7*E90</f>
        <v>297375.63775073685</v>
      </c>
      <c r="R90" s="20">
        <f>'GS &gt; 50 OLS model'!$B$8*F90</f>
        <v>694764.24390014342</v>
      </c>
      <c r="S90" s="20">
        <f>'GS &gt; 50 OLS model'!$B$9*G90</f>
        <v>13587062.401804829</v>
      </c>
      <c r="T90" s="20">
        <f>'GS &gt; 50 OLS model'!$B$10*H90</f>
        <v>1144583.8934017031</v>
      </c>
      <c r="U90" s="20">
        <f>'GS &gt; 50 OLS model'!$B$11*I90</f>
        <v>0</v>
      </c>
      <c r="V90" s="20">
        <f>'GS &gt; 50 OLS model'!$B$12*J90</f>
        <v>0</v>
      </c>
      <c r="W90" s="20">
        <f>'GS &gt; 50 OLS model'!$B$13*K90</f>
        <v>0</v>
      </c>
      <c r="X90" s="20">
        <f>'GS &gt; 50 OLS model'!$B$14*L90</f>
        <v>0</v>
      </c>
      <c r="Y90" s="20">
        <f>'GS &gt; 50 OLS model'!$B$15*M90</f>
        <v>0</v>
      </c>
      <c r="Z90" s="20">
        <f t="shared" si="7"/>
        <v>15178698.910076845</v>
      </c>
      <c r="AA90" s="23">
        <f t="shared" ca="1" si="5"/>
        <v>1.0458316224452018E-2</v>
      </c>
    </row>
    <row r="91" spans="1:27" ht="14.4" x14ac:dyDescent="0.3">
      <c r="A91" s="22">
        <f>'Monthly Data'!A91</f>
        <v>42522</v>
      </c>
      <c r="B91" s="6">
        <f t="shared" si="6"/>
        <v>2016</v>
      </c>
      <c r="C91" s="20">
        <f ca="1">'Monthly Data'!N91</f>
        <v>16752273.439745067</v>
      </c>
      <c r="D91" s="20">
        <f>'Monthly Data'!P91</f>
        <v>221</v>
      </c>
      <c r="E91" s="6">
        <f>'Monthly Data'!AG91</f>
        <v>5.6</v>
      </c>
      <c r="F91" s="6">
        <f>'Monthly Data'!AH91</f>
        <v>127.2</v>
      </c>
      <c r="G91" s="6">
        <f>'Monthly Data'!AJ91</f>
        <v>166.7</v>
      </c>
      <c r="H91" s="6">
        <f>'Monthly Data'!AN91</f>
        <v>90</v>
      </c>
      <c r="I91" s="6">
        <f>'Monthly Data'!AW91</f>
        <v>0</v>
      </c>
      <c r="J91" s="6">
        <f>'Monthly Data'!AV91</f>
        <v>0</v>
      </c>
      <c r="K91" s="6">
        <f>'Monthly Data'!AW91</f>
        <v>0</v>
      </c>
      <c r="L91" s="6">
        <f>'Monthly Data'!AX91</f>
        <v>0</v>
      </c>
      <c r="M91" s="6">
        <f>'Monthly Data'!AY91</f>
        <v>0</v>
      </c>
      <c r="O91" s="20">
        <f>'GS &gt; 50 OLS model'!$B$5</f>
        <v>-11694573.8944258</v>
      </c>
      <c r="P91" s="20">
        <f>'GS &gt; 50 OLS model'!$B$6*D91</f>
        <v>11200166.112316348</v>
      </c>
      <c r="Q91" s="20">
        <f>'GS &gt; 50 OLS model'!$B$7*E91</f>
        <v>15016.263042417728</v>
      </c>
      <c r="R91" s="20">
        <f>'GS &gt; 50 OLS model'!$B$8*F91</f>
        <v>1880298.1239169838</v>
      </c>
      <c r="S91" s="20">
        <f>'GS &gt; 50 OLS model'!$B$9*G91</f>
        <v>13972629.872799907</v>
      </c>
      <c r="T91" s="20">
        <f>'GS &gt; 50 OLS model'!$B$10*H91</f>
        <v>1157444.3865859921</v>
      </c>
      <c r="U91" s="20">
        <f>'GS &gt; 50 OLS model'!$B$11*I91</f>
        <v>0</v>
      </c>
      <c r="V91" s="20">
        <f>'GS &gt; 50 OLS model'!$B$12*J91</f>
        <v>0</v>
      </c>
      <c r="W91" s="20">
        <f>'GS &gt; 50 OLS model'!$B$13*K91</f>
        <v>0</v>
      </c>
      <c r="X91" s="20">
        <f>'GS &gt; 50 OLS model'!$B$14*L91</f>
        <v>0</v>
      </c>
      <c r="Y91" s="20">
        <f>'GS &gt; 50 OLS model'!$B$15*M91</f>
        <v>0</v>
      </c>
      <c r="Z91" s="20">
        <f t="shared" si="7"/>
        <v>16530980.864235848</v>
      </c>
      <c r="AA91" s="23">
        <f t="shared" ca="1" si="5"/>
        <v>1.3209704121961019E-2</v>
      </c>
    </row>
    <row r="92" spans="1:27" ht="14.4" x14ac:dyDescent="0.3">
      <c r="A92" s="22">
        <f>'Monthly Data'!A92</f>
        <v>42552</v>
      </c>
      <c r="B92" s="6">
        <f t="shared" si="6"/>
        <v>2016</v>
      </c>
      <c r="C92" s="20">
        <f ca="1">'Monthly Data'!N92</f>
        <v>18719740.134575665</v>
      </c>
      <c r="D92" s="20">
        <f>'Monthly Data'!P92</f>
        <v>247</v>
      </c>
      <c r="E92" s="6">
        <f>'Monthly Data'!AG92</f>
        <v>0</v>
      </c>
      <c r="F92" s="6">
        <f>'Monthly Data'!AH92</f>
        <v>213.1</v>
      </c>
      <c r="G92" s="6">
        <f>'Monthly Data'!AJ92</f>
        <v>169.9</v>
      </c>
      <c r="H92" s="6">
        <f>'Monthly Data'!AN92</f>
        <v>91</v>
      </c>
      <c r="I92" s="6">
        <f>'Monthly Data'!AW92</f>
        <v>0</v>
      </c>
      <c r="J92" s="6">
        <f>'Monthly Data'!AV92</f>
        <v>0</v>
      </c>
      <c r="K92" s="6">
        <f>'Monthly Data'!AW92</f>
        <v>0</v>
      </c>
      <c r="L92" s="6">
        <f>'Monthly Data'!AX92</f>
        <v>0</v>
      </c>
      <c r="M92" s="6">
        <f>'Monthly Data'!AY92</f>
        <v>0</v>
      </c>
      <c r="O92" s="20">
        <f>'GS &gt; 50 OLS model'!$B$5</f>
        <v>-11694573.8944258</v>
      </c>
      <c r="P92" s="20">
        <f>'GS &gt; 50 OLS model'!$B$6*D92</f>
        <v>12517832.713765331</v>
      </c>
      <c r="Q92" s="20">
        <f>'GS &gt; 50 OLS model'!$B$7*E92</f>
        <v>0</v>
      </c>
      <c r="R92" s="20">
        <f>'GS &gt; 50 OLS model'!$B$8*F92</f>
        <v>3150090.6462791604</v>
      </c>
      <c r="S92" s="20">
        <f>'GS &gt; 50 OLS model'!$B$9*G92</f>
        <v>14240850.722187789</v>
      </c>
      <c r="T92" s="20">
        <f>'GS &gt; 50 OLS model'!$B$10*H92</f>
        <v>1170304.8797702808</v>
      </c>
      <c r="U92" s="20">
        <f>'GS &gt; 50 OLS model'!$B$11*I92</f>
        <v>0</v>
      </c>
      <c r="V92" s="20">
        <f>'GS &gt; 50 OLS model'!$B$12*J92</f>
        <v>0</v>
      </c>
      <c r="W92" s="20">
        <f>'GS &gt; 50 OLS model'!$B$13*K92</f>
        <v>0</v>
      </c>
      <c r="X92" s="20">
        <f>'GS &gt; 50 OLS model'!$B$14*L92</f>
        <v>0</v>
      </c>
      <c r="Y92" s="20">
        <f>'GS &gt; 50 OLS model'!$B$15*M92</f>
        <v>0</v>
      </c>
      <c r="Z92" s="20">
        <f t="shared" si="7"/>
        <v>19384505.067576759</v>
      </c>
      <c r="AA92" s="23">
        <f t="shared" ca="1" si="5"/>
        <v>3.5511440234859984E-2</v>
      </c>
    </row>
    <row r="93" spans="1:27" ht="14.4" x14ac:dyDescent="0.3">
      <c r="A93" s="22">
        <f>'Monthly Data'!A93</f>
        <v>42583</v>
      </c>
      <c r="B93" s="6">
        <f t="shared" si="6"/>
        <v>2016</v>
      </c>
      <c r="C93" s="20">
        <f ca="1">'Monthly Data'!N93</f>
        <v>20897368.232487865</v>
      </c>
      <c r="D93" s="20">
        <f>'Monthly Data'!P93</f>
        <v>218</v>
      </c>
      <c r="E93" s="6">
        <f>'Monthly Data'!AG93</f>
        <v>0</v>
      </c>
      <c r="F93" s="6">
        <f>'Monthly Data'!AH93</f>
        <v>219</v>
      </c>
      <c r="G93" s="6">
        <f>'Monthly Data'!AJ93</f>
        <v>171.7</v>
      </c>
      <c r="H93" s="6">
        <f>'Monthly Data'!AN93</f>
        <v>92</v>
      </c>
      <c r="I93" s="6">
        <f>'Monthly Data'!AW93</f>
        <v>0</v>
      </c>
      <c r="J93" s="6">
        <f>'Monthly Data'!AV93</f>
        <v>1</v>
      </c>
      <c r="K93" s="6">
        <f>'Monthly Data'!AW93</f>
        <v>0</v>
      </c>
      <c r="L93" s="6">
        <f>'Monthly Data'!AX93</f>
        <v>0</v>
      </c>
      <c r="M93" s="6">
        <f>'Monthly Data'!AY93</f>
        <v>0</v>
      </c>
      <c r="O93" s="20">
        <f>'GS &gt; 50 OLS model'!$B$5</f>
        <v>-11694573.8944258</v>
      </c>
      <c r="P93" s="20">
        <f>'GS &gt; 50 OLS model'!$B$6*D93</f>
        <v>11048127.658303004</v>
      </c>
      <c r="Q93" s="20">
        <f>'GS &gt; 50 OLS model'!$B$7*E93</f>
        <v>0</v>
      </c>
      <c r="R93" s="20">
        <f>'GS &gt; 50 OLS model'!$B$8*F93</f>
        <v>3237305.7322155619</v>
      </c>
      <c r="S93" s="20">
        <f>'GS &gt; 50 OLS model'!$B$9*G93</f>
        <v>14391724.94996847</v>
      </c>
      <c r="T93" s="20">
        <f>'GS &gt; 50 OLS model'!$B$10*H93</f>
        <v>1183165.3729545695</v>
      </c>
      <c r="U93" s="20">
        <f>'GS &gt; 50 OLS model'!$B$11*I93</f>
        <v>0</v>
      </c>
      <c r="V93" s="20">
        <f>'GS &gt; 50 OLS model'!$B$12*J93</f>
        <v>1257541.23571065</v>
      </c>
      <c r="W93" s="20">
        <f>'GS &gt; 50 OLS model'!$B$13*K93</f>
        <v>0</v>
      </c>
      <c r="X93" s="20">
        <f>'GS &gt; 50 OLS model'!$B$14*L93</f>
        <v>0</v>
      </c>
      <c r="Y93" s="20">
        <f>'GS &gt; 50 OLS model'!$B$15*M93</f>
        <v>0</v>
      </c>
      <c r="Z93" s="20">
        <f t="shared" si="7"/>
        <v>19423291.054726455</v>
      </c>
      <c r="AA93" s="23">
        <f t="shared" ca="1" si="5"/>
        <v>7.053889089582828E-2</v>
      </c>
    </row>
    <row r="94" spans="1:27" ht="14.4" x14ac:dyDescent="0.3">
      <c r="A94" s="22">
        <f>'Monthly Data'!A94</f>
        <v>42614</v>
      </c>
      <c r="B94" s="6">
        <f t="shared" si="6"/>
        <v>2016</v>
      </c>
      <c r="C94" s="20">
        <f ca="1">'Monthly Data'!N94</f>
        <v>20018808.978007965</v>
      </c>
      <c r="D94" s="20">
        <f>'Monthly Data'!P94</f>
        <v>218</v>
      </c>
      <c r="E94" s="6">
        <f>'Monthly Data'!AG94</f>
        <v>8</v>
      </c>
      <c r="F94" s="6">
        <f>'Monthly Data'!AH94</f>
        <v>90.1</v>
      </c>
      <c r="G94" s="6">
        <f>'Monthly Data'!AJ94</f>
        <v>170.5</v>
      </c>
      <c r="H94" s="6">
        <f>'Monthly Data'!AN94</f>
        <v>93</v>
      </c>
      <c r="I94" s="6">
        <f>'Monthly Data'!AW94</f>
        <v>1</v>
      </c>
      <c r="J94" s="6">
        <f>'Monthly Data'!AV94</f>
        <v>0</v>
      </c>
      <c r="K94" s="6">
        <f>'Monthly Data'!AW94</f>
        <v>1</v>
      </c>
      <c r="L94" s="6">
        <f>'Monthly Data'!AX94</f>
        <v>0</v>
      </c>
      <c r="M94" s="6">
        <f>'Monthly Data'!AY94</f>
        <v>0</v>
      </c>
      <c r="O94" s="20">
        <f>'GS &gt; 50 OLS model'!$B$5</f>
        <v>-11694573.8944258</v>
      </c>
      <c r="P94" s="20">
        <f>'GS &gt; 50 OLS model'!$B$6*D94</f>
        <v>11048127.658303004</v>
      </c>
      <c r="Q94" s="20">
        <f>'GS &gt; 50 OLS model'!$B$7*E94</f>
        <v>21451.804346311041</v>
      </c>
      <c r="R94" s="20">
        <f>'GS &gt; 50 OLS model'!$B$8*F94</f>
        <v>1331877.8377745301</v>
      </c>
      <c r="S94" s="20">
        <f>'GS &gt; 50 OLS model'!$B$9*G94</f>
        <v>14291142.131448016</v>
      </c>
      <c r="T94" s="20">
        <f>'GS &gt; 50 OLS model'!$B$10*H94</f>
        <v>1196025.8661388585</v>
      </c>
      <c r="U94" s="20">
        <f>'GS &gt; 50 OLS model'!$B$11*I94</f>
        <v>-797686.81375559501</v>
      </c>
      <c r="V94" s="20">
        <f>'GS &gt; 50 OLS model'!$B$12*J94</f>
        <v>0</v>
      </c>
      <c r="W94" s="20">
        <f>'GS &gt; 50 OLS model'!$B$13*K94</f>
        <v>1979532.62008895</v>
      </c>
      <c r="X94" s="20">
        <f>'GS &gt; 50 OLS model'!$B$14*L94</f>
        <v>0</v>
      </c>
      <c r="Y94" s="20">
        <f>'GS &gt; 50 OLS model'!$B$15*M94</f>
        <v>0</v>
      </c>
      <c r="Z94" s="20">
        <f t="shared" si="7"/>
        <v>17375897.209918275</v>
      </c>
      <c r="AA94" s="23">
        <f t="shared" ca="1" si="5"/>
        <v>0.13202142899675545</v>
      </c>
    </row>
    <row r="95" spans="1:27" ht="14.4" x14ac:dyDescent="0.3">
      <c r="A95" s="22">
        <f>'Monthly Data'!A95</f>
        <v>42644</v>
      </c>
      <c r="B95" s="6">
        <f t="shared" si="6"/>
        <v>2016</v>
      </c>
      <c r="C95" s="20">
        <f ca="1">'Monthly Data'!N95</f>
        <v>17604410.628520165</v>
      </c>
      <c r="D95" s="20">
        <f>'Monthly Data'!P95</f>
        <v>217</v>
      </c>
      <c r="E95" s="6">
        <f>'Monthly Data'!AG95</f>
        <v>146</v>
      </c>
      <c r="F95" s="6">
        <f>'Monthly Data'!AH95</f>
        <v>22.7</v>
      </c>
      <c r="G95" s="6">
        <f>'Monthly Data'!AJ95</f>
        <v>169.2</v>
      </c>
      <c r="H95" s="6">
        <f>'Monthly Data'!AN95</f>
        <v>94</v>
      </c>
      <c r="I95" s="6">
        <f>'Monthly Data'!AW95</f>
        <v>0</v>
      </c>
      <c r="J95" s="6">
        <f>'Monthly Data'!AV95</f>
        <v>0</v>
      </c>
      <c r="K95" s="6">
        <f>'Monthly Data'!AW95</f>
        <v>0</v>
      </c>
      <c r="L95" s="6">
        <f>'Monthly Data'!AX95</f>
        <v>1</v>
      </c>
      <c r="M95" s="6">
        <f>'Monthly Data'!AY95</f>
        <v>0</v>
      </c>
      <c r="O95" s="20">
        <f>'GS &gt; 50 OLS model'!$B$5</f>
        <v>-11694573.8944258</v>
      </c>
      <c r="P95" s="20">
        <f>'GS &gt; 50 OLS model'!$B$6*D95</f>
        <v>10997448.17363189</v>
      </c>
      <c r="Q95" s="20">
        <f>'GS &gt; 50 OLS model'!$B$7*E95</f>
        <v>391495.42932017648</v>
      </c>
      <c r="R95" s="20">
        <f>'GS &gt; 50 OLS model'!$B$8*F95</f>
        <v>335556.3475858139</v>
      </c>
      <c r="S95" s="20">
        <f>'GS &gt; 50 OLS model'!$B$9*G95</f>
        <v>14182177.411384188</v>
      </c>
      <c r="T95" s="20">
        <f>'GS &gt; 50 OLS model'!$B$10*H95</f>
        <v>1208886.3593231472</v>
      </c>
      <c r="U95" s="20">
        <f>'GS &gt; 50 OLS model'!$B$11*I95</f>
        <v>0</v>
      </c>
      <c r="V95" s="20">
        <f>'GS &gt; 50 OLS model'!$B$12*J95</f>
        <v>0</v>
      </c>
      <c r="W95" s="20">
        <f>'GS &gt; 50 OLS model'!$B$13*K95</f>
        <v>0</v>
      </c>
      <c r="X95" s="20">
        <f>'GS &gt; 50 OLS model'!$B$14*L95</f>
        <v>1466841.9423256</v>
      </c>
      <c r="Y95" s="20">
        <f>'GS &gt; 50 OLS model'!$B$15*M95</f>
        <v>0</v>
      </c>
      <c r="Z95" s="20">
        <f t="shared" si="7"/>
        <v>16887831.769145016</v>
      </c>
      <c r="AA95" s="23">
        <f t="shared" ca="1" si="5"/>
        <v>4.0704507211065034E-2</v>
      </c>
    </row>
    <row r="96" spans="1:27" ht="14.4" x14ac:dyDescent="0.3">
      <c r="A96" s="22">
        <f>'Monthly Data'!A96</f>
        <v>42675</v>
      </c>
      <c r="B96" s="6">
        <f t="shared" si="6"/>
        <v>2016</v>
      </c>
      <c r="C96" s="20">
        <f ca="1">'Monthly Data'!N96</f>
        <v>16645874.179800866</v>
      </c>
      <c r="D96" s="20">
        <f>'Monthly Data'!P96</f>
        <v>218</v>
      </c>
      <c r="E96" s="6">
        <f>'Monthly Data'!AG96</f>
        <v>290.7</v>
      </c>
      <c r="F96" s="6">
        <f>'Monthly Data'!AH96</f>
        <v>0</v>
      </c>
      <c r="G96" s="6">
        <f>'Monthly Data'!AJ96</f>
        <v>165.5</v>
      </c>
      <c r="H96" s="6">
        <f>'Monthly Data'!AN96</f>
        <v>95</v>
      </c>
      <c r="I96" s="6">
        <f>'Monthly Data'!AW96</f>
        <v>0</v>
      </c>
      <c r="J96" s="6">
        <f>'Monthly Data'!AV96</f>
        <v>0</v>
      </c>
      <c r="K96" s="6">
        <f>'Monthly Data'!AW96</f>
        <v>0</v>
      </c>
      <c r="L96" s="6">
        <f>'Monthly Data'!AX96</f>
        <v>0</v>
      </c>
      <c r="M96" s="6">
        <f>'Monthly Data'!AY96</f>
        <v>1</v>
      </c>
      <c r="O96" s="20">
        <f>'GS &gt; 50 OLS model'!$B$5</f>
        <v>-11694573.8944258</v>
      </c>
      <c r="P96" s="20">
        <f>'GS &gt; 50 OLS model'!$B$6*D96</f>
        <v>11048127.658303004</v>
      </c>
      <c r="Q96" s="20">
        <f>'GS &gt; 50 OLS model'!$B$7*E96</f>
        <v>779504.94043407741</v>
      </c>
      <c r="R96" s="20">
        <f>'GS &gt; 50 OLS model'!$B$8*F96</f>
        <v>0</v>
      </c>
      <c r="S96" s="20">
        <f>'GS &gt; 50 OLS model'!$B$9*G96</f>
        <v>13872047.054279452</v>
      </c>
      <c r="T96" s="20">
        <f>'GS &gt; 50 OLS model'!$B$10*H96</f>
        <v>1221746.8525074359</v>
      </c>
      <c r="U96" s="20">
        <f>'GS &gt; 50 OLS model'!$B$11*I96</f>
        <v>0</v>
      </c>
      <c r="V96" s="20">
        <f>'GS &gt; 50 OLS model'!$B$12*J96</f>
        <v>0</v>
      </c>
      <c r="W96" s="20">
        <f>'GS &gt; 50 OLS model'!$B$13*K96</f>
        <v>0</v>
      </c>
      <c r="X96" s="20">
        <f>'GS &gt; 50 OLS model'!$B$14*L96</f>
        <v>0</v>
      </c>
      <c r="Y96" s="20">
        <f>'GS &gt; 50 OLS model'!$B$15*M96</f>
        <v>671693.73401239095</v>
      </c>
      <c r="Z96" s="20">
        <f t="shared" si="7"/>
        <v>15898546.345110562</v>
      </c>
      <c r="AA96" s="23">
        <f t="shared" ca="1" si="5"/>
        <v>4.489567965118698E-2</v>
      </c>
    </row>
    <row r="97" spans="1:27" ht="14.4" x14ac:dyDescent="0.3">
      <c r="A97" s="22">
        <f>'Monthly Data'!A97</f>
        <v>42705</v>
      </c>
      <c r="B97" s="6">
        <f t="shared" si="6"/>
        <v>2016</v>
      </c>
      <c r="C97" s="20">
        <f ca="1">'Monthly Data'!N97</f>
        <v>16217008.323777767</v>
      </c>
      <c r="D97" s="20">
        <f>'Monthly Data'!P97</f>
        <v>218</v>
      </c>
      <c r="E97" s="6">
        <f>'Monthly Data'!AG97</f>
        <v>581.1</v>
      </c>
      <c r="F97" s="6">
        <f>'Monthly Data'!AH97</f>
        <v>0</v>
      </c>
      <c r="G97" s="6">
        <f>'Monthly Data'!AJ97</f>
        <v>162.5</v>
      </c>
      <c r="H97" s="6">
        <f>'Monthly Data'!AN97</f>
        <v>96</v>
      </c>
      <c r="I97" s="6">
        <f>'Monthly Data'!AW97</f>
        <v>0</v>
      </c>
      <c r="J97" s="6">
        <f>'Monthly Data'!AV97</f>
        <v>0</v>
      </c>
      <c r="K97" s="6">
        <f>'Monthly Data'!AW97</f>
        <v>0</v>
      </c>
      <c r="L97" s="6">
        <f>'Monthly Data'!AX97</f>
        <v>0</v>
      </c>
      <c r="M97" s="6">
        <f>'Monthly Data'!AY97</f>
        <v>0</v>
      </c>
      <c r="O97" s="20">
        <f>'GS &gt; 50 OLS model'!$B$5</f>
        <v>-11694573.8944258</v>
      </c>
      <c r="P97" s="20">
        <f>'GS &gt; 50 OLS model'!$B$6*D97</f>
        <v>11048127.658303004</v>
      </c>
      <c r="Q97" s="20">
        <f>'GS &gt; 50 OLS model'!$B$7*E97</f>
        <v>1558205.4382051683</v>
      </c>
      <c r="R97" s="20">
        <f>'GS &gt; 50 OLS model'!$B$8*F97</f>
        <v>0</v>
      </c>
      <c r="S97" s="20">
        <f>'GS &gt; 50 OLS model'!$B$9*G97</f>
        <v>13620590.007978315</v>
      </c>
      <c r="T97" s="20">
        <f>'GS &gt; 50 OLS model'!$B$10*H97</f>
        <v>1234607.3456917247</v>
      </c>
      <c r="U97" s="20">
        <f>'GS &gt; 50 OLS model'!$B$11*I97</f>
        <v>0</v>
      </c>
      <c r="V97" s="20">
        <f>'GS &gt; 50 OLS model'!$B$12*J97</f>
        <v>0</v>
      </c>
      <c r="W97" s="20">
        <f>'GS &gt; 50 OLS model'!$B$13*K97</f>
        <v>0</v>
      </c>
      <c r="X97" s="20">
        <f>'GS &gt; 50 OLS model'!$B$14*L97</f>
        <v>0</v>
      </c>
      <c r="Y97" s="20">
        <f>'GS &gt; 50 OLS model'!$B$15*M97</f>
        <v>0</v>
      </c>
      <c r="Z97" s="20">
        <f t="shared" si="7"/>
        <v>15766956.555752411</v>
      </c>
      <c r="AA97" s="23">
        <f t="shared" ca="1" si="5"/>
        <v>2.7751836777778469E-2</v>
      </c>
    </row>
    <row r="98" spans="1:27" ht="14.4" x14ac:dyDescent="0.3">
      <c r="AA98" s="23">
        <f ca="1">AVERAGE(AA2:AA97)</f>
        <v>3.7492529580357613E-2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L2" sqref="L2:O14"/>
    </sheetView>
  </sheetViews>
  <sheetFormatPr defaultColWidth="9.33203125" defaultRowHeight="13.2" x14ac:dyDescent="0.25"/>
  <cols>
    <col min="1" max="1" width="5.44140625" style="11" customWidth="1"/>
    <col min="2" max="2" width="5.77734375" style="11" customWidth="1"/>
    <col min="3" max="4" width="13" style="11" customWidth="1"/>
    <col min="5" max="5" width="9.6640625" style="11" customWidth="1"/>
    <col min="6" max="6" width="9.44140625" style="11" customWidth="1"/>
    <col min="7" max="7" width="5.77734375" style="11" customWidth="1"/>
    <col min="8" max="9" width="11.77734375" style="11" customWidth="1"/>
    <col min="10" max="10" width="9.6640625" style="11" customWidth="1"/>
    <col min="11" max="11" width="9.44140625" style="11" customWidth="1"/>
    <col min="12" max="12" width="5.77734375" style="11" customWidth="1"/>
    <col min="13" max="14" width="13" style="11" customWidth="1"/>
    <col min="15" max="15" width="9.6640625" style="11" customWidth="1"/>
    <col min="16" max="16" width="9.44140625" style="11" customWidth="1"/>
    <col min="17" max="17" width="5.77734375" style="11" customWidth="1"/>
    <col min="18" max="19" width="11.77734375" style="11" customWidth="1"/>
    <col min="20" max="20" width="9.6640625" style="11" customWidth="1"/>
    <col min="21" max="16384" width="9.33203125" style="11"/>
  </cols>
  <sheetData>
    <row r="1" spans="1:20" x14ac:dyDescent="0.25">
      <c r="A1" s="121" t="s">
        <v>86</v>
      </c>
      <c r="B1" s="121"/>
      <c r="C1" s="121"/>
    </row>
    <row r="2" spans="1:20" x14ac:dyDescent="0.25">
      <c r="C2" s="122" t="s">
        <v>87</v>
      </c>
      <c r="D2" s="122"/>
      <c r="E2" s="9" t="s">
        <v>88</v>
      </c>
      <c r="F2" s="9"/>
      <c r="H2" s="122" t="s">
        <v>89</v>
      </c>
      <c r="I2" s="122"/>
      <c r="J2" s="9" t="s">
        <v>88</v>
      </c>
      <c r="K2" s="9"/>
      <c r="M2" s="122" t="s">
        <v>90</v>
      </c>
      <c r="N2" s="122"/>
      <c r="O2" s="9" t="s">
        <v>88</v>
      </c>
      <c r="P2" s="9"/>
      <c r="R2" s="122"/>
      <c r="S2" s="122"/>
      <c r="T2" s="9"/>
    </row>
    <row r="3" spans="1:20" x14ac:dyDescent="0.25">
      <c r="B3" s="9" t="s">
        <v>83</v>
      </c>
      <c r="C3" s="9" t="s">
        <v>161</v>
      </c>
      <c r="D3" s="9" t="s">
        <v>92</v>
      </c>
      <c r="E3" s="9" t="s">
        <v>93</v>
      </c>
      <c r="F3" s="9"/>
      <c r="G3" s="9" t="s">
        <v>83</v>
      </c>
      <c r="H3" s="9" t="s">
        <v>161</v>
      </c>
      <c r="I3" s="9" t="s">
        <v>92</v>
      </c>
      <c r="J3" s="9" t="s">
        <v>93</v>
      </c>
      <c r="K3" s="9"/>
      <c r="L3" s="9" t="s">
        <v>83</v>
      </c>
      <c r="M3" s="9" t="s">
        <v>161</v>
      </c>
      <c r="N3" s="9" t="s">
        <v>92</v>
      </c>
      <c r="O3" s="9" t="s">
        <v>93</v>
      </c>
      <c r="P3" s="9"/>
      <c r="Q3" s="9"/>
      <c r="R3" s="9"/>
      <c r="S3" s="9"/>
      <c r="T3" s="9"/>
    </row>
    <row r="4" spans="1:20" x14ac:dyDescent="0.25">
      <c r="B4" s="11">
        <v>2009</v>
      </c>
      <c r="C4" s="24">
        <f ca="1">SUMIF('Res Predicted Monthly'!B:B,B4,'Res Predicted Monthly'!C:C)</f>
        <v>249248744.52630949</v>
      </c>
      <c r="D4" s="24">
        <f>SUMIF('Res Predicted Monthly'!B:B,B4,'Res Predicted Monthly'!R:R)</f>
        <v>249427851.98597154</v>
      </c>
      <c r="E4" s="25">
        <f t="shared" ref="E4:E10" ca="1" si="0">ABS(C4-D4)/C4</f>
        <v>7.1858921497253234E-4</v>
      </c>
      <c r="F4" s="25"/>
      <c r="G4" s="11">
        <v>2009</v>
      </c>
      <c r="H4" s="24">
        <f ca="1">SUMIF('GS &lt; 50 Predicted Monthly'!B:B,$B4,'GS &lt; 50 Predicted Monthly'!C:C)</f>
        <v>67635266.323931411</v>
      </c>
      <c r="I4" s="24">
        <f>SUMIF('GS &lt; 50 Predicted Monthly'!$B:$B,$B4,'GS &lt; 50 Predicted Monthly'!T:T)</f>
        <v>66657603.622161895</v>
      </c>
      <c r="J4" s="25">
        <f t="shared" ref="J4:J10" ca="1" si="1">ABS(H4-I4)/H4</f>
        <v>1.4454924995594925E-2</v>
      </c>
      <c r="K4" s="25"/>
      <c r="L4" s="11">
        <v>2009</v>
      </c>
      <c r="M4" s="24">
        <f ca="1">SUMIF('GS &gt; 50 Predicted Monthly'!B:B,$B4,'GS &gt; 50 Predicted Monthly'!C:C)</f>
        <v>165450249.20683464</v>
      </c>
      <c r="N4" s="24">
        <f>SUMIF('GS &gt; 50 Predicted Monthly'!B:B,$B4,'GS &gt; 50 Predicted Monthly'!Z:Z)</f>
        <v>162280730.88061401</v>
      </c>
      <c r="O4" s="25">
        <f t="shared" ref="O4:O10" ca="1" si="2">ABS(M4-N4)/M4</f>
        <v>1.9156926879320173E-2</v>
      </c>
      <c r="P4" s="25"/>
      <c r="R4" s="24"/>
      <c r="S4" s="24"/>
      <c r="T4" s="25"/>
    </row>
    <row r="5" spans="1:20" x14ac:dyDescent="0.25">
      <c r="B5" s="11">
        <v>2010</v>
      </c>
      <c r="C5" s="24">
        <f ca="1">SUMIF('Res Predicted Monthly'!B:B,B5,'Res Predicted Monthly'!C:C)</f>
        <v>267217596.28228575</v>
      </c>
      <c r="D5" s="24">
        <f>SUMIF('Res Predicted Monthly'!B:B,B5,'Res Predicted Monthly'!R:R)</f>
        <v>266877375.38278842</v>
      </c>
      <c r="E5" s="25">
        <f t="shared" ca="1" si="0"/>
        <v>1.2731979638718274E-3</v>
      </c>
      <c r="F5" s="25"/>
      <c r="G5" s="11">
        <v>2010</v>
      </c>
      <c r="H5" s="24">
        <f ca="1">SUMIF('GS &lt; 50 Predicted Monthly'!B:B,$B5,'GS &lt; 50 Predicted Monthly'!C:C)</f>
        <v>69463566.007213742</v>
      </c>
      <c r="I5" s="24">
        <f>SUMIF('GS &lt; 50 Predicted Monthly'!$B:$B,$B5,'GS &lt; 50 Predicted Monthly'!T:T)</f>
        <v>68933522.253613114</v>
      </c>
      <c r="J5" s="25">
        <f t="shared" ca="1" si="1"/>
        <v>7.630528981849025E-3</v>
      </c>
      <c r="K5" s="25"/>
      <c r="L5" s="11">
        <v>2010</v>
      </c>
      <c r="M5" s="24">
        <f ca="1">SUMIF('GS &gt; 50 Predicted Monthly'!B:B,$B5,'GS &gt; 50 Predicted Monthly'!C:C)</f>
        <v>168399143.6217176</v>
      </c>
      <c r="N5" s="24">
        <f>SUMIF('GS &gt; 50 Predicted Monthly'!B:B,$B5,'GS &gt; 50 Predicted Monthly'!Z:Z)</f>
        <v>164618455.82991499</v>
      </c>
      <c r="O5" s="25">
        <f t="shared" ca="1" si="2"/>
        <v>2.2450754264495193E-2</v>
      </c>
      <c r="P5" s="25"/>
      <c r="R5" s="24"/>
      <c r="S5" s="24"/>
      <c r="T5" s="25"/>
    </row>
    <row r="6" spans="1:20" x14ac:dyDescent="0.25">
      <c r="B6" s="11">
        <v>2011</v>
      </c>
      <c r="C6" s="24">
        <f ca="1">SUMIF('Res Predicted Monthly'!B:B,B6,'Res Predicted Monthly'!C:C)</f>
        <v>260939811.58200753</v>
      </c>
      <c r="D6" s="24">
        <f>SUMIF('Res Predicted Monthly'!B:B,B6,'Res Predicted Monthly'!R:R)</f>
        <v>259961861.27694175</v>
      </c>
      <c r="E6" s="25">
        <f t="shared" ca="1" si="0"/>
        <v>3.7478003035900601E-3</v>
      </c>
      <c r="F6" s="25"/>
      <c r="G6" s="11">
        <v>2011</v>
      </c>
      <c r="H6" s="24">
        <f ca="1">SUMIF('GS &lt; 50 Predicted Monthly'!B:B,$B6,'GS &lt; 50 Predicted Monthly'!C:C)</f>
        <v>68580386.344080314</v>
      </c>
      <c r="I6" s="24">
        <f>SUMIF('GS &lt; 50 Predicted Monthly'!$B:$B,$B6,'GS &lt; 50 Predicted Monthly'!T:T)</f>
        <v>68523489.440774158</v>
      </c>
      <c r="J6" s="25">
        <f t="shared" ca="1" si="1"/>
        <v>8.2963812744790103E-4</v>
      </c>
      <c r="K6" s="25"/>
      <c r="L6" s="11">
        <v>2011</v>
      </c>
      <c r="M6" s="24">
        <f ca="1">SUMIF('GS &gt; 50 Predicted Monthly'!B:B,$B6,'GS &gt; 50 Predicted Monthly'!C:C)</f>
        <v>167789870.59880084</v>
      </c>
      <c r="N6" s="24">
        <f>SUMIF('GS &gt; 50 Predicted Monthly'!B:B,$B6,'GS &gt; 50 Predicted Monthly'!Z:Z)</f>
        <v>170519616.10564157</v>
      </c>
      <c r="O6" s="25">
        <f t="shared" ca="1" si="2"/>
        <v>1.6268833732924069E-2</v>
      </c>
      <c r="P6" s="25"/>
      <c r="R6" s="24"/>
      <c r="S6" s="24"/>
      <c r="T6" s="25"/>
    </row>
    <row r="7" spans="1:20" x14ac:dyDescent="0.25">
      <c r="B7" s="26">
        <v>2012</v>
      </c>
      <c r="C7" s="24">
        <f ca="1">SUMIF('Res Predicted Monthly'!B:B,B7,'Res Predicted Monthly'!C:C)</f>
        <v>259249764.01228067</v>
      </c>
      <c r="D7" s="24">
        <f>SUMIF('Res Predicted Monthly'!B:B,B7,'Res Predicted Monthly'!R:R)</f>
        <v>260447550.80008104</v>
      </c>
      <c r="E7" s="25">
        <f t="shared" ca="1" si="0"/>
        <v>4.6202039657155967E-3</v>
      </c>
      <c r="F7" s="25"/>
      <c r="G7" s="26">
        <v>2012</v>
      </c>
      <c r="H7" s="24">
        <f ca="1">SUMIF('GS &lt; 50 Predicted Monthly'!B:B,$B7,'GS &lt; 50 Predicted Monthly'!C:C)</f>
        <v>68501517.278197765</v>
      </c>
      <c r="I7" s="24">
        <f>SUMIF('GS &lt; 50 Predicted Monthly'!$B:$B,$B7,'GS &lt; 50 Predicted Monthly'!T:T)</f>
        <v>69093091.621566817</v>
      </c>
      <c r="J7" s="25">
        <f t="shared" ca="1" si="1"/>
        <v>8.6359305147440061E-3</v>
      </c>
      <c r="K7" s="25"/>
      <c r="L7" s="26">
        <v>2012</v>
      </c>
      <c r="M7" s="24">
        <f ca="1">SUMIF('GS &gt; 50 Predicted Monthly'!B:B,$B7,'GS &gt; 50 Predicted Monthly'!C:C)</f>
        <v>163904122.53575242</v>
      </c>
      <c r="N7" s="24">
        <f>SUMIF('GS &gt; 50 Predicted Monthly'!B:B,$B7,'GS &gt; 50 Predicted Monthly'!Z:Z)</f>
        <v>168388914.13046762</v>
      </c>
      <c r="O7" s="25">
        <f t="shared" ca="1" si="2"/>
        <v>2.7362286715741028E-2</v>
      </c>
      <c r="P7" s="25"/>
      <c r="Q7" s="26"/>
      <c r="R7" s="24"/>
      <c r="S7" s="24"/>
      <c r="T7" s="25"/>
    </row>
    <row r="8" spans="1:20" x14ac:dyDescent="0.25">
      <c r="B8" s="26">
        <v>2013</v>
      </c>
      <c r="C8" s="24">
        <f ca="1">SUMIF('Res Predicted Monthly'!B:B,B8,'Res Predicted Monthly'!C:C)</f>
        <v>254292198.12159741</v>
      </c>
      <c r="D8" s="24">
        <f>SUMIF('Res Predicted Monthly'!B:B,B8,'Res Predicted Monthly'!R:R)</f>
        <v>254989919.32007289</v>
      </c>
      <c r="E8" s="25">
        <f t="shared" ca="1" si="0"/>
        <v>2.7437774482638429E-3</v>
      </c>
      <c r="F8" s="25"/>
      <c r="G8" s="26">
        <v>2013</v>
      </c>
      <c r="H8" s="24">
        <f ca="1">SUMIF('GS &lt; 50 Predicted Monthly'!B:B,$B8,'GS &lt; 50 Predicted Monthly'!C:C)</f>
        <v>67565571.213131547</v>
      </c>
      <c r="I8" s="24">
        <f>SUMIF('GS &lt; 50 Predicted Monthly'!$B:$B,$B8,'GS &lt; 50 Predicted Monthly'!T:T)</f>
        <v>68990290.11967425</v>
      </c>
      <c r="J8" s="25">
        <f t="shared" ca="1" si="1"/>
        <v>2.1086462838425697E-2</v>
      </c>
      <c r="K8" s="25"/>
      <c r="L8" s="26">
        <v>2013</v>
      </c>
      <c r="M8" s="24">
        <f ca="1">SUMIF('GS &gt; 50 Predicted Monthly'!B:B,$B8,'GS &gt; 50 Predicted Monthly'!C:C)</f>
        <v>169072483.18651012</v>
      </c>
      <c r="N8" s="24">
        <f>SUMIF('GS &gt; 50 Predicted Monthly'!B:B,$B8,'GS &gt; 50 Predicted Monthly'!Z:Z)</f>
        <v>171630121.50146911</v>
      </c>
      <c r="O8" s="25">
        <f t="shared" ca="1" si="2"/>
        <v>1.5127466437797357E-2</v>
      </c>
      <c r="P8" s="25"/>
      <c r="Q8" s="26"/>
      <c r="R8" s="24"/>
      <c r="S8" s="24"/>
      <c r="T8" s="25"/>
    </row>
    <row r="9" spans="1:20" x14ac:dyDescent="0.25">
      <c r="B9" s="26">
        <v>2014</v>
      </c>
      <c r="C9" s="24">
        <f ca="1">SUMIF('Res Predicted Monthly'!B:B,B9,'Res Predicted Monthly'!C:C)</f>
        <v>250468248.15084472</v>
      </c>
      <c r="D9" s="24">
        <f>SUMIF('Res Predicted Monthly'!B:B,B9,'Res Predicted Monthly'!R:R)</f>
        <v>247521029.38875565</v>
      </c>
      <c r="E9" s="25">
        <f t="shared" ca="1" si="0"/>
        <v>1.1766835851840624E-2</v>
      </c>
      <c r="F9" s="25"/>
      <c r="G9" s="11">
        <v>2014</v>
      </c>
      <c r="H9" s="24">
        <f ca="1">SUMIF('GS &lt; 50 Predicted Monthly'!B:B,$B9,'GS &lt; 50 Predicted Monthly'!C:C)</f>
        <v>67585755.68702814</v>
      </c>
      <c r="I9" s="24">
        <f>SUMIF('GS &lt; 50 Predicted Monthly'!$B:$B,$B9,'GS &lt; 50 Predicted Monthly'!T:T)</f>
        <v>68598369.43275252</v>
      </c>
      <c r="J9" s="25">
        <f t="shared" ca="1" si="1"/>
        <v>1.4982650344453171E-2</v>
      </c>
      <c r="K9" s="25"/>
      <c r="L9" s="11">
        <v>2014</v>
      </c>
      <c r="M9" s="24">
        <f ca="1">SUMIF('GS &gt; 50 Predicted Monthly'!B:B,$B9,'GS &gt; 50 Predicted Monthly'!C:C)</f>
        <v>171423509.44268268</v>
      </c>
      <c r="N9" s="24">
        <f>SUMIF('GS &gt; 50 Predicted Monthly'!B:B,$B9,'GS &gt; 50 Predicted Monthly'!Z:Z)</f>
        <v>175450623.82924113</v>
      </c>
      <c r="O9" s="25">
        <f t="shared" ca="1" si="2"/>
        <v>2.3492194271666995E-2</v>
      </c>
      <c r="P9" s="25"/>
      <c r="R9" s="24"/>
      <c r="S9" s="24"/>
      <c r="T9" s="25"/>
    </row>
    <row r="10" spans="1:20" x14ac:dyDescent="0.25">
      <c r="B10" s="11">
        <v>2015</v>
      </c>
      <c r="C10" s="24">
        <f ca="1">SUMIF('Res Predicted Monthly'!B:B,B10,'Res Predicted Monthly'!C:C)</f>
        <v>250772426.6511052</v>
      </c>
      <c r="D10" s="24">
        <f>SUMIF('Res Predicted Monthly'!B:B,B10,'Res Predicted Monthly'!R:R)</f>
        <v>251377969.9155708</v>
      </c>
      <c r="E10" s="25">
        <f t="shared" ca="1" si="0"/>
        <v>2.4147123053049244E-3</v>
      </c>
      <c r="F10" s="25"/>
      <c r="G10" s="11">
        <v>2015</v>
      </c>
      <c r="H10" s="24">
        <f ca="1">SUMIF('GS &lt; 50 Predicted Monthly'!B:B,$B10,'GS &lt; 50 Predicted Monthly'!C:C)</f>
        <v>69539872.010038614</v>
      </c>
      <c r="I10" s="24">
        <f>SUMIF('GS &lt; 50 Predicted Monthly'!$B:$B,$B10,'GS &lt; 50 Predicted Monthly'!T:T)</f>
        <v>69407865.179750279</v>
      </c>
      <c r="J10" s="25">
        <f t="shared" ca="1" si="1"/>
        <v>1.89828980802955E-3</v>
      </c>
      <c r="K10" s="25"/>
      <c r="L10" s="11">
        <v>2015</v>
      </c>
      <c r="M10" s="24">
        <f ca="1">SUMIF('GS &gt; 50 Predicted Monthly'!B:B,$B10,'GS &gt; 50 Predicted Monthly'!C:C)</f>
        <v>182018508.66330293</v>
      </c>
      <c r="N10" s="24">
        <f>SUMIF('GS &gt; 50 Predicted Monthly'!B:B,$B10,'GS &gt; 50 Predicted Monthly'!Z:Z)</f>
        <v>181410532.38221306</v>
      </c>
      <c r="O10" s="25">
        <f t="shared" ca="1" si="2"/>
        <v>3.3401893332425008E-3</v>
      </c>
      <c r="P10" s="25"/>
      <c r="R10" s="24"/>
      <c r="S10" s="24"/>
      <c r="T10" s="25"/>
    </row>
    <row r="11" spans="1:20" s="27" customFormat="1" x14ac:dyDescent="0.25">
      <c r="B11" s="27">
        <v>2016</v>
      </c>
      <c r="C11" s="24">
        <f ca="1">SUMIF('Res Predicted Monthly'!B:B,B11,'Res Predicted Monthly'!C:C)</f>
        <v>261230618.86019763</v>
      </c>
      <c r="D11" s="24">
        <f>SUMIF('Res Predicted Monthly'!B:B,B11,'Res Predicted Monthly'!R:R)</f>
        <v>262815850.11644214</v>
      </c>
      <c r="E11" s="25">
        <f ca="1">ABS(C11-D11)/C11</f>
        <v>6.0683210228617036E-3</v>
      </c>
      <c r="F11" s="25"/>
      <c r="G11" s="27">
        <v>2016</v>
      </c>
      <c r="H11" s="24">
        <f ca="1">SUMIF('GS &lt; 50 Predicted Monthly'!B:B,$B11,'GS &lt; 50 Predicted Monthly'!C:C)</f>
        <v>72600736.947909981</v>
      </c>
      <c r="I11" s="24">
        <f>SUMIF('GS &lt; 50 Predicted Monthly'!$B:$B,$B11,'GS &lt; 50 Predicted Monthly'!T:T)</f>
        <v>71268440.141238898</v>
      </c>
      <c r="J11" s="25">
        <f ca="1">ABS(H11-I11)/H11</f>
        <v>1.8351009406791387E-2</v>
      </c>
      <c r="K11" s="25"/>
      <c r="L11" s="27">
        <v>2016</v>
      </c>
      <c r="M11" s="24">
        <f ca="1">SUMIF('GS &gt; 50 Predicted Monthly'!B:B,$B11,'GS &gt; 50 Predicted Monthly'!C:C)</f>
        <v>201218669.4186208</v>
      </c>
      <c r="N11" s="24">
        <f>SUMIF('GS &gt; 50 Predicted Monthly'!B:B,$B11,'GS &gt; 50 Predicted Monthly'!Z:Z)</f>
        <v>194977562.01465845</v>
      </c>
      <c r="O11" s="25">
        <f ca="1">ABS(M11-N11)/M11</f>
        <v>3.1016542460969038E-2</v>
      </c>
      <c r="P11" s="25"/>
      <c r="R11" s="24"/>
      <c r="S11" s="24"/>
      <c r="T11" s="25"/>
    </row>
    <row r="13" spans="1:20" x14ac:dyDescent="0.25">
      <c r="B13" s="123" t="s">
        <v>94</v>
      </c>
      <c r="C13" s="123"/>
      <c r="D13" s="123"/>
      <c r="E13" s="28">
        <f ca="1">AVERAGE(E4:E11)</f>
        <v>4.169179759552639E-3</v>
      </c>
      <c r="F13" s="28"/>
      <c r="G13" s="123" t="s">
        <v>94</v>
      </c>
      <c r="H13" s="123"/>
      <c r="I13" s="123"/>
      <c r="J13" s="28">
        <f ca="1">AVERAGE(J4:J11)</f>
        <v>1.0983679377166957E-2</v>
      </c>
      <c r="K13" s="28"/>
      <c r="L13" s="123" t="s">
        <v>94</v>
      </c>
      <c r="M13" s="123"/>
      <c r="N13" s="123"/>
      <c r="O13" s="28">
        <f ca="1">AVERAGE(O4:O10)</f>
        <v>1.8171235947883901E-2</v>
      </c>
      <c r="P13" s="28"/>
      <c r="Q13" s="123"/>
      <c r="R13" s="123"/>
      <c r="S13" s="123"/>
      <c r="T13" s="28"/>
    </row>
    <row r="14" spans="1:20" x14ac:dyDescent="0.25">
      <c r="B14" s="123" t="s">
        <v>95</v>
      </c>
      <c r="C14" s="123"/>
      <c r="D14" s="123"/>
      <c r="E14" s="28">
        <f ca="1">'Res Predicted Monthly'!$S$98</f>
        <v>2.3811513768006946E-2</v>
      </c>
      <c r="F14" s="28"/>
      <c r="G14" s="123" t="s">
        <v>95</v>
      </c>
      <c r="H14" s="123"/>
      <c r="I14" s="123"/>
      <c r="J14" s="28">
        <f ca="1">'GS &lt; 50 Predicted Monthly'!$U$98</f>
        <v>1.7113283182863221E-2</v>
      </c>
      <c r="K14" s="28"/>
      <c r="L14" s="123" t="s">
        <v>95</v>
      </c>
      <c r="M14" s="123"/>
      <c r="N14" s="123"/>
      <c r="O14" s="28">
        <f ca="1">'GS &gt; 50 Predicted Monthly'!$AA$98</f>
        <v>3.7492529580357613E-2</v>
      </c>
      <c r="P14" s="28"/>
      <c r="Q14" s="123"/>
      <c r="R14" s="123"/>
      <c r="S14" s="123"/>
      <c r="T14" s="28"/>
    </row>
  </sheetData>
  <mergeCells count="13">
    <mergeCell ref="B13:D13"/>
    <mergeCell ref="G13:I13"/>
    <mergeCell ref="L13:N13"/>
    <mergeCell ref="Q13:S13"/>
    <mergeCell ref="B14:D14"/>
    <mergeCell ref="G14:I14"/>
    <mergeCell ref="L14:N14"/>
    <mergeCell ref="Q14:S14"/>
    <mergeCell ref="A1:C1"/>
    <mergeCell ref="C2:D2"/>
    <mergeCell ref="H2:I2"/>
    <mergeCell ref="M2:N2"/>
    <mergeCell ref="R2:S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workbookViewId="0">
      <selection activeCell="C13" sqref="C2:C13"/>
    </sheetView>
  </sheetViews>
  <sheetFormatPr defaultRowHeight="14.4" x14ac:dyDescent="0.3"/>
  <cols>
    <col min="1" max="1" width="10.33203125" style="6" customWidth="1"/>
    <col min="2" max="2" width="5" style="6" customWidth="1"/>
    <col min="3" max="3" width="11" style="20" bestFit="1" customWidth="1"/>
    <col min="4" max="5" width="7" style="6" customWidth="1"/>
    <col min="6" max="6" width="10.77734375" style="6" bestFit="1" customWidth="1"/>
    <col min="7" max="7" width="7.77734375" style="6" bestFit="1" customWidth="1"/>
    <col min="8" max="8" width="5.33203125" style="6" customWidth="1"/>
    <col min="9" max="9" width="11.6640625" style="6" bestFit="1" customWidth="1"/>
    <col min="10" max="10" width="8.88671875" style="6"/>
    <col min="11" max="11" width="11.5546875" style="20" bestFit="1" customWidth="1"/>
    <col min="12" max="12" width="10" style="20" bestFit="1" customWidth="1"/>
    <col min="13" max="13" width="11" style="20" bestFit="1" customWidth="1"/>
    <col min="14" max="14" width="12.44140625" style="20" bestFit="1" customWidth="1"/>
    <col min="15" max="16" width="10.5546875" style="20" bestFit="1" customWidth="1"/>
    <col min="17" max="17" width="12.77734375" style="20" bestFit="1" customWidth="1"/>
    <col min="18" max="18" width="15.33203125" style="20" customWidth="1"/>
    <col min="19" max="16384" width="8.88671875" style="6"/>
  </cols>
  <sheetData>
    <row r="1" spans="1:18" x14ac:dyDescent="0.3">
      <c r="A1" s="6" t="str">
        <f>'Monthly Data'!A1</f>
        <v>Date</v>
      </c>
      <c r="B1" s="6" t="s">
        <v>83</v>
      </c>
      <c r="C1" s="20" t="str">
        <f>'Monthly Data'!F1</f>
        <v>Gross_Res</v>
      </c>
      <c r="D1" s="6" t="str">
        <f>'Monthly Data'!AG1</f>
        <v>HDD</v>
      </c>
      <c r="E1" s="6" t="str">
        <f>'Monthly Data'!AH1</f>
        <v>CDD</v>
      </c>
      <c r="F1" s="6" t="str">
        <f>'Monthly Data'!AL1</f>
        <v>Month_Days</v>
      </c>
      <c r="G1" s="6" t="str">
        <f>'Monthly Data'!BC1</f>
        <v>Shoulder</v>
      </c>
      <c r="H1" s="6" t="str">
        <f>'Monthly Data'!AN1</f>
        <v>Trend</v>
      </c>
      <c r="I1" s="6" t="str">
        <f>'Monthly Data'!AJ1</f>
        <v>Windsor_FTE</v>
      </c>
      <c r="K1" s="20" t="s">
        <v>67</v>
      </c>
      <c r="L1" s="20" t="str">
        <f t="shared" ref="L1:Q1" si="0">D1</f>
        <v>HDD</v>
      </c>
      <c r="M1" s="20" t="str">
        <f t="shared" si="0"/>
        <v>CDD</v>
      </c>
      <c r="N1" s="20" t="str">
        <f t="shared" si="0"/>
        <v>Month_Days</v>
      </c>
      <c r="O1" s="20" t="str">
        <f t="shared" si="0"/>
        <v>Shoulder</v>
      </c>
      <c r="P1" s="20" t="str">
        <f t="shared" si="0"/>
        <v>Trend</v>
      </c>
      <c r="Q1" s="20" t="str">
        <f t="shared" si="0"/>
        <v>Windsor_FTE</v>
      </c>
      <c r="R1" s="29" t="s">
        <v>96</v>
      </c>
    </row>
    <row r="2" spans="1:18" x14ac:dyDescent="0.3">
      <c r="A2" s="22">
        <f>'Monthly Data'!A2</f>
        <v>39814</v>
      </c>
      <c r="B2" s="6">
        <f>YEAR(A2)</f>
        <v>2009</v>
      </c>
      <c r="C2" s="20">
        <f ca="1">'Monthly Data'!F2</f>
        <v>22953528.183818262</v>
      </c>
      <c r="D2" s="6">
        <f ca="1">Weather!F26</f>
        <v>661.18999999999994</v>
      </c>
      <c r="E2" s="6">
        <f ca="1">Weather!F58</f>
        <v>0</v>
      </c>
      <c r="F2" s="6">
        <f>'Monthly Data'!AL2</f>
        <v>31</v>
      </c>
      <c r="G2" s="6">
        <f>'Monthly Data'!BC2</f>
        <v>0</v>
      </c>
      <c r="H2" s="6">
        <f>'Monthly Data'!AN2</f>
        <v>1</v>
      </c>
      <c r="I2" s="6">
        <f>'Monthly Data'!AJ2</f>
        <v>151.5</v>
      </c>
      <c r="K2" s="20">
        <f>'Res OLS model'!$B$5</f>
        <v>-17086566.711675301</v>
      </c>
      <c r="L2" s="20">
        <f ca="1">'Res OLS model'!$B$6*D2</f>
        <v>4276148.0146945119</v>
      </c>
      <c r="M2" s="20">
        <f ca="1">'Res OLS model'!$B$7*E2</f>
        <v>0</v>
      </c>
      <c r="N2" s="20">
        <f>'Res OLS model'!$B$8*F2</f>
        <v>25673300.62967775</v>
      </c>
      <c r="O2" s="20">
        <f>'Res OLS model'!$B$9*G2</f>
        <v>0</v>
      </c>
      <c r="P2" s="20">
        <f>'Res OLS model'!$B$10*H2</f>
        <v>-20582.508758755499</v>
      </c>
      <c r="Q2" s="20">
        <f>'Res OLS model'!$B$11*I2</f>
        <v>9910408.2461404689</v>
      </c>
      <c r="R2" s="20">
        <f ca="1">SUM(K2:Q2)</f>
        <v>22752707.670078672</v>
      </c>
    </row>
    <row r="3" spans="1:18" x14ac:dyDescent="0.3">
      <c r="A3" s="22">
        <f>'Monthly Data'!A3</f>
        <v>39845</v>
      </c>
      <c r="B3" s="6">
        <f t="shared" ref="B3:B66" si="1">YEAR(A3)</f>
        <v>2009</v>
      </c>
      <c r="C3" s="20">
        <f ca="1">'Monthly Data'!F3</f>
        <v>19172932.773045871</v>
      </c>
      <c r="D3" s="6">
        <f ca="1">Weather!G26</f>
        <v>598.16999999999985</v>
      </c>
      <c r="E3" s="6">
        <f ca="1">Weather!G58</f>
        <v>0</v>
      </c>
      <c r="F3" s="6">
        <f>'Monthly Data'!AL3</f>
        <v>28</v>
      </c>
      <c r="G3" s="6">
        <f>'Monthly Data'!BC3</f>
        <v>0</v>
      </c>
      <c r="H3" s="6">
        <f>'Monthly Data'!AN3</f>
        <v>2</v>
      </c>
      <c r="I3" s="6">
        <f>'Monthly Data'!AJ3</f>
        <v>147.5</v>
      </c>
      <c r="K3" s="20">
        <f>'Res OLS model'!$B$5</f>
        <v>-17086566.711675301</v>
      </c>
      <c r="L3" s="20">
        <f ca="1">'Res OLS model'!$B$6*D3</f>
        <v>3868575.5349442908</v>
      </c>
      <c r="M3" s="20">
        <f ca="1">'Res OLS model'!$B$7*E3</f>
        <v>0</v>
      </c>
      <c r="N3" s="20">
        <f>'Res OLS model'!$B$8*F3</f>
        <v>23188787.665515389</v>
      </c>
      <c r="O3" s="20">
        <f>'Res OLS model'!$B$9*G3</f>
        <v>0</v>
      </c>
      <c r="P3" s="20">
        <f>'Res OLS model'!$B$10*H3</f>
        <v>-41165.017517510998</v>
      </c>
      <c r="Q3" s="20">
        <f>'Res OLS model'!$B$11*I3</f>
        <v>9648747.3023479804</v>
      </c>
      <c r="R3" s="20">
        <f t="shared" ref="R3:R66" ca="1" si="2">SUM(K3:Q3)</f>
        <v>19578378.773614846</v>
      </c>
    </row>
    <row r="4" spans="1:18" x14ac:dyDescent="0.3">
      <c r="A4" s="22">
        <f>'Monthly Data'!A4</f>
        <v>39873</v>
      </c>
      <c r="B4" s="6">
        <f t="shared" si="1"/>
        <v>2009</v>
      </c>
      <c r="C4" s="20">
        <f ca="1">'Monthly Data'!F4</f>
        <v>19039064.366005011</v>
      </c>
      <c r="D4" s="6">
        <f ca="1">Weather!H26</f>
        <v>451.34</v>
      </c>
      <c r="E4" s="6">
        <f ca="1">Weather!H58</f>
        <v>0.88000000000000012</v>
      </c>
      <c r="F4" s="6">
        <f>'Monthly Data'!AL4</f>
        <v>31</v>
      </c>
      <c r="G4" s="6">
        <f>'Monthly Data'!BC4</f>
        <v>1</v>
      </c>
      <c r="H4" s="6">
        <f>'Monthly Data'!AN4</f>
        <v>3</v>
      </c>
      <c r="I4" s="6">
        <f>'Monthly Data'!AJ4</f>
        <v>142.9</v>
      </c>
      <c r="K4" s="20">
        <f>'Res OLS model'!$B$5</f>
        <v>-17086566.711675301</v>
      </c>
      <c r="L4" s="20">
        <f ca="1">'Res OLS model'!$B$6*D4</f>
        <v>2918974.3416449446</v>
      </c>
      <c r="M4" s="20">
        <f ca="1">'Res OLS model'!$B$7*E4</f>
        <v>59964.621067633932</v>
      </c>
      <c r="N4" s="20">
        <f>'Res OLS model'!$B$8*F4</f>
        <v>25673300.62967775</v>
      </c>
      <c r="O4" s="20">
        <f>'Res OLS model'!$B$9*G4</f>
        <v>-1891036.2259753</v>
      </c>
      <c r="P4" s="20">
        <f>'Res OLS model'!$B$10*H4</f>
        <v>-61747.526276266493</v>
      </c>
      <c r="Q4" s="20">
        <f>'Res OLS model'!$B$11*I4</f>
        <v>9347837.2169866208</v>
      </c>
      <c r="R4" s="20">
        <f t="shared" ca="1" si="2"/>
        <v>18960726.345450081</v>
      </c>
    </row>
    <row r="5" spans="1:18" x14ac:dyDescent="0.3">
      <c r="A5" s="22">
        <f>'Monthly Data'!A5</f>
        <v>39904</v>
      </c>
      <c r="B5" s="6">
        <f t="shared" si="1"/>
        <v>2009</v>
      </c>
      <c r="C5" s="20">
        <f ca="1">'Monthly Data'!F5</f>
        <v>17003193.089812111</v>
      </c>
      <c r="D5" s="6">
        <f ca="1">Weather!I26</f>
        <v>259.5499999999999</v>
      </c>
      <c r="E5" s="6">
        <f ca="1">Weather!I58</f>
        <v>2.4500000000000002</v>
      </c>
      <c r="F5" s="6">
        <f>'Monthly Data'!AL5</f>
        <v>30</v>
      </c>
      <c r="G5" s="6">
        <f>'Monthly Data'!BC5</f>
        <v>1</v>
      </c>
      <c r="H5" s="6">
        <f>'Monthly Data'!AN5</f>
        <v>4</v>
      </c>
      <c r="I5" s="6">
        <f>'Monthly Data'!AJ5</f>
        <v>144.80000000000001</v>
      </c>
      <c r="K5" s="20">
        <f>'Res OLS model'!$B$5</f>
        <v>-17086566.711675301</v>
      </c>
      <c r="L5" s="20">
        <f ca="1">'Res OLS model'!$B$6*D5</f>
        <v>1678601.0333095784</v>
      </c>
      <c r="M5" s="20">
        <f ca="1">'Res OLS model'!$B$7*E5</f>
        <v>166946.95638148082</v>
      </c>
      <c r="N5" s="20">
        <f>'Res OLS model'!$B$8*F5</f>
        <v>24845129.641623631</v>
      </c>
      <c r="O5" s="20">
        <f>'Res OLS model'!$B$9*G5</f>
        <v>-1891036.2259753</v>
      </c>
      <c r="P5" s="20">
        <f>'Res OLS model'!$B$10*H5</f>
        <v>-82330.035035021996</v>
      </c>
      <c r="Q5" s="20">
        <f>'Res OLS model'!$B$11*I5</f>
        <v>9472126.1652880516</v>
      </c>
      <c r="R5" s="20">
        <f t="shared" ca="1" si="2"/>
        <v>17102870.823917121</v>
      </c>
    </row>
    <row r="6" spans="1:18" x14ac:dyDescent="0.3">
      <c r="A6" s="22">
        <f>'Monthly Data'!A6</f>
        <v>39934</v>
      </c>
      <c r="B6" s="6">
        <f t="shared" si="1"/>
        <v>2009</v>
      </c>
      <c r="C6" s="20">
        <f ca="1">'Monthly Data'!F6</f>
        <v>17391297.954777639</v>
      </c>
      <c r="D6" s="6">
        <f ca="1">Weather!J26</f>
        <v>88.880000000000024</v>
      </c>
      <c r="E6" s="6">
        <f ca="1">Weather!J58</f>
        <v>43.79999999999999</v>
      </c>
      <c r="F6" s="6">
        <f>'Monthly Data'!AL6</f>
        <v>31</v>
      </c>
      <c r="G6" s="6">
        <f>'Monthly Data'!BC6</f>
        <v>1</v>
      </c>
      <c r="H6" s="6">
        <f>'Monthly Data'!AN6</f>
        <v>5</v>
      </c>
      <c r="I6" s="6">
        <f>'Monthly Data'!AJ6</f>
        <v>145</v>
      </c>
      <c r="K6" s="20">
        <f>'Res OLS model'!$B$5</f>
        <v>-17086566.711675301</v>
      </c>
      <c r="L6" s="20">
        <f ca="1">'Res OLS model'!$B$6*D6</f>
        <v>574818.18470643589</v>
      </c>
      <c r="M6" s="20">
        <f ca="1">'Res OLS model'!$B$7*E6</f>
        <v>2984602.7304117787</v>
      </c>
      <c r="N6" s="20">
        <f>'Res OLS model'!$B$8*F6</f>
        <v>25673300.62967775</v>
      </c>
      <c r="O6" s="20">
        <f>'Res OLS model'!$B$9*G6</f>
        <v>-1891036.2259753</v>
      </c>
      <c r="P6" s="20">
        <f>'Res OLS model'!$B$10*H6</f>
        <v>-102912.5437937775</v>
      </c>
      <c r="Q6" s="20">
        <f>'Res OLS model'!$B$11*I6</f>
        <v>9485209.2124776766</v>
      </c>
      <c r="R6" s="20">
        <f t="shared" ca="1" si="2"/>
        <v>19637415.275829263</v>
      </c>
    </row>
    <row r="7" spans="1:18" x14ac:dyDescent="0.3">
      <c r="A7" s="22">
        <f>'Monthly Data'!A7</f>
        <v>39965</v>
      </c>
      <c r="B7" s="6">
        <f t="shared" si="1"/>
        <v>2009</v>
      </c>
      <c r="C7" s="20">
        <f ca="1">'Monthly Data'!F7</f>
        <v>21273593.977212608</v>
      </c>
      <c r="D7" s="6">
        <f ca="1">Weather!K26</f>
        <v>9.77</v>
      </c>
      <c r="E7" s="6">
        <f ca="1">Weather!K58</f>
        <v>117.38999999999999</v>
      </c>
      <c r="F7" s="6">
        <f>'Monthly Data'!AL7</f>
        <v>30</v>
      </c>
      <c r="G7" s="6">
        <f>'Monthly Data'!BC7</f>
        <v>0</v>
      </c>
      <c r="H7" s="6">
        <f>'Monthly Data'!AN7</f>
        <v>6</v>
      </c>
      <c r="I7" s="6">
        <f>'Monthly Data'!AJ7</f>
        <v>145.69999999999999</v>
      </c>
      <c r="K7" s="20">
        <f>'Res OLS model'!$B$5</f>
        <v>-17086566.711675301</v>
      </c>
      <c r="L7" s="20">
        <f ca="1">'Res OLS model'!$B$6*D7</f>
        <v>63186.022328778992</v>
      </c>
      <c r="M7" s="20">
        <f ca="1">'Res OLS model'!$B$7*E7</f>
        <v>7999144.1671926649</v>
      </c>
      <c r="N7" s="20">
        <f>'Res OLS model'!$B$8*F7</f>
        <v>24845129.641623631</v>
      </c>
      <c r="O7" s="20">
        <f>'Res OLS model'!$B$9*G7</f>
        <v>0</v>
      </c>
      <c r="P7" s="20">
        <f>'Res OLS model'!$B$10*H7</f>
        <v>-123495.05255253299</v>
      </c>
      <c r="Q7" s="20">
        <f>'Res OLS model'!$B$11*I7</f>
        <v>9530999.8776413612</v>
      </c>
      <c r="R7" s="20">
        <f t="shared" ca="1" si="2"/>
        <v>25228397.944558602</v>
      </c>
    </row>
    <row r="8" spans="1:18" x14ac:dyDescent="0.3">
      <c r="A8" s="22">
        <f>'Monthly Data'!A8</f>
        <v>39995</v>
      </c>
      <c r="B8" s="6">
        <f t="shared" si="1"/>
        <v>2009</v>
      </c>
      <c r="C8" s="20">
        <f ca="1">'Monthly Data'!F8</f>
        <v>25787416.81760994</v>
      </c>
      <c r="D8" s="6">
        <f ca="1">Weather!L26</f>
        <v>0.58000000000000007</v>
      </c>
      <c r="E8" s="6">
        <f ca="1">Weather!L58</f>
        <v>179.70999999999998</v>
      </c>
      <c r="F8" s="6">
        <f>'Monthly Data'!AL8</f>
        <v>31</v>
      </c>
      <c r="G8" s="6">
        <f>'Monthly Data'!BC8</f>
        <v>0</v>
      </c>
      <c r="H8" s="6">
        <f>'Monthly Data'!AN8</f>
        <v>7</v>
      </c>
      <c r="I8" s="6">
        <f>'Monthly Data'!AJ8</f>
        <v>144.30000000000001</v>
      </c>
      <c r="K8" s="20">
        <f>'Res OLS model'!$B$5</f>
        <v>-17086566.711675301</v>
      </c>
      <c r="L8" s="20">
        <f ca="1">'Res OLS model'!$B$6*D8</f>
        <v>3751.0637615856522</v>
      </c>
      <c r="M8" s="20">
        <f ca="1">'Res OLS model'!$B$7*E8</f>
        <v>12245729.604618739</v>
      </c>
      <c r="N8" s="20">
        <f>'Res OLS model'!$B$8*F8</f>
        <v>25673300.62967775</v>
      </c>
      <c r="O8" s="20">
        <f>'Res OLS model'!$B$9*G8</f>
        <v>0</v>
      </c>
      <c r="P8" s="20">
        <f>'Res OLS model'!$B$10*H8</f>
        <v>-144077.5613112885</v>
      </c>
      <c r="Q8" s="20">
        <f>'Res OLS model'!$B$11*I8</f>
        <v>9439418.5473139919</v>
      </c>
      <c r="R8" s="20">
        <f t="shared" ca="1" si="2"/>
        <v>30131555.572385475</v>
      </c>
    </row>
    <row r="9" spans="1:18" x14ac:dyDescent="0.3">
      <c r="A9" s="22">
        <f>'Monthly Data'!A9</f>
        <v>40026</v>
      </c>
      <c r="B9" s="6">
        <f t="shared" si="1"/>
        <v>2009</v>
      </c>
      <c r="C9" s="20">
        <f ca="1">'Monthly Data'!F9</f>
        <v>27496374.034570016</v>
      </c>
      <c r="D9" s="6">
        <f ca="1">Weather!M26</f>
        <v>1.7099999999999997</v>
      </c>
      <c r="E9" s="6">
        <f ca="1">Weather!M58</f>
        <v>158.1</v>
      </c>
      <c r="F9" s="6">
        <f>'Monthly Data'!AL9</f>
        <v>31</v>
      </c>
      <c r="G9" s="6">
        <f>'Monthly Data'!BC9</f>
        <v>0</v>
      </c>
      <c r="H9" s="6">
        <f>'Monthly Data'!AN9</f>
        <v>8</v>
      </c>
      <c r="I9" s="6">
        <f>'Monthly Data'!AJ9</f>
        <v>145.1</v>
      </c>
      <c r="K9" s="20">
        <f>'Res OLS model'!$B$5</f>
        <v>-17086566.711675301</v>
      </c>
      <c r="L9" s="20">
        <f ca="1">'Res OLS model'!$B$6*D9</f>
        <v>11059.170745364592</v>
      </c>
      <c r="M9" s="20">
        <f ca="1">'Res OLS model'!$B$7*E9</f>
        <v>10773189.307719231</v>
      </c>
      <c r="N9" s="20">
        <f>'Res OLS model'!$B$8*F9</f>
        <v>25673300.62967775</v>
      </c>
      <c r="O9" s="20">
        <f>'Res OLS model'!$B$9*G9</f>
        <v>0</v>
      </c>
      <c r="P9" s="20">
        <f>'Res OLS model'!$B$10*H9</f>
        <v>-164660.07007004399</v>
      </c>
      <c r="Q9" s="20">
        <f>'Res OLS model'!$B$11*I9</f>
        <v>9491750.7360724881</v>
      </c>
      <c r="R9" s="20">
        <f t="shared" ca="1" si="2"/>
        <v>28698073.06246949</v>
      </c>
    </row>
    <row r="10" spans="1:18" x14ac:dyDescent="0.3">
      <c r="A10" s="22">
        <f>'Monthly Data'!A10</f>
        <v>40057</v>
      </c>
      <c r="B10" s="6">
        <f t="shared" si="1"/>
        <v>2009</v>
      </c>
      <c r="C10" s="20">
        <f ca="1">'Monthly Data'!F10</f>
        <v>20755352.022298176</v>
      </c>
      <c r="D10" s="6">
        <f ca="1">Weather!N26</f>
        <v>32.68</v>
      </c>
      <c r="E10" s="6">
        <f ca="1">Weather!N58</f>
        <v>67.34</v>
      </c>
      <c r="F10" s="6">
        <f>'Monthly Data'!AL10</f>
        <v>30</v>
      </c>
      <c r="G10" s="6">
        <f>'Monthly Data'!BC10</f>
        <v>0</v>
      </c>
      <c r="H10" s="6">
        <f>'Monthly Data'!AN10</f>
        <v>9</v>
      </c>
      <c r="I10" s="6">
        <f>'Monthly Data'!AJ10</f>
        <v>146.80000000000001</v>
      </c>
      <c r="K10" s="20">
        <f>'Res OLS model'!$B$5</f>
        <v>-17086566.711675301</v>
      </c>
      <c r="L10" s="20">
        <f ca="1">'Res OLS model'!$B$6*D10</f>
        <v>211353.04091141222</v>
      </c>
      <c r="M10" s="20">
        <f ca="1">'Res OLS model'!$B$7*E10</f>
        <v>4588656.343970987</v>
      </c>
      <c r="N10" s="20">
        <f>'Res OLS model'!$B$8*F10</f>
        <v>24845129.641623631</v>
      </c>
      <c r="O10" s="20">
        <f>'Res OLS model'!$B$9*G10</f>
        <v>0</v>
      </c>
      <c r="P10" s="20">
        <f>'Res OLS model'!$B$10*H10</f>
        <v>-185242.57882879948</v>
      </c>
      <c r="Q10" s="20">
        <f>'Res OLS model'!$B$11*I10</f>
        <v>9602956.6371842958</v>
      </c>
      <c r="R10" s="20">
        <f t="shared" ca="1" si="2"/>
        <v>21976286.373186231</v>
      </c>
    </row>
    <row r="11" spans="1:18" x14ac:dyDescent="0.3">
      <c r="A11" s="22">
        <f>'Monthly Data'!A11</f>
        <v>40087</v>
      </c>
      <c r="B11" s="6">
        <f t="shared" si="1"/>
        <v>2009</v>
      </c>
      <c r="C11" s="20">
        <f ca="1">'Monthly Data'!F11</f>
        <v>18082092.987588529</v>
      </c>
      <c r="D11" s="6">
        <f ca="1">Weather!O26</f>
        <v>176.42</v>
      </c>
      <c r="E11" s="6">
        <f ca="1">Weather!O58</f>
        <v>10.18</v>
      </c>
      <c r="F11" s="6">
        <f>'Monthly Data'!AL11</f>
        <v>31</v>
      </c>
      <c r="G11" s="6">
        <f>'Monthly Data'!BC11</f>
        <v>1</v>
      </c>
      <c r="H11" s="6">
        <f>'Monthly Data'!AN11</f>
        <v>10</v>
      </c>
      <c r="I11" s="6">
        <f>'Monthly Data'!AJ11</f>
        <v>149.19999999999999</v>
      </c>
      <c r="K11" s="20">
        <f>'Res OLS model'!$B$5</f>
        <v>-17086566.711675301</v>
      </c>
      <c r="L11" s="20">
        <f ca="1">'Res OLS model'!$B$6*D11</f>
        <v>1140970.1186533459</v>
      </c>
      <c r="M11" s="20">
        <f ca="1">'Res OLS model'!$B$7*E11</f>
        <v>693681.63916876516</v>
      </c>
      <c r="N11" s="20">
        <f>'Res OLS model'!$B$8*F11</f>
        <v>25673300.62967775</v>
      </c>
      <c r="O11" s="20">
        <f>'Res OLS model'!$B$9*G11</f>
        <v>-1891036.2259753</v>
      </c>
      <c r="P11" s="20">
        <f>'Res OLS model'!$B$10*H11</f>
        <v>-205825.087587555</v>
      </c>
      <c r="Q11" s="20">
        <f>'Res OLS model'!$B$11*I11</f>
        <v>9759953.2034597863</v>
      </c>
      <c r="R11" s="20">
        <f t="shared" ca="1" si="2"/>
        <v>18084477.565721493</v>
      </c>
    </row>
    <row r="12" spans="1:18" x14ac:dyDescent="0.3">
      <c r="A12" s="22">
        <f>'Monthly Data'!A12</f>
        <v>40118</v>
      </c>
      <c r="B12" s="6">
        <f t="shared" si="1"/>
        <v>2009</v>
      </c>
      <c r="C12" s="20">
        <f ca="1">'Monthly Data'!F12</f>
        <v>18074593.893965401</v>
      </c>
      <c r="D12" s="6">
        <f ca="1">Weather!P26</f>
        <v>364.2299999999999</v>
      </c>
      <c r="E12" s="6">
        <f ca="1">Weather!P58</f>
        <v>0.05</v>
      </c>
      <c r="F12" s="6">
        <f>'Monthly Data'!AL12</f>
        <v>30</v>
      </c>
      <c r="G12" s="6">
        <f>'Monthly Data'!BC12</f>
        <v>1</v>
      </c>
      <c r="H12" s="6">
        <f>'Monthly Data'!AN12</f>
        <v>11</v>
      </c>
      <c r="I12" s="6">
        <f>'Monthly Data'!AJ12</f>
        <v>150.1</v>
      </c>
      <c r="K12" s="20">
        <f>'Res OLS model'!$B$5</f>
        <v>-17086566.711675301</v>
      </c>
      <c r="L12" s="20">
        <f ca="1">'Res OLS model'!$B$6*D12</f>
        <v>2355603.368762658</v>
      </c>
      <c r="M12" s="20">
        <f ca="1">'Res OLS model'!$B$7*E12</f>
        <v>3407.0807424792001</v>
      </c>
      <c r="N12" s="20">
        <f>'Res OLS model'!$B$8*F12</f>
        <v>24845129.641623631</v>
      </c>
      <c r="O12" s="20">
        <f>'Res OLS model'!$B$9*G12</f>
        <v>-1891036.2259753</v>
      </c>
      <c r="P12" s="20">
        <f>'Res OLS model'!$B$10*H12</f>
        <v>-226407.59634631049</v>
      </c>
      <c r="Q12" s="20">
        <f>'Res OLS model'!$B$11*I12</f>
        <v>9818826.9158130977</v>
      </c>
      <c r="R12" s="20">
        <f t="shared" ca="1" si="2"/>
        <v>17818956.472944953</v>
      </c>
    </row>
    <row r="13" spans="1:18" x14ac:dyDescent="0.3">
      <c r="A13" s="22">
        <f>'Monthly Data'!A13</f>
        <v>40148</v>
      </c>
      <c r="B13" s="6">
        <f t="shared" si="1"/>
        <v>2009</v>
      </c>
      <c r="C13" s="20">
        <f ca="1">'Monthly Data'!F13</f>
        <v>22219304.425605915</v>
      </c>
      <c r="D13" s="6">
        <f ca="1">Weather!Q26</f>
        <v>552.31000000000006</v>
      </c>
      <c r="E13" s="6">
        <f ca="1">Weather!Q58</f>
        <v>0</v>
      </c>
      <c r="F13" s="6">
        <f>'Monthly Data'!AL13</f>
        <v>31</v>
      </c>
      <c r="G13" s="6">
        <f>'Monthly Data'!BC13</f>
        <v>0</v>
      </c>
      <c r="H13" s="6">
        <f>'Monthly Data'!AN13</f>
        <v>12</v>
      </c>
      <c r="I13" s="6">
        <f>'Monthly Data'!AJ13</f>
        <v>150.19999999999999</v>
      </c>
      <c r="K13" s="20">
        <f>'Res OLS model'!$B$5</f>
        <v>-17086566.711675301</v>
      </c>
      <c r="L13" s="20">
        <f ca="1">'Res OLS model'!$B$6*D13</f>
        <v>3571982.8037265027</v>
      </c>
      <c r="M13" s="20">
        <f ca="1">'Res OLS model'!$B$7*E13</f>
        <v>0</v>
      </c>
      <c r="N13" s="20">
        <f>'Res OLS model'!$B$8*F13</f>
        <v>25673300.62967775</v>
      </c>
      <c r="O13" s="20">
        <f>'Res OLS model'!$B$9*G13</f>
        <v>0</v>
      </c>
      <c r="P13" s="20">
        <f>'Res OLS model'!$B$10*H13</f>
        <v>-246990.10510506597</v>
      </c>
      <c r="Q13" s="20">
        <f>'Res OLS model'!$B$11*I13</f>
        <v>9825368.4394079093</v>
      </c>
      <c r="R13" s="20">
        <f t="shared" ca="1" si="2"/>
        <v>21737095.056031793</v>
      </c>
    </row>
    <row r="14" spans="1:18" x14ac:dyDescent="0.3">
      <c r="A14" s="22">
        <f>'Monthly Data'!A14</f>
        <v>40179</v>
      </c>
      <c r="B14" s="6">
        <f t="shared" si="1"/>
        <v>2010</v>
      </c>
      <c r="C14" s="20">
        <f ca="1">'Monthly Data'!F14</f>
        <v>22358460.250977054</v>
      </c>
      <c r="D14" s="6">
        <f t="shared" ref="D14:E33" ca="1" si="3">D2</f>
        <v>661.18999999999994</v>
      </c>
      <c r="E14" s="6">
        <f t="shared" ca="1" si="3"/>
        <v>0</v>
      </c>
      <c r="F14" s="6">
        <f>'Monthly Data'!AL14</f>
        <v>31</v>
      </c>
      <c r="G14" s="6">
        <f>'Monthly Data'!BC14</f>
        <v>0</v>
      </c>
      <c r="H14" s="6">
        <f>'Monthly Data'!AN14</f>
        <v>13</v>
      </c>
      <c r="I14" s="6">
        <f>'Monthly Data'!AJ14</f>
        <v>146.80000000000001</v>
      </c>
      <c r="K14" s="20">
        <f>'Res OLS model'!$B$5</f>
        <v>-17086566.711675301</v>
      </c>
      <c r="L14" s="20">
        <f ca="1">'Res OLS model'!$B$6*D14</f>
        <v>4276148.0146945119</v>
      </c>
      <c r="M14" s="20">
        <f ca="1">'Res OLS model'!$B$7*E14</f>
        <v>0</v>
      </c>
      <c r="N14" s="20">
        <f>'Res OLS model'!$B$8*F14</f>
        <v>25673300.62967775</v>
      </c>
      <c r="O14" s="20">
        <f>'Res OLS model'!$B$9*G14</f>
        <v>0</v>
      </c>
      <c r="P14" s="20">
        <f>'Res OLS model'!$B$10*H14</f>
        <v>-267572.61386382149</v>
      </c>
      <c r="Q14" s="20">
        <f>'Res OLS model'!$B$11*I14</f>
        <v>9602956.6371842958</v>
      </c>
      <c r="R14" s="20">
        <f t="shared" ca="1" si="2"/>
        <v>22198265.956017435</v>
      </c>
    </row>
    <row r="15" spans="1:18" x14ac:dyDescent="0.3">
      <c r="A15" s="22">
        <f>'Monthly Data'!A15</f>
        <v>40210</v>
      </c>
      <c r="B15" s="6">
        <f t="shared" si="1"/>
        <v>2010</v>
      </c>
      <c r="C15" s="20">
        <f ca="1">'Monthly Data'!F15</f>
        <v>18735998.915144272</v>
      </c>
      <c r="D15" s="6">
        <f t="shared" ca="1" si="3"/>
        <v>598.16999999999985</v>
      </c>
      <c r="E15" s="6">
        <f t="shared" ca="1" si="3"/>
        <v>0</v>
      </c>
      <c r="F15" s="6">
        <f>'Monthly Data'!AL15</f>
        <v>28</v>
      </c>
      <c r="G15" s="6">
        <f>'Monthly Data'!BC15</f>
        <v>0</v>
      </c>
      <c r="H15" s="6">
        <f>'Monthly Data'!AN15</f>
        <v>14</v>
      </c>
      <c r="I15" s="6">
        <f>'Monthly Data'!AJ15</f>
        <v>145.5</v>
      </c>
      <c r="K15" s="20">
        <f>'Res OLS model'!$B$5</f>
        <v>-17086566.711675301</v>
      </c>
      <c r="L15" s="20">
        <f ca="1">'Res OLS model'!$B$6*D15</f>
        <v>3868575.5349442908</v>
      </c>
      <c r="M15" s="20">
        <f ca="1">'Res OLS model'!$B$7*E15</f>
        <v>0</v>
      </c>
      <c r="N15" s="20">
        <f>'Res OLS model'!$B$8*F15</f>
        <v>23188787.665515389</v>
      </c>
      <c r="O15" s="20">
        <f>'Res OLS model'!$B$9*G15</f>
        <v>0</v>
      </c>
      <c r="P15" s="20">
        <f>'Res OLS model'!$B$10*H15</f>
        <v>-288155.12262257701</v>
      </c>
      <c r="Q15" s="20">
        <f>'Res OLS model'!$B$11*I15</f>
        <v>9517916.8304517362</v>
      </c>
      <c r="R15" s="20">
        <f t="shared" ca="1" si="2"/>
        <v>19200558.196613535</v>
      </c>
    </row>
    <row r="16" spans="1:18" x14ac:dyDescent="0.3">
      <c r="A16" s="22">
        <f>'Monthly Data'!A16</f>
        <v>40238</v>
      </c>
      <c r="B16" s="6">
        <f t="shared" si="1"/>
        <v>2010</v>
      </c>
      <c r="C16" s="20">
        <f ca="1">'Monthly Data'!F16</f>
        <v>18338914.486644384</v>
      </c>
      <c r="D16" s="6">
        <f t="shared" ca="1" si="3"/>
        <v>451.34</v>
      </c>
      <c r="E16" s="6">
        <f t="shared" ca="1" si="3"/>
        <v>0.88000000000000012</v>
      </c>
      <c r="F16" s="6">
        <f>'Monthly Data'!AL16</f>
        <v>31</v>
      </c>
      <c r="G16" s="6">
        <f>'Monthly Data'!BC16</f>
        <v>1</v>
      </c>
      <c r="H16" s="6">
        <f>'Monthly Data'!AN16</f>
        <v>15</v>
      </c>
      <c r="I16" s="6">
        <f>'Monthly Data'!AJ16</f>
        <v>143.30000000000001</v>
      </c>
      <c r="K16" s="20">
        <f>'Res OLS model'!$B$5</f>
        <v>-17086566.711675301</v>
      </c>
      <c r="L16" s="20">
        <f ca="1">'Res OLS model'!$B$6*D16</f>
        <v>2918974.3416449446</v>
      </c>
      <c r="M16" s="20">
        <f ca="1">'Res OLS model'!$B$7*E16</f>
        <v>59964.621067633932</v>
      </c>
      <c r="N16" s="20">
        <f>'Res OLS model'!$B$8*F16</f>
        <v>25673300.62967775</v>
      </c>
      <c r="O16" s="20">
        <f>'Res OLS model'!$B$9*G16</f>
        <v>-1891036.2259753</v>
      </c>
      <c r="P16" s="20">
        <f>'Res OLS model'!$B$10*H16</f>
        <v>-308737.63138133247</v>
      </c>
      <c r="Q16" s="20">
        <f>'Res OLS model'!$B$11*I16</f>
        <v>9374003.3113658689</v>
      </c>
      <c r="R16" s="20">
        <f t="shared" ca="1" si="2"/>
        <v>18739902.334724262</v>
      </c>
    </row>
    <row r="17" spans="1:18" x14ac:dyDescent="0.3">
      <c r="A17" s="22">
        <f>'Monthly Data'!A17</f>
        <v>40269</v>
      </c>
      <c r="B17" s="6">
        <f t="shared" si="1"/>
        <v>2010</v>
      </c>
      <c r="C17" s="20">
        <f ca="1">'Monthly Data'!F17</f>
        <v>16457791.552007467</v>
      </c>
      <c r="D17" s="6">
        <f t="shared" ca="1" si="3"/>
        <v>259.5499999999999</v>
      </c>
      <c r="E17" s="6">
        <f t="shared" ca="1" si="3"/>
        <v>2.4500000000000002</v>
      </c>
      <c r="F17" s="6">
        <f>'Monthly Data'!AL17</f>
        <v>30</v>
      </c>
      <c r="G17" s="6">
        <f>'Monthly Data'!BC17</f>
        <v>1</v>
      </c>
      <c r="H17" s="6">
        <f>'Monthly Data'!AN17</f>
        <v>16</v>
      </c>
      <c r="I17" s="6">
        <f>'Monthly Data'!AJ17</f>
        <v>146.6</v>
      </c>
      <c r="K17" s="20">
        <f>'Res OLS model'!$B$5</f>
        <v>-17086566.711675301</v>
      </c>
      <c r="L17" s="20">
        <f ca="1">'Res OLS model'!$B$6*D17</f>
        <v>1678601.0333095784</v>
      </c>
      <c r="M17" s="20">
        <f ca="1">'Res OLS model'!$B$7*E17</f>
        <v>166946.95638148082</v>
      </c>
      <c r="N17" s="20">
        <f>'Res OLS model'!$B$8*F17</f>
        <v>24845129.641623631</v>
      </c>
      <c r="O17" s="20">
        <f>'Res OLS model'!$B$9*G17</f>
        <v>-1891036.2259753</v>
      </c>
      <c r="P17" s="20">
        <f>'Res OLS model'!$B$10*H17</f>
        <v>-329320.14014008798</v>
      </c>
      <c r="Q17" s="20">
        <f>'Res OLS model'!$B$11*I17</f>
        <v>9589873.5899946708</v>
      </c>
      <c r="R17" s="20">
        <f t="shared" ca="1" si="2"/>
        <v>16973628.143518671</v>
      </c>
    </row>
    <row r="18" spans="1:18" x14ac:dyDescent="0.3">
      <c r="A18" s="22">
        <f>'Monthly Data'!A18</f>
        <v>40299</v>
      </c>
      <c r="B18" s="6">
        <f t="shared" si="1"/>
        <v>2010</v>
      </c>
      <c r="C18" s="20">
        <f ca="1">'Monthly Data'!F18</f>
        <v>19877888.578557905</v>
      </c>
      <c r="D18" s="6">
        <f t="shared" ca="1" si="3"/>
        <v>88.880000000000024</v>
      </c>
      <c r="E18" s="6">
        <f t="shared" ca="1" si="3"/>
        <v>43.79999999999999</v>
      </c>
      <c r="F18" s="6">
        <f>'Monthly Data'!AL18</f>
        <v>31</v>
      </c>
      <c r="G18" s="6">
        <f>'Monthly Data'!BC18</f>
        <v>1</v>
      </c>
      <c r="H18" s="6">
        <f>'Monthly Data'!AN18</f>
        <v>17</v>
      </c>
      <c r="I18" s="6">
        <f>'Monthly Data'!AJ18</f>
        <v>147.80000000000001</v>
      </c>
      <c r="K18" s="20">
        <f>'Res OLS model'!$B$5</f>
        <v>-17086566.711675301</v>
      </c>
      <c r="L18" s="20">
        <f ca="1">'Res OLS model'!$B$6*D18</f>
        <v>574818.18470643589</v>
      </c>
      <c r="M18" s="20">
        <f ca="1">'Res OLS model'!$B$7*E18</f>
        <v>2984602.7304117787</v>
      </c>
      <c r="N18" s="20">
        <f>'Res OLS model'!$B$8*F18</f>
        <v>25673300.62967775</v>
      </c>
      <c r="O18" s="20">
        <f>'Res OLS model'!$B$9*G18</f>
        <v>-1891036.2259753</v>
      </c>
      <c r="P18" s="20">
        <f>'Res OLS model'!$B$10*H18</f>
        <v>-349902.6488988435</v>
      </c>
      <c r="Q18" s="20">
        <f>'Res OLS model'!$B$11*I18</f>
        <v>9668371.8731324188</v>
      </c>
      <c r="R18" s="20">
        <f t="shared" ca="1" si="2"/>
        <v>19573587.83137894</v>
      </c>
    </row>
    <row r="19" spans="1:18" x14ac:dyDescent="0.3">
      <c r="A19" s="22">
        <f>'Monthly Data'!A19</f>
        <v>40330</v>
      </c>
      <c r="B19" s="6">
        <f t="shared" si="1"/>
        <v>2010</v>
      </c>
      <c r="C19" s="20">
        <f ca="1">'Monthly Data'!F19</f>
        <v>27745184.765543249</v>
      </c>
      <c r="D19" s="6">
        <f t="shared" ca="1" si="3"/>
        <v>9.77</v>
      </c>
      <c r="E19" s="6">
        <f t="shared" ca="1" si="3"/>
        <v>117.38999999999999</v>
      </c>
      <c r="F19" s="6">
        <f>'Monthly Data'!AL19</f>
        <v>30</v>
      </c>
      <c r="G19" s="6">
        <f>'Monthly Data'!BC19</f>
        <v>0</v>
      </c>
      <c r="H19" s="6">
        <f>'Monthly Data'!AN19</f>
        <v>18</v>
      </c>
      <c r="I19" s="6">
        <f>'Monthly Data'!AJ19</f>
        <v>149.9</v>
      </c>
      <c r="K19" s="20">
        <f>'Res OLS model'!$B$5</f>
        <v>-17086566.711675301</v>
      </c>
      <c r="L19" s="20">
        <f ca="1">'Res OLS model'!$B$6*D19</f>
        <v>63186.022328778992</v>
      </c>
      <c r="M19" s="20">
        <f ca="1">'Res OLS model'!$B$7*E19</f>
        <v>7999144.1671926649</v>
      </c>
      <c r="N19" s="20">
        <f>'Res OLS model'!$B$8*F19</f>
        <v>24845129.641623631</v>
      </c>
      <c r="O19" s="20">
        <f>'Res OLS model'!$B$9*G19</f>
        <v>0</v>
      </c>
      <c r="P19" s="20">
        <f>'Res OLS model'!$B$10*H19</f>
        <v>-370485.15765759896</v>
      </c>
      <c r="Q19" s="20">
        <f>'Res OLS model'!$B$11*I19</f>
        <v>9805743.8686234728</v>
      </c>
      <c r="R19" s="20">
        <f t="shared" ca="1" si="2"/>
        <v>25256151.830435649</v>
      </c>
    </row>
    <row r="20" spans="1:18" x14ac:dyDescent="0.3">
      <c r="A20" s="22">
        <f>'Monthly Data'!A20</f>
        <v>40360</v>
      </c>
      <c r="B20" s="6">
        <f t="shared" si="1"/>
        <v>2010</v>
      </c>
      <c r="C20" s="20">
        <f ca="1">'Monthly Data'!F20</f>
        <v>34151513.368632481</v>
      </c>
      <c r="D20" s="6">
        <f t="shared" ca="1" si="3"/>
        <v>0.58000000000000007</v>
      </c>
      <c r="E20" s="6">
        <f t="shared" ca="1" si="3"/>
        <v>179.70999999999998</v>
      </c>
      <c r="F20" s="6">
        <f>'Monthly Data'!AL20</f>
        <v>31</v>
      </c>
      <c r="G20" s="6">
        <f>'Monthly Data'!BC20</f>
        <v>0</v>
      </c>
      <c r="H20" s="6">
        <f>'Monthly Data'!AN20</f>
        <v>19</v>
      </c>
      <c r="I20" s="6">
        <f>'Monthly Data'!AJ20</f>
        <v>148.30000000000001</v>
      </c>
      <c r="K20" s="20">
        <f>'Res OLS model'!$B$5</f>
        <v>-17086566.711675301</v>
      </c>
      <c r="L20" s="20">
        <f ca="1">'Res OLS model'!$B$6*D20</f>
        <v>3751.0637615856522</v>
      </c>
      <c r="M20" s="20">
        <f ca="1">'Res OLS model'!$B$7*E20</f>
        <v>12245729.604618739</v>
      </c>
      <c r="N20" s="20">
        <f>'Res OLS model'!$B$8*F20</f>
        <v>25673300.62967775</v>
      </c>
      <c r="O20" s="20">
        <f>'Res OLS model'!$B$9*G20</f>
        <v>0</v>
      </c>
      <c r="P20" s="20">
        <f>'Res OLS model'!$B$10*H20</f>
        <v>-391067.66641635448</v>
      </c>
      <c r="Q20" s="20">
        <f>'Res OLS model'!$B$11*I20</f>
        <v>9701079.4911064785</v>
      </c>
      <c r="R20" s="20">
        <f t="shared" ca="1" si="2"/>
        <v>30146226.411072895</v>
      </c>
    </row>
    <row r="21" spans="1:18" x14ac:dyDescent="0.3">
      <c r="A21" s="22">
        <f>'Monthly Data'!A21</f>
        <v>40391</v>
      </c>
      <c r="B21" s="6">
        <f t="shared" si="1"/>
        <v>2010</v>
      </c>
      <c r="C21" s="20">
        <f ca="1">'Monthly Data'!F21</f>
        <v>31520743.190588608</v>
      </c>
      <c r="D21" s="6">
        <f t="shared" ca="1" si="3"/>
        <v>1.7099999999999997</v>
      </c>
      <c r="E21" s="6">
        <f t="shared" ca="1" si="3"/>
        <v>158.1</v>
      </c>
      <c r="F21" s="6">
        <f>'Monthly Data'!AL21</f>
        <v>31</v>
      </c>
      <c r="G21" s="6">
        <f>'Monthly Data'!BC21</f>
        <v>0</v>
      </c>
      <c r="H21" s="6">
        <f>'Monthly Data'!AN21</f>
        <v>20</v>
      </c>
      <c r="I21" s="6">
        <f>'Monthly Data'!AJ21</f>
        <v>148.4</v>
      </c>
      <c r="K21" s="20">
        <f>'Res OLS model'!$B$5</f>
        <v>-17086566.711675301</v>
      </c>
      <c r="L21" s="20">
        <f ca="1">'Res OLS model'!$B$6*D21</f>
        <v>11059.170745364592</v>
      </c>
      <c r="M21" s="20">
        <f ca="1">'Res OLS model'!$B$7*E21</f>
        <v>10773189.307719231</v>
      </c>
      <c r="N21" s="20">
        <f>'Res OLS model'!$B$8*F21</f>
        <v>25673300.62967775</v>
      </c>
      <c r="O21" s="20">
        <f>'Res OLS model'!$B$9*G21</f>
        <v>0</v>
      </c>
      <c r="P21" s="20">
        <f>'Res OLS model'!$B$10*H21</f>
        <v>-411650.17517510999</v>
      </c>
      <c r="Q21" s="20">
        <f>'Res OLS model'!$B$11*I21</f>
        <v>9707621.0147012901</v>
      </c>
      <c r="R21" s="20">
        <f t="shared" ca="1" si="2"/>
        <v>28666953.235993221</v>
      </c>
    </row>
    <row r="22" spans="1:18" x14ac:dyDescent="0.3">
      <c r="A22" s="22">
        <f>'Monthly Data'!A22</f>
        <v>40422</v>
      </c>
      <c r="B22" s="6">
        <f t="shared" si="1"/>
        <v>2010</v>
      </c>
      <c r="C22" s="20">
        <f ca="1">'Monthly Data'!F22</f>
        <v>21071409.668348346</v>
      </c>
      <c r="D22" s="6">
        <f t="shared" ca="1" si="3"/>
        <v>32.68</v>
      </c>
      <c r="E22" s="6">
        <f t="shared" ca="1" si="3"/>
        <v>67.34</v>
      </c>
      <c r="F22" s="6">
        <f>'Monthly Data'!AL22</f>
        <v>30</v>
      </c>
      <c r="G22" s="6">
        <f>'Monthly Data'!BC22</f>
        <v>0</v>
      </c>
      <c r="H22" s="6">
        <f>'Monthly Data'!AN22</f>
        <v>21</v>
      </c>
      <c r="I22" s="6">
        <f>'Monthly Data'!AJ22</f>
        <v>148.69999999999999</v>
      </c>
      <c r="K22" s="20">
        <f>'Res OLS model'!$B$5</f>
        <v>-17086566.711675301</v>
      </c>
      <c r="L22" s="20">
        <f ca="1">'Res OLS model'!$B$6*D22</f>
        <v>211353.04091141222</v>
      </c>
      <c r="M22" s="20">
        <f ca="1">'Res OLS model'!$B$7*E22</f>
        <v>4588656.343970987</v>
      </c>
      <c r="N22" s="20">
        <f>'Res OLS model'!$B$8*F22</f>
        <v>24845129.641623631</v>
      </c>
      <c r="O22" s="20">
        <f>'Res OLS model'!$B$9*G22</f>
        <v>0</v>
      </c>
      <c r="P22" s="20">
        <f>'Res OLS model'!$B$10*H22</f>
        <v>-432232.68393386545</v>
      </c>
      <c r="Q22" s="20">
        <f>'Res OLS model'!$B$11*I22</f>
        <v>9727245.5854857266</v>
      </c>
      <c r="R22" s="20">
        <f t="shared" ca="1" si="2"/>
        <v>21853585.216382593</v>
      </c>
    </row>
    <row r="23" spans="1:18" x14ac:dyDescent="0.3">
      <c r="A23" s="22">
        <f>'Monthly Data'!A23</f>
        <v>40452</v>
      </c>
      <c r="B23" s="6">
        <f t="shared" si="1"/>
        <v>2010</v>
      </c>
      <c r="C23" s="20">
        <f ca="1">'Monthly Data'!F23</f>
        <v>17208459.015448716</v>
      </c>
      <c r="D23" s="6">
        <f t="shared" ca="1" si="3"/>
        <v>176.42</v>
      </c>
      <c r="E23" s="6">
        <f t="shared" ca="1" si="3"/>
        <v>10.18</v>
      </c>
      <c r="F23" s="6">
        <f>'Monthly Data'!AL23</f>
        <v>31</v>
      </c>
      <c r="G23" s="6">
        <f>'Monthly Data'!BC23</f>
        <v>1</v>
      </c>
      <c r="H23" s="6">
        <f>'Monthly Data'!AN23</f>
        <v>22</v>
      </c>
      <c r="I23" s="6">
        <f>'Monthly Data'!AJ23</f>
        <v>149.6</v>
      </c>
      <c r="K23" s="20">
        <f>'Res OLS model'!$B$5</f>
        <v>-17086566.711675301</v>
      </c>
      <c r="L23" s="20">
        <f ca="1">'Res OLS model'!$B$6*D23</f>
        <v>1140970.1186533459</v>
      </c>
      <c r="M23" s="20">
        <f ca="1">'Res OLS model'!$B$7*E23</f>
        <v>693681.63916876516</v>
      </c>
      <c r="N23" s="20">
        <f>'Res OLS model'!$B$8*F23</f>
        <v>25673300.62967775</v>
      </c>
      <c r="O23" s="20">
        <f>'Res OLS model'!$B$9*G23</f>
        <v>-1891036.2259753</v>
      </c>
      <c r="P23" s="20">
        <f>'Res OLS model'!$B$10*H23</f>
        <v>-452815.19269262097</v>
      </c>
      <c r="Q23" s="20">
        <f>'Res OLS model'!$B$11*I23</f>
        <v>9786119.2978390362</v>
      </c>
      <c r="R23" s="20">
        <f t="shared" ca="1" si="2"/>
        <v>17863653.554995678</v>
      </c>
    </row>
    <row r="24" spans="1:18" x14ac:dyDescent="0.3">
      <c r="A24" s="22">
        <f>'Monthly Data'!A24</f>
        <v>40483</v>
      </c>
      <c r="B24" s="6">
        <f t="shared" si="1"/>
        <v>2010</v>
      </c>
      <c r="C24" s="20">
        <f ca="1">'Monthly Data'!F24</f>
        <v>17984730.026108824</v>
      </c>
      <c r="D24" s="6">
        <f t="shared" ca="1" si="3"/>
        <v>364.2299999999999</v>
      </c>
      <c r="E24" s="6">
        <f t="shared" ca="1" si="3"/>
        <v>0.05</v>
      </c>
      <c r="F24" s="6">
        <f>'Monthly Data'!AL24</f>
        <v>30</v>
      </c>
      <c r="G24" s="6">
        <f>'Monthly Data'!BC24</f>
        <v>1</v>
      </c>
      <c r="H24" s="6">
        <f>'Monthly Data'!AN24</f>
        <v>23</v>
      </c>
      <c r="I24" s="6">
        <f>'Monthly Data'!AJ24</f>
        <v>148.9</v>
      </c>
      <c r="K24" s="20">
        <f>'Res OLS model'!$B$5</f>
        <v>-17086566.711675301</v>
      </c>
      <c r="L24" s="20">
        <f ca="1">'Res OLS model'!$B$6*D24</f>
        <v>2355603.368762658</v>
      </c>
      <c r="M24" s="20">
        <f ca="1">'Res OLS model'!$B$7*E24</f>
        <v>3407.0807424792001</v>
      </c>
      <c r="N24" s="20">
        <f>'Res OLS model'!$B$8*F24</f>
        <v>24845129.641623631</v>
      </c>
      <c r="O24" s="20">
        <f>'Res OLS model'!$B$9*G24</f>
        <v>-1891036.2259753</v>
      </c>
      <c r="P24" s="20">
        <f>'Res OLS model'!$B$10*H24</f>
        <v>-473397.70145137649</v>
      </c>
      <c r="Q24" s="20">
        <f>'Res OLS model'!$B$11*I24</f>
        <v>9740328.6326753516</v>
      </c>
      <c r="R24" s="20">
        <f t="shared" ca="1" si="2"/>
        <v>17493468.084702142</v>
      </c>
    </row>
    <row r="25" spans="1:18" x14ac:dyDescent="0.3">
      <c r="A25" s="22">
        <f>'Monthly Data'!A25</f>
        <v>40513</v>
      </c>
      <c r="B25" s="6">
        <f t="shared" si="1"/>
        <v>2010</v>
      </c>
      <c r="C25" s="20">
        <f ca="1">'Monthly Data'!F25</f>
        <v>21766502.464284435</v>
      </c>
      <c r="D25" s="6">
        <f t="shared" ca="1" si="3"/>
        <v>552.31000000000006</v>
      </c>
      <c r="E25" s="6">
        <f t="shared" ca="1" si="3"/>
        <v>0</v>
      </c>
      <c r="F25" s="6">
        <f>'Monthly Data'!AL25</f>
        <v>31</v>
      </c>
      <c r="G25" s="6">
        <f>'Monthly Data'!BC25</f>
        <v>0</v>
      </c>
      <c r="H25" s="6">
        <f>'Monthly Data'!AN25</f>
        <v>24</v>
      </c>
      <c r="I25" s="6">
        <f>'Monthly Data'!AJ25</f>
        <v>148.1</v>
      </c>
      <c r="K25" s="20">
        <f>'Res OLS model'!$B$5</f>
        <v>-17086566.711675301</v>
      </c>
      <c r="L25" s="20">
        <f ca="1">'Res OLS model'!$B$6*D25</f>
        <v>3571982.8037265027</v>
      </c>
      <c r="M25" s="20">
        <f ca="1">'Res OLS model'!$B$7*E25</f>
        <v>0</v>
      </c>
      <c r="N25" s="20">
        <f>'Res OLS model'!$B$8*F25</f>
        <v>25673300.62967775</v>
      </c>
      <c r="O25" s="20">
        <f>'Res OLS model'!$B$9*G25</f>
        <v>0</v>
      </c>
      <c r="P25" s="20">
        <f>'Res OLS model'!$B$10*H25</f>
        <v>-493980.21021013195</v>
      </c>
      <c r="Q25" s="20">
        <f>'Res OLS model'!$B$11*I25</f>
        <v>9687996.4439168535</v>
      </c>
      <c r="R25" s="20">
        <f t="shared" ca="1" si="2"/>
        <v>21352732.955435671</v>
      </c>
    </row>
    <row r="26" spans="1:18" x14ac:dyDescent="0.3">
      <c r="A26" s="22">
        <f>'Monthly Data'!A26</f>
        <v>40544</v>
      </c>
      <c r="B26" s="6">
        <f t="shared" si="1"/>
        <v>2011</v>
      </c>
      <c r="C26" s="20">
        <f ca="1">'Monthly Data'!F26</f>
        <v>22178314.15854536</v>
      </c>
      <c r="D26" s="6">
        <f t="shared" ca="1" si="3"/>
        <v>661.18999999999994</v>
      </c>
      <c r="E26" s="6">
        <f t="shared" ca="1" si="3"/>
        <v>0</v>
      </c>
      <c r="F26" s="6">
        <f>'Monthly Data'!AL26</f>
        <v>31</v>
      </c>
      <c r="G26" s="6">
        <f>'Monthly Data'!BC26</f>
        <v>0</v>
      </c>
      <c r="H26" s="6">
        <f>'Monthly Data'!AN26</f>
        <v>25</v>
      </c>
      <c r="I26" s="6">
        <f>'Monthly Data'!AJ26</f>
        <v>148.69999999999999</v>
      </c>
      <c r="K26" s="20">
        <f>'Res OLS model'!$B$5</f>
        <v>-17086566.711675301</v>
      </c>
      <c r="L26" s="20">
        <f ca="1">'Res OLS model'!$B$6*D26</f>
        <v>4276148.0146945119</v>
      </c>
      <c r="M26" s="20">
        <f ca="1">'Res OLS model'!$B$7*E26</f>
        <v>0</v>
      </c>
      <c r="N26" s="20">
        <f>'Res OLS model'!$B$8*F26</f>
        <v>25673300.62967775</v>
      </c>
      <c r="O26" s="20">
        <f>'Res OLS model'!$B$9*G26</f>
        <v>0</v>
      </c>
      <c r="P26" s="20">
        <f>'Res OLS model'!$B$10*H26</f>
        <v>-514562.71896888746</v>
      </c>
      <c r="Q26" s="20">
        <f>'Res OLS model'!$B$11*I26</f>
        <v>9727245.5854857266</v>
      </c>
      <c r="R26" s="20">
        <f t="shared" ca="1" si="2"/>
        <v>22075564.799213801</v>
      </c>
    </row>
    <row r="27" spans="1:18" x14ac:dyDescent="0.3">
      <c r="A27" s="22">
        <f>'Monthly Data'!A27</f>
        <v>40575</v>
      </c>
      <c r="B27" s="6">
        <f t="shared" si="1"/>
        <v>2011</v>
      </c>
      <c r="C27" s="20">
        <f ca="1">'Monthly Data'!F27</f>
        <v>18955531.053135466</v>
      </c>
      <c r="D27" s="6">
        <f t="shared" ca="1" si="3"/>
        <v>598.16999999999985</v>
      </c>
      <c r="E27" s="6">
        <f t="shared" ca="1" si="3"/>
        <v>0</v>
      </c>
      <c r="F27" s="6">
        <f>'Monthly Data'!AL27</f>
        <v>28</v>
      </c>
      <c r="G27" s="6">
        <f>'Monthly Data'!BC27</f>
        <v>0</v>
      </c>
      <c r="H27" s="6">
        <f>'Monthly Data'!AN27</f>
        <v>26</v>
      </c>
      <c r="I27" s="6">
        <f>'Monthly Data'!AJ27</f>
        <v>146.69999999999999</v>
      </c>
      <c r="K27" s="20">
        <f>'Res OLS model'!$B$5</f>
        <v>-17086566.711675301</v>
      </c>
      <c r="L27" s="20">
        <f ca="1">'Res OLS model'!$B$6*D27</f>
        <v>3868575.5349442908</v>
      </c>
      <c r="M27" s="20">
        <f ca="1">'Res OLS model'!$B$7*E27</f>
        <v>0</v>
      </c>
      <c r="N27" s="20">
        <f>'Res OLS model'!$B$8*F27</f>
        <v>23188787.665515389</v>
      </c>
      <c r="O27" s="20">
        <f>'Res OLS model'!$B$9*G27</f>
        <v>0</v>
      </c>
      <c r="P27" s="20">
        <f>'Res OLS model'!$B$10*H27</f>
        <v>-535145.22772764298</v>
      </c>
      <c r="Q27" s="20">
        <f>'Res OLS model'!$B$11*I27</f>
        <v>9596415.1135894824</v>
      </c>
      <c r="R27" s="20">
        <f t="shared" ca="1" si="2"/>
        <v>19032066.374646217</v>
      </c>
    </row>
    <row r="28" spans="1:18" x14ac:dyDescent="0.3">
      <c r="A28" s="22">
        <f>'Monthly Data'!A28</f>
        <v>40603</v>
      </c>
      <c r="B28" s="6">
        <f t="shared" si="1"/>
        <v>2011</v>
      </c>
      <c r="C28" s="20">
        <f ca="1">'Monthly Data'!F28</f>
        <v>19020096.60404275</v>
      </c>
      <c r="D28" s="6">
        <f t="shared" ca="1" si="3"/>
        <v>451.34</v>
      </c>
      <c r="E28" s="6">
        <f t="shared" ca="1" si="3"/>
        <v>0.88000000000000012</v>
      </c>
      <c r="F28" s="6">
        <f>'Monthly Data'!AL28</f>
        <v>31</v>
      </c>
      <c r="G28" s="6">
        <f>'Monthly Data'!BC28</f>
        <v>1</v>
      </c>
      <c r="H28" s="6">
        <f>'Monthly Data'!AN28</f>
        <v>27</v>
      </c>
      <c r="I28" s="6">
        <f>'Monthly Data'!AJ28</f>
        <v>145.4</v>
      </c>
      <c r="K28" s="20">
        <f>'Res OLS model'!$B$5</f>
        <v>-17086566.711675301</v>
      </c>
      <c r="L28" s="20">
        <f ca="1">'Res OLS model'!$B$6*D28</f>
        <v>2918974.3416449446</v>
      </c>
      <c r="M28" s="20">
        <f ca="1">'Res OLS model'!$B$7*E28</f>
        <v>59964.621067633932</v>
      </c>
      <c r="N28" s="20">
        <f>'Res OLS model'!$B$8*F28</f>
        <v>25673300.62967775</v>
      </c>
      <c r="O28" s="20">
        <f>'Res OLS model'!$B$9*G28</f>
        <v>-1891036.2259753</v>
      </c>
      <c r="P28" s="20">
        <f>'Res OLS model'!$B$10*H28</f>
        <v>-555727.7364863985</v>
      </c>
      <c r="Q28" s="20">
        <f>'Res OLS model'!$B$11*I28</f>
        <v>9511375.3068569247</v>
      </c>
      <c r="R28" s="20">
        <f t="shared" ca="1" si="2"/>
        <v>18630284.225110255</v>
      </c>
    </row>
    <row r="29" spans="1:18" x14ac:dyDescent="0.3">
      <c r="A29" s="22">
        <f>'Monthly Data'!A29</f>
        <v>40634</v>
      </c>
      <c r="B29" s="6">
        <f t="shared" si="1"/>
        <v>2011</v>
      </c>
      <c r="C29" s="20">
        <f ca="1">'Monthly Data'!F29</f>
        <v>17125422.053072423</v>
      </c>
      <c r="D29" s="6">
        <f t="shared" ca="1" si="3"/>
        <v>259.5499999999999</v>
      </c>
      <c r="E29" s="6">
        <f t="shared" ca="1" si="3"/>
        <v>2.4500000000000002</v>
      </c>
      <c r="F29" s="6">
        <f>'Monthly Data'!AL29</f>
        <v>30</v>
      </c>
      <c r="G29" s="6">
        <f>'Monthly Data'!BC29</f>
        <v>1</v>
      </c>
      <c r="H29" s="6">
        <f>'Monthly Data'!AN29</f>
        <v>28</v>
      </c>
      <c r="I29" s="6">
        <f>'Monthly Data'!AJ29</f>
        <v>144</v>
      </c>
      <c r="K29" s="20">
        <f>'Res OLS model'!$B$5</f>
        <v>-17086566.711675301</v>
      </c>
      <c r="L29" s="20">
        <f ca="1">'Res OLS model'!$B$6*D29</f>
        <v>1678601.0333095784</v>
      </c>
      <c r="M29" s="20">
        <f ca="1">'Res OLS model'!$B$7*E29</f>
        <v>166946.95638148082</v>
      </c>
      <c r="N29" s="20">
        <f>'Res OLS model'!$B$8*F29</f>
        <v>24845129.641623631</v>
      </c>
      <c r="O29" s="20">
        <f>'Res OLS model'!$B$9*G29</f>
        <v>-1891036.2259753</v>
      </c>
      <c r="P29" s="20">
        <f>'Res OLS model'!$B$10*H29</f>
        <v>-576310.24524515402</v>
      </c>
      <c r="Q29" s="20">
        <f>'Res OLS model'!$B$11*I29</f>
        <v>9419793.9765295535</v>
      </c>
      <c r="R29" s="20">
        <f t="shared" ca="1" si="2"/>
        <v>16556558.424948489</v>
      </c>
    </row>
    <row r="30" spans="1:18" x14ac:dyDescent="0.3">
      <c r="A30" s="22">
        <f>'Monthly Data'!A30</f>
        <v>40664</v>
      </c>
      <c r="B30" s="6">
        <f t="shared" si="1"/>
        <v>2011</v>
      </c>
      <c r="C30" s="20">
        <f ca="1">'Monthly Data'!F30</f>
        <v>18591300.513173018</v>
      </c>
      <c r="D30" s="6">
        <f t="shared" ca="1" si="3"/>
        <v>88.880000000000024</v>
      </c>
      <c r="E30" s="6">
        <f t="shared" ca="1" si="3"/>
        <v>43.79999999999999</v>
      </c>
      <c r="F30" s="6">
        <f>'Monthly Data'!AL30</f>
        <v>31</v>
      </c>
      <c r="G30" s="6">
        <f>'Monthly Data'!BC30</f>
        <v>1</v>
      </c>
      <c r="H30" s="6">
        <f>'Monthly Data'!AN30</f>
        <v>29</v>
      </c>
      <c r="I30" s="6">
        <f>'Monthly Data'!AJ30</f>
        <v>144.6</v>
      </c>
      <c r="K30" s="20">
        <f>'Res OLS model'!$B$5</f>
        <v>-17086566.711675301</v>
      </c>
      <c r="L30" s="20">
        <f ca="1">'Res OLS model'!$B$6*D30</f>
        <v>574818.18470643589</v>
      </c>
      <c r="M30" s="20">
        <f ca="1">'Res OLS model'!$B$7*E30</f>
        <v>2984602.7304117787</v>
      </c>
      <c r="N30" s="20">
        <f>'Res OLS model'!$B$8*F30</f>
        <v>25673300.62967775</v>
      </c>
      <c r="O30" s="20">
        <f>'Res OLS model'!$B$9*G30</f>
        <v>-1891036.2259753</v>
      </c>
      <c r="P30" s="20">
        <f>'Res OLS model'!$B$10*H30</f>
        <v>-596892.75400390942</v>
      </c>
      <c r="Q30" s="20">
        <f>'Res OLS model'!$B$11*I30</f>
        <v>9459043.1180984266</v>
      </c>
      <c r="R30" s="20">
        <f t="shared" ca="1" si="2"/>
        <v>19117268.971239883</v>
      </c>
    </row>
    <row r="31" spans="1:18" x14ac:dyDescent="0.3">
      <c r="A31" s="22">
        <f>'Monthly Data'!A31</f>
        <v>40695</v>
      </c>
      <c r="B31" s="6">
        <f t="shared" si="1"/>
        <v>2011</v>
      </c>
      <c r="C31" s="20">
        <f ca="1">'Monthly Data'!F31</f>
        <v>24888672.212482154</v>
      </c>
      <c r="D31" s="6">
        <f t="shared" ca="1" si="3"/>
        <v>9.77</v>
      </c>
      <c r="E31" s="6">
        <f t="shared" ca="1" si="3"/>
        <v>117.38999999999999</v>
      </c>
      <c r="F31" s="6">
        <f>'Monthly Data'!AL31</f>
        <v>30</v>
      </c>
      <c r="G31" s="6">
        <f>'Monthly Data'!BC31</f>
        <v>0</v>
      </c>
      <c r="H31" s="6">
        <f>'Monthly Data'!AN31</f>
        <v>30</v>
      </c>
      <c r="I31" s="6">
        <f>'Monthly Data'!AJ31</f>
        <v>146</v>
      </c>
      <c r="K31" s="20">
        <f>'Res OLS model'!$B$5</f>
        <v>-17086566.711675301</v>
      </c>
      <c r="L31" s="20">
        <f ca="1">'Res OLS model'!$B$6*D31</f>
        <v>63186.022328778992</v>
      </c>
      <c r="M31" s="20">
        <f ca="1">'Res OLS model'!$B$7*E31</f>
        <v>7999144.1671926649</v>
      </c>
      <c r="N31" s="20">
        <f>'Res OLS model'!$B$8*F31</f>
        <v>24845129.641623631</v>
      </c>
      <c r="O31" s="20">
        <f>'Res OLS model'!$B$9*G31</f>
        <v>0</v>
      </c>
      <c r="P31" s="20">
        <f>'Res OLS model'!$B$10*H31</f>
        <v>-617475.26276266493</v>
      </c>
      <c r="Q31" s="20">
        <f>'Res OLS model'!$B$11*I31</f>
        <v>9550624.4484257977</v>
      </c>
      <c r="R31" s="20">
        <f t="shared" ca="1" si="2"/>
        <v>24754042.305132903</v>
      </c>
    </row>
    <row r="32" spans="1:18" x14ac:dyDescent="0.3">
      <c r="A32" s="22">
        <f>'Monthly Data'!A32</f>
        <v>40725</v>
      </c>
      <c r="B32" s="6">
        <f t="shared" si="1"/>
        <v>2011</v>
      </c>
      <c r="C32" s="20">
        <f ca="1">'Monthly Data'!F32</f>
        <v>33358689.098552275</v>
      </c>
      <c r="D32" s="6">
        <f t="shared" ca="1" si="3"/>
        <v>0.58000000000000007</v>
      </c>
      <c r="E32" s="6">
        <f t="shared" ca="1" si="3"/>
        <v>179.70999999999998</v>
      </c>
      <c r="F32" s="6">
        <f>'Monthly Data'!AL32</f>
        <v>31</v>
      </c>
      <c r="G32" s="6">
        <f>'Monthly Data'!BC32</f>
        <v>0</v>
      </c>
      <c r="H32" s="6">
        <f>'Monthly Data'!AN32</f>
        <v>31</v>
      </c>
      <c r="I32" s="6">
        <f>'Monthly Data'!AJ32</f>
        <v>147.6</v>
      </c>
      <c r="K32" s="20">
        <f>'Res OLS model'!$B$5</f>
        <v>-17086566.711675301</v>
      </c>
      <c r="L32" s="20">
        <f ca="1">'Res OLS model'!$B$6*D32</f>
        <v>3751.0637615856522</v>
      </c>
      <c r="M32" s="20">
        <f ca="1">'Res OLS model'!$B$7*E32</f>
        <v>12245729.604618739</v>
      </c>
      <c r="N32" s="20">
        <f>'Res OLS model'!$B$8*F32</f>
        <v>25673300.62967775</v>
      </c>
      <c r="O32" s="20">
        <f>'Res OLS model'!$B$9*G32</f>
        <v>0</v>
      </c>
      <c r="P32" s="20">
        <f>'Res OLS model'!$B$10*H32</f>
        <v>-638057.77152142045</v>
      </c>
      <c r="Q32" s="20">
        <f>'Res OLS model'!$B$11*I32</f>
        <v>9655288.825942792</v>
      </c>
      <c r="R32" s="20">
        <f t="shared" ca="1" si="2"/>
        <v>29853445.640804145</v>
      </c>
    </row>
    <row r="33" spans="1:18" x14ac:dyDescent="0.3">
      <c r="A33" s="22">
        <f>'Monthly Data'!A33</f>
        <v>40756</v>
      </c>
      <c r="B33" s="6">
        <f t="shared" si="1"/>
        <v>2011</v>
      </c>
      <c r="C33" s="20">
        <f ca="1">'Monthly Data'!F33</f>
        <v>30414812.49304403</v>
      </c>
      <c r="D33" s="6">
        <f t="shared" ca="1" si="3"/>
        <v>1.7099999999999997</v>
      </c>
      <c r="E33" s="6">
        <f t="shared" ca="1" si="3"/>
        <v>158.1</v>
      </c>
      <c r="F33" s="6">
        <f>'Monthly Data'!AL33</f>
        <v>31</v>
      </c>
      <c r="G33" s="6">
        <f>'Monthly Data'!BC33</f>
        <v>0</v>
      </c>
      <c r="H33" s="6">
        <f>'Monthly Data'!AN33</f>
        <v>32</v>
      </c>
      <c r="I33" s="6">
        <f>'Monthly Data'!AJ33</f>
        <v>148.69999999999999</v>
      </c>
      <c r="K33" s="20">
        <f>'Res OLS model'!$B$5</f>
        <v>-17086566.711675301</v>
      </c>
      <c r="L33" s="20">
        <f ca="1">'Res OLS model'!$B$6*D33</f>
        <v>11059.170745364592</v>
      </c>
      <c r="M33" s="20">
        <f ca="1">'Res OLS model'!$B$7*E33</f>
        <v>10773189.307719231</v>
      </c>
      <c r="N33" s="20">
        <f>'Res OLS model'!$B$8*F33</f>
        <v>25673300.62967775</v>
      </c>
      <c r="O33" s="20">
        <f>'Res OLS model'!$B$9*G33</f>
        <v>0</v>
      </c>
      <c r="P33" s="20">
        <f>'Res OLS model'!$B$10*H33</f>
        <v>-658640.28028017597</v>
      </c>
      <c r="Q33" s="20">
        <f>'Res OLS model'!$B$11*I33</f>
        <v>9727245.5854857266</v>
      </c>
      <c r="R33" s="20">
        <f t="shared" ca="1" si="2"/>
        <v>28439587.701672595</v>
      </c>
    </row>
    <row r="34" spans="1:18" x14ac:dyDescent="0.3">
      <c r="A34" s="22">
        <f>'Monthly Data'!A34</f>
        <v>40787</v>
      </c>
      <c r="B34" s="6">
        <f t="shared" si="1"/>
        <v>2011</v>
      </c>
      <c r="C34" s="20">
        <f ca="1">'Monthly Data'!F34</f>
        <v>20929875.731459919</v>
      </c>
      <c r="D34" s="6">
        <f t="shared" ref="D34:E53" ca="1" si="4">D22</f>
        <v>32.68</v>
      </c>
      <c r="E34" s="6">
        <f t="shared" ca="1" si="4"/>
        <v>67.34</v>
      </c>
      <c r="F34" s="6">
        <f>'Monthly Data'!AL34</f>
        <v>30</v>
      </c>
      <c r="G34" s="6">
        <f>'Monthly Data'!BC34</f>
        <v>0</v>
      </c>
      <c r="H34" s="6">
        <f>'Monthly Data'!AN34</f>
        <v>33</v>
      </c>
      <c r="I34" s="6">
        <f>'Monthly Data'!AJ34</f>
        <v>148.1</v>
      </c>
      <c r="K34" s="20">
        <f>'Res OLS model'!$B$5</f>
        <v>-17086566.711675301</v>
      </c>
      <c r="L34" s="20">
        <f ca="1">'Res OLS model'!$B$6*D34</f>
        <v>211353.04091141222</v>
      </c>
      <c r="M34" s="20">
        <f ca="1">'Res OLS model'!$B$7*E34</f>
        <v>4588656.343970987</v>
      </c>
      <c r="N34" s="20">
        <f>'Res OLS model'!$B$8*F34</f>
        <v>24845129.641623631</v>
      </c>
      <c r="O34" s="20">
        <f>'Res OLS model'!$B$9*G34</f>
        <v>0</v>
      </c>
      <c r="P34" s="20">
        <f>'Res OLS model'!$B$10*H34</f>
        <v>-679222.78903893149</v>
      </c>
      <c r="Q34" s="20">
        <f>'Res OLS model'!$B$11*I34</f>
        <v>9687996.4439168535</v>
      </c>
      <c r="R34" s="20">
        <f t="shared" ca="1" si="2"/>
        <v>21567345.969708651</v>
      </c>
    </row>
    <row r="35" spans="1:18" x14ac:dyDescent="0.3">
      <c r="A35" s="22">
        <f>'Monthly Data'!A35</f>
        <v>40817</v>
      </c>
      <c r="B35" s="6">
        <f t="shared" si="1"/>
        <v>2011</v>
      </c>
      <c r="C35" s="20">
        <f ca="1">'Monthly Data'!F35</f>
        <v>17117587.736433852</v>
      </c>
      <c r="D35" s="6">
        <f t="shared" ca="1" si="4"/>
        <v>176.42</v>
      </c>
      <c r="E35" s="6">
        <f t="shared" ca="1" si="4"/>
        <v>10.18</v>
      </c>
      <c r="F35" s="6">
        <f>'Monthly Data'!AL35</f>
        <v>31</v>
      </c>
      <c r="G35" s="6">
        <f>'Monthly Data'!BC35</f>
        <v>1</v>
      </c>
      <c r="H35" s="6">
        <f>'Monthly Data'!AN35</f>
        <v>34</v>
      </c>
      <c r="I35" s="6">
        <f>'Monthly Data'!AJ35</f>
        <v>149.1</v>
      </c>
      <c r="K35" s="20">
        <f>'Res OLS model'!$B$5</f>
        <v>-17086566.711675301</v>
      </c>
      <c r="L35" s="20">
        <f ca="1">'Res OLS model'!$B$6*D35</f>
        <v>1140970.1186533459</v>
      </c>
      <c r="M35" s="20">
        <f ca="1">'Res OLS model'!$B$7*E35</f>
        <v>693681.63916876516</v>
      </c>
      <c r="N35" s="20">
        <f>'Res OLS model'!$B$8*F35</f>
        <v>25673300.62967775</v>
      </c>
      <c r="O35" s="20">
        <f>'Res OLS model'!$B$9*G35</f>
        <v>-1891036.2259753</v>
      </c>
      <c r="P35" s="20">
        <f>'Res OLS model'!$B$10*H35</f>
        <v>-699805.297797687</v>
      </c>
      <c r="Q35" s="20">
        <f>'Res OLS model'!$B$11*I35</f>
        <v>9753411.6798649747</v>
      </c>
      <c r="R35" s="20">
        <f t="shared" ca="1" si="2"/>
        <v>17583955.831916548</v>
      </c>
    </row>
    <row r="36" spans="1:18" x14ac:dyDescent="0.3">
      <c r="A36" s="22">
        <f>'Monthly Data'!A36</f>
        <v>40848</v>
      </c>
      <c r="B36" s="6">
        <f t="shared" si="1"/>
        <v>2011</v>
      </c>
      <c r="C36" s="20">
        <f ca="1">'Monthly Data'!F36</f>
        <v>17522596.420983914</v>
      </c>
      <c r="D36" s="6">
        <f t="shared" ca="1" si="4"/>
        <v>364.2299999999999</v>
      </c>
      <c r="E36" s="6">
        <f t="shared" ca="1" si="4"/>
        <v>0.05</v>
      </c>
      <c r="F36" s="6">
        <f>'Monthly Data'!AL36</f>
        <v>30</v>
      </c>
      <c r="G36" s="6">
        <f>'Monthly Data'!BC36</f>
        <v>1</v>
      </c>
      <c r="H36" s="6">
        <f>'Monthly Data'!AN36</f>
        <v>35</v>
      </c>
      <c r="I36" s="6">
        <f>'Monthly Data'!AJ36</f>
        <v>150.80000000000001</v>
      </c>
      <c r="K36" s="20">
        <f>'Res OLS model'!$B$5</f>
        <v>-17086566.711675301</v>
      </c>
      <c r="L36" s="20">
        <f ca="1">'Res OLS model'!$B$6*D36</f>
        <v>2355603.368762658</v>
      </c>
      <c r="M36" s="20">
        <f ca="1">'Res OLS model'!$B$7*E36</f>
        <v>3407.0807424792001</v>
      </c>
      <c r="N36" s="20">
        <f>'Res OLS model'!$B$8*F36</f>
        <v>24845129.641623631</v>
      </c>
      <c r="O36" s="20">
        <f>'Res OLS model'!$B$9*G36</f>
        <v>-1891036.2259753</v>
      </c>
      <c r="P36" s="20">
        <f>'Res OLS model'!$B$10*H36</f>
        <v>-720387.80655644252</v>
      </c>
      <c r="Q36" s="20">
        <f>'Res OLS model'!$B$11*I36</f>
        <v>9864617.5809767842</v>
      </c>
      <c r="R36" s="20">
        <f t="shared" ca="1" si="2"/>
        <v>17370766.927898508</v>
      </c>
    </row>
    <row r="37" spans="1:18" x14ac:dyDescent="0.3">
      <c r="A37" s="22">
        <f>'Monthly Data'!A37</f>
        <v>40878</v>
      </c>
      <c r="B37" s="6">
        <f t="shared" si="1"/>
        <v>2011</v>
      </c>
      <c r="C37" s="20">
        <f ca="1">'Monthly Data'!F37</f>
        <v>20836913.507082358</v>
      </c>
      <c r="D37" s="6">
        <f t="shared" ca="1" si="4"/>
        <v>552.31000000000006</v>
      </c>
      <c r="E37" s="6">
        <f t="shared" ca="1" si="4"/>
        <v>0</v>
      </c>
      <c r="F37" s="6">
        <f>'Monthly Data'!AL37</f>
        <v>31</v>
      </c>
      <c r="G37" s="6">
        <f>'Monthly Data'!BC37</f>
        <v>0</v>
      </c>
      <c r="H37" s="6">
        <f>'Monthly Data'!AN37</f>
        <v>36</v>
      </c>
      <c r="I37" s="6">
        <f>'Monthly Data'!AJ37</f>
        <v>152.1</v>
      </c>
      <c r="K37" s="20">
        <f>'Res OLS model'!$B$5</f>
        <v>-17086566.711675301</v>
      </c>
      <c r="L37" s="20">
        <f ca="1">'Res OLS model'!$B$6*D37</f>
        <v>3571982.8037265027</v>
      </c>
      <c r="M37" s="20">
        <f ca="1">'Res OLS model'!$B$7*E37</f>
        <v>0</v>
      </c>
      <c r="N37" s="20">
        <f>'Res OLS model'!$B$8*F37</f>
        <v>25673300.62967775</v>
      </c>
      <c r="O37" s="20">
        <f>'Res OLS model'!$B$9*G37</f>
        <v>0</v>
      </c>
      <c r="P37" s="20">
        <f>'Res OLS model'!$B$10*H37</f>
        <v>-740970.31531519792</v>
      </c>
      <c r="Q37" s="20">
        <f>'Res OLS model'!$B$11*I37</f>
        <v>9949657.3877093419</v>
      </c>
      <c r="R37" s="20">
        <f t="shared" ca="1" si="2"/>
        <v>21367403.794123095</v>
      </c>
    </row>
    <row r="38" spans="1:18" x14ac:dyDescent="0.3">
      <c r="A38" s="22">
        <f>'Monthly Data'!A38</f>
        <v>40909</v>
      </c>
      <c r="B38" s="6">
        <f t="shared" si="1"/>
        <v>2012</v>
      </c>
      <c r="C38" s="20">
        <f ca="1">'Monthly Data'!F38</f>
        <v>20826549.184631586</v>
      </c>
      <c r="D38" s="6">
        <f t="shared" ca="1" si="4"/>
        <v>661.18999999999994</v>
      </c>
      <c r="E38" s="6">
        <f t="shared" ca="1" si="4"/>
        <v>0</v>
      </c>
      <c r="F38" s="6">
        <f>'Monthly Data'!AL38</f>
        <v>31</v>
      </c>
      <c r="G38" s="6">
        <f>'Monthly Data'!BC38</f>
        <v>0</v>
      </c>
      <c r="H38" s="6">
        <f>'Monthly Data'!AN38</f>
        <v>37</v>
      </c>
      <c r="I38" s="6">
        <f>'Monthly Data'!AJ38</f>
        <v>149.5</v>
      </c>
      <c r="K38" s="20">
        <f>'Res OLS model'!$B$5</f>
        <v>-17086566.711675301</v>
      </c>
      <c r="L38" s="20">
        <f ca="1">'Res OLS model'!$B$6*D38</f>
        <v>4276148.0146945119</v>
      </c>
      <c r="M38" s="20">
        <f ca="1">'Res OLS model'!$B$7*E38</f>
        <v>0</v>
      </c>
      <c r="N38" s="20">
        <f>'Res OLS model'!$B$8*F38</f>
        <v>25673300.62967775</v>
      </c>
      <c r="O38" s="20">
        <f>'Res OLS model'!$B$9*G38</f>
        <v>0</v>
      </c>
      <c r="P38" s="20">
        <f>'Res OLS model'!$B$10*H38</f>
        <v>-761552.82407395344</v>
      </c>
      <c r="Q38" s="20">
        <f>'Res OLS model'!$B$11*I38</f>
        <v>9779577.7742442247</v>
      </c>
      <c r="R38" s="20">
        <f t="shared" ca="1" si="2"/>
        <v>21880906.882867232</v>
      </c>
    </row>
    <row r="39" spans="1:18" x14ac:dyDescent="0.3">
      <c r="A39" s="22">
        <f>'Monthly Data'!A39</f>
        <v>40940</v>
      </c>
      <c r="B39" s="6">
        <f t="shared" si="1"/>
        <v>2012</v>
      </c>
      <c r="C39" s="20">
        <f ca="1">'Monthly Data'!F39</f>
        <v>18396143.263278905</v>
      </c>
      <c r="D39" s="6">
        <f t="shared" ca="1" si="4"/>
        <v>598.16999999999985</v>
      </c>
      <c r="E39" s="6">
        <f t="shared" ca="1" si="4"/>
        <v>0</v>
      </c>
      <c r="F39" s="6">
        <f>'Monthly Data'!AL39</f>
        <v>29</v>
      </c>
      <c r="G39" s="6">
        <f>'Monthly Data'!BC39</f>
        <v>0</v>
      </c>
      <c r="H39" s="6">
        <f>'Monthly Data'!AN39</f>
        <v>38</v>
      </c>
      <c r="I39" s="6">
        <f>'Monthly Data'!AJ39</f>
        <v>148.4</v>
      </c>
      <c r="K39" s="20">
        <f>'Res OLS model'!$B$5</f>
        <v>-17086566.711675301</v>
      </c>
      <c r="L39" s="20">
        <f ca="1">'Res OLS model'!$B$6*D39</f>
        <v>3868575.5349442908</v>
      </c>
      <c r="M39" s="20">
        <f ca="1">'Res OLS model'!$B$7*E39</f>
        <v>0</v>
      </c>
      <c r="N39" s="20">
        <f>'Res OLS model'!$B$8*F39</f>
        <v>24016958.653569508</v>
      </c>
      <c r="O39" s="20">
        <f>'Res OLS model'!$B$9*G39</f>
        <v>0</v>
      </c>
      <c r="P39" s="20">
        <f>'Res OLS model'!$B$10*H39</f>
        <v>-782135.33283270895</v>
      </c>
      <c r="Q39" s="20">
        <f>'Res OLS model'!$B$11*I39</f>
        <v>9707621.0147012901</v>
      </c>
      <c r="R39" s="20">
        <f t="shared" ca="1" si="2"/>
        <v>19724453.158707079</v>
      </c>
    </row>
    <row r="40" spans="1:18" x14ac:dyDescent="0.3">
      <c r="A40" s="22">
        <f>'Monthly Data'!A40</f>
        <v>40969</v>
      </c>
      <c r="B40" s="6">
        <f t="shared" si="1"/>
        <v>2012</v>
      </c>
      <c r="C40" s="20">
        <f ca="1">'Monthly Data'!F40</f>
        <v>17464653.067603219</v>
      </c>
      <c r="D40" s="6">
        <f t="shared" ca="1" si="4"/>
        <v>451.34</v>
      </c>
      <c r="E40" s="6">
        <f t="shared" ca="1" si="4"/>
        <v>0.88000000000000012</v>
      </c>
      <c r="F40" s="6">
        <f>'Monthly Data'!AL40</f>
        <v>31</v>
      </c>
      <c r="G40" s="6">
        <f>'Monthly Data'!BC40</f>
        <v>1</v>
      </c>
      <c r="H40" s="6">
        <f>'Monthly Data'!AN40</f>
        <v>39</v>
      </c>
      <c r="I40" s="6">
        <f>'Monthly Data'!AJ40</f>
        <v>148.5</v>
      </c>
      <c r="K40" s="20">
        <f>'Res OLS model'!$B$5</f>
        <v>-17086566.711675301</v>
      </c>
      <c r="L40" s="20">
        <f ca="1">'Res OLS model'!$B$6*D40</f>
        <v>2918974.3416449446</v>
      </c>
      <c r="M40" s="20">
        <f ca="1">'Res OLS model'!$B$7*E40</f>
        <v>59964.621067633932</v>
      </c>
      <c r="N40" s="20">
        <f>'Res OLS model'!$B$8*F40</f>
        <v>25673300.62967775</v>
      </c>
      <c r="O40" s="20">
        <f>'Res OLS model'!$B$9*G40</f>
        <v>-1891036.2259753</v>
      </c>
      <c r="P40" s="20">
        <f>'Res OLS model'!$B$10*H40</f>
        <v>-802717.84159146447</v>
      </c>
      <c r="Q40" s="20">
        <f>'Res OLS model'!$B$11*I40</f>
        <v>9714162.5382961035</v>
      </c>
      <c r="R40" s="20">
        <f t="shared" ca="1" si="2"/>
        <v>18586081.351444367</v>
      </c>
    </row>
    <row r="41" spans="1:18" x14ac:dyDescent="0.3">
      <c r="A41" s="22">
        <f>'Monthly Data'!A41</f>
        <v>41000</v>
      </c>
      <c r="B41" s="6">
        <f t="shared" si="1"/>
        <v>2012</v>
      </c>
      <c r="C41" s="20">
        <f ca="1">'Monthly Data'!F41</f>
        <v>16103149.412524818</v>
      </c>
      <c r="D41" s="6">
        <f t="shared" ca="1" si="4"/>
        <v>259.5499999999999</v>
      </c>
      <c r="E41" s="6">
        <f t="shared" ca="1" si="4"/>
        <v>2.4500000000000002</v>
      </c>
      <c r="F41" s="6">
        <f>'Monthly Data'!AL41</f>
        <v>30</v>
      </c>
      <c r="G41" s="6">
        <f>'Monthly Data'!BC41</f>
        <v>1</v>
      </c>
      <c r="H41" s="6">
        <f>'Monthly Data'!AN41</f>
        <v>40</v>
      </c>
      <c r="I41" s="6">
        <f>'Monthly Data'!AJ41</f>
        <v>150.6</v>
      </c>
      <c r="K41" s="20">
        <f>'Res OLS model'!$B$5</f>
        <v>-17086566.711675301</v>
      </c>
      <c r="L41" s="20">
        <f ca="1">'Res OLS model'!$B$6*D41</f>
        <v>1678601.0333095784</v>
      </c>
      <c r="M41" s="20">
        <f ca="1">'Res OLS model'!$B$7*E41</f>
        <v>166946.95638148082</v>
      </c>
      <c r="N41" s="20">
        <f>'Res OLS model'!$B$8*F41</f>
        <v>24845129.641623631</v>
      </c>
      <c r="O41" s="20">
        <f>'Res OLS model'!$B$9*G41</f>
        <v>-1891036.2259753</v>
      </c>
      <c r="P41" s="20">
        <f>'Res OLS model'!$B$10*H41</f>
        <v>-823300.35035021999</v>
      </c>
      <c r="Q41" s="20">
        <f>'Res OLS model'!$B$11*I41</f>
        <v>9851534.5337871574</v>
      </c>
      <c r="R41" s="20">
        <f t="shared" ca="1" si="2"/>
        <v>16741308.877101026</v>
      </c>
    </row>
    <row r="42" spans="1:18" x14ac:dyDescent="0.3">
      <c r="A42" s="22">
        <f>'Monthly Data'!A42</f>
        <v>41030</v>
      </c>
      <c r="B42" s="6">
        <f t="shared" si="1"/>
        <v>2012</v>
      </c>
      <c r="C42" s="20">
        <f ca="1">'Monthly Data'!F42</f>
        <v>19432613.145942483</v>
      </c>
      <c r="D42" s="6">
        <f t="shared" ca="1" si="4"/>
        <v>88.880000000000024</v>
      </c>
      <c r="E42" s="6">
        <f t="shared" ca="1" si="4"/>
        <v>43.79999999999999</v>
      </c>
      <c r="F42" s="6">
        <f>'Monthly Data'!AL42</f>
        <v>31</v>
      </c>
      <c r="G42" s="6">
        <f>'Monthly Data'!BC42</f>
        <v>1</v>
      </c>
      <c r="H42" s="6">
        <f>'Monthly Data'!AN42</f>
        <v>41</v>
      </c>
      <c r="I42" s="6">
        <f>'Monthly Data'!AJ42</f>
        <v>151.1</v>
      </c>
      <c r="K42" s="20">
        <f>'Res OLS model'!$B$5</f>
        <v>-17086566.711675301</v>
      </c>
      <c r="L42" s="20">
        <f ca="1">'Res OLS model'!$B$6*D42</f>
        <v>574818.18470643589</v>
      </c>
      <c r="M42" s="20">
        <f ca="1">'Res OLS model'!$B$7*E42</f>
        <v>2984602.7304117787</v>
      </c>
      <c r="N42" s="20">
        <f>'Res OLS model'!$B$8*F42</f>
        <v>25673300.62967775</v>
      </c>
      <c r="O42" s="20">
        <f>'Res OLS model'!$B$9*G42</f>
        <v>-1891036.2259753</v>
      </c>
      <c r="P42" s="20">
        <f>'Res OLS model'!$B$10*H42</f>
        <v>-843882.85910897551</v>
      </c>
      <c r="Q42" s="20">
        <f>'Res OLS model'!$B$11*I42</f>
        <v>9884242.1517612189</v>
      </c>
      <c r="R42" s="20">
        <f t="shared" ca="1" si="2"/>
        <v>19295477.899797611</v>
      </c>
    </row>
    <row r="43" spans="1:18" x14ac:dyDescent="0.3">
      <c r="A43" s="22">
        <f>'Monthly Data'!A43</f>
        <v>41061</v>
      </c>
      <c r="B43" s="6">
        <f t="shared" si="1"/>
        <v>2012</v>
      </c>
      <c r="C43" s="20">
        <f ca="1">'Monthly Data'!F43</f>
        <v>27178390.62937149</v>
      </c>
      <c r="D43" s="6">
        <f t="shared" ca="1" si="4"/>
        <v>9.77</v>
      </c>
      <c r="E43" s="6">
        <f t="shared" ca="1" si="4"/>
        <v>117.38999999999999</v>
      </c>
      <c r="F43" s="6">
        <f>'Monthly Data'!AL43</f>
        <v>30</v>
      </c>
      <c r="G43" s="6">
        <f>'Monthly Data'!BC43</f>
        <v>0</v>
      </c>
      <c r="H43" s="6">
        <f>'Monthly Data'!AN43</f>
        <v>42</v>
      </c>
      <c r="I43" s="6">
        <f>'Monthly Data'!AJ43</f>
        <v>152.19999999999999</v>
      </c>
      <c r="K43" s="20">
        <f>'Res OLS model'!$B$5</f>
        <v>-17086566.711675301</v>
      </c>
      <c r="L43" s="20">
        <f ca="1">'Res OLS model'!$B$6*D43</f>
        <v>63186.022328778992</v>
      </c>
      <c r="M43" s="20">
        <f ca="1">'Res OLS model'!$B$7*E43</f>
        <v>7999144.1671926649</v>
      </c>
      <c r="N43" s="20">
        <f>'Res OLS model'!$B$8*F43</f>
        <v>24845129.641623631</v>
      </c>
      <c r="O43" s="20">
        <f>'Res OLS model'!$B$9*G43</f>
        <v>0</v>
      </c>
      <c r="P43" s="20">
        <f>'Res OLS model'!$B$10*H43</f>
        <v>-864465.36786773091</v>
      </c>
      <c r="Q43" s="20">
        <f>'Res OLS model'!$B$11*I43</f>
        <v>9956198.9113041535</v>
      </c>
      <c r="R43" s="20">
        <f t="shared" ca="1" si="2"/>
        <v>24912626.662906196</v>
      </c>
    </row>
    <row r="44" spans="1:18" x14ac:dyDescent="0.3">
      <c r="A44" s="22">
        <f>'Monthly Data'!A44</f>
        <v>41091</v>
      </c>
      <c r="B44" s="6">
        <f t="shared" si="1"/>
        <v>2012</v>
      </c>
      <c r="C44" s="20">
        <f ca="1">'Monthly Data'!F44</f>
        <v>34122931.733509071</v>
      </c>
      <c r="D44" s="6">
        <f t="shared" ca="1" si="4"/>
        <v>0.58000000000000007</v>
      </c>
      <c r="E44" s="6">
        <f t="shared" ca="1" si="4"/>
        <v>179.70999999999998</v>
      </c>
      <c r="F44" s="6">
        <f>'Monthly Data'!AL44</f>
        <v>31</v>
      </c>
      <c r="G44" s="6">
        <f>'Monthly Data'!BC44</f>
        <v>0</v>
      </c>
      <c r="H44" s="6">
        <f>'Monthly Data'!AN44</f>
        <v>43</v>
      </c>
      <c r="I44" s="6">
        <f>'Monthly Data'!AJ44</f>
        <v>153.4</v>
      </c>
      <c r="K44" s="20">
        <f>'Res OLS model'!$B$5</f>
        <v>-17086566.711675301</v>
      </c>
      <c r="L44" s="20">
        <f ca="1">'Res OLS model'!$B$6*D44</f>
        <v>3751.0637615856522</v>
      </c>
      <c r="M44" s="20">
        <f ca="1">'Res OLS model'!$B$7*E44</f>
        <v>12245729.604618739</v>
      </c>
      <c r="N44" s="20">
        <f>'Res OLS model'!$B$8*F44</f>
        <v>25673300.62967775</v>
      </c>
      <c r="O44" s="20">
        <f>'Res OLS model'!$B$9*G44</f>
        <v>0</v>
      </c>
      <c r="P44" s="20">
        <f>'Res OLS model'!$B$10*H44</f>
        <v>-885047.87662648642</v>
      </c>
      <c r="Q44" s="20">
        <f>'Res OLS model'!$B$11*I44</f>
        <v>10034697.1944419</v>
      </c>
      <c r="R44" s="20">
        <f t="shared" ca="1" si="2"/>
        <v>29985863.904198185</v>
      </c>
    </row>
    <row r="45" spans="1:18" x14ac:dyDescent="0.3">
      <c r="A45" s="22">
        <f>'Monthly Data'!A45</f>
        <v>41122</v>
      </c>
      <c r="B45" s="6">
        <f t="shared" si="1"/>
        <v>2012</v>
      </c>
      <c r="C45" s="20">
        <f ca="1">'Monthly Data'!F45</f>
        <v>28774043.990622215</v>
      </c>
      <c r="D45" s="6">
        <f t="shared" ca="1" si="4"/>
        <v>1.7099999999999997</v>
      </c>
      <c r="E45" s="6">
        <f t="shared" ca="1" si="4"/>
        <v>158.1</v>
      </c>
      <c r="F45" s="6">
        <f>'Monthly Data'!AL45</f>
        <v>31</v>
      </c>
      <c r="G45" s="6">
        <f>'Monthly Data'!BC45</f>
        <v>0</v>
      </c>
      <c r="H45" s="6">
        <f>'Monthly Data'!AN45</f>
        <v>44</v>
      </c>
      <c r="I45" s="6">
        <f>'Monthly Data'!AJ45</f>
        <v>155</v>
      </c>
      <c r="K45" s="20">
        <f>'Res OLS model'!$B$5</f>
        <v>-17086566.711675301</v>
      </c>
      <c r="L45" s="20">
        <f ca="1">'Res OLS model'!$B$6*D45</f>
        <v>11059.170745364592</v>
      </c>
      <c r="M45" s="20">
        <f ca="1">'Res OLS model'!$B$7*E45</f>
        <v>10773189.307719231</v>
      </c>
      <c r="N45" s="20">
        <f>'Res OLS model'!$B$8*F45</f>
        <v>25673300.62967775</v>
      </c>
      <c r="O45" s="20">
        <f>'Res OLS model'!$B$9*G45</f>
        <v>0</v>
      </c>
      <c r="P45" s="20">
        <f>'Res OLS model'!$B$10*H45</f>
        <v>-905630.38538524194</v>
      </c>
      <c r="Q45" s="20">
        <f>'Res OLS model'!$B$11*I45</f>
        <v>10139361.571958896</v>
      </c>
      <c r="R45" s="20">
        <f t="shared" ca="1" si="2"/>
        <v>28604713.583040699</v>
      </c>
    </row>
    <row r="46" spans="1:18" x14ac:dyDescent="0.3">
      <c r="A46" s="22">
        <f>'Monthly Data'!A46</f>
        <v>41153</v>
      </c>
      <c r="B46" s="6">
        <f t="shared" si="1"/>
        <v>2012</v>
      </c>
      <c r="C46" s="20">
        <f ca="1">'Monthly Data'!F46</f>
        <v>21128025.774475966</v>
      </c>
      <c r="D46" s="6">
        <f t="shared" ca="1" si="4"/>
        <v>32.68</v>
      </c>
      <c r="E46" s="6">
        <f t="shared" ca="1" si="4"/>
        <v>67.34</v>
      </c>
      <c r="F46" s="6">
        <f>'Monthly Data'!AL46</f>
        <v>30</v>
      </c>
      <c r="G46" s="6">
        <f>'Monthly Data'!BC46</f>
        <v>0</v>
      </c>
      <c r="H46" s="6">
        <f>'Monthly Data'!AN46</f>
        <v>45</v>
      </c>
      <c r="I46" s="6">
        <f>'Monthly Data'!AJ46</f>
        <v>156.9</v>
      </c>
      <c r="K46" s="20">
        <f>'Res OLS model'!$B$5</f>
        <v>-17086566.711675301</v>
      </c>
      <c r="L46" s="20">
        <f ca="1">'Res OLS model'!$B$6*D46</f>
        <v>211353.04091141222</v>
      </c>
      <c r="M46" s="20">
        <f ca="1">'Res OLS model'!$B$7*E46</f>
        <v>4588656.343970987</v>
      </c>
      <c r="N46" s="20">
        <f>'Res OLS model'!$B$8*F46</f>
        <v>24845129.641623631</v>
      </c>
      <c r="O46" s="20">
        <f>'Res OLS model'!$B$9*G46</f>
        <v>0</v>
      </c>
      <c r="P46" s="20">
        <f>'Res OLS model'!$B$10*H46</f>
        <v>-926212.89414399746</v>
      </c>
      <c r="Q46" s="20">
        <f>'Res OLS model'!$B$11*I46</f>
        <v>10263650.520260327</v>
      </c>
      <c r="R46" s="20">
        <f t="shared" ca="1" si="2"/>
        <v>21896009.940947063</v>
      </c>
    </row>
    <row r="47" spans="1:18" x14ac:dyDescent="0.3">
      <c r="A47" s="22">
        <f>'Monthly Data'!A47</f>
        <v>41183</v>
      </c>
      <c r="B47" s="6">
        <f t="shared" si="1"/>
        <v>2012</v>
      </c>
      <c r="C47" s="20">
        <f ca="1">'Monthly Data'!F47</f>
        <v>17095388.657426659</v>
      </c>
      <c r="D47" s="6">
        <f t="shared" ca="1" si="4"/>
        <v>176.42</v>
      </c>
      <c r="E47" s="6">
        <f t="shared" ca="1" si="4"/>
        <v>10.18</v>
      </c>
      <c r="F47" s="6">
        <f>'Monthly Data'!AL47</f>
        <v>31</v>
      </c>
      <c r="G47" s="6">
        <f>'Monthly Data'!BC47</f>
        <v>1</v>
      </c>
      <c r="H47" s="6">
        <f>'Monthly Data'!AN47</f>
        <v>46</v>
      </c>
      <c r="I47" s="6">
        <f>'Monthly Data'!AJ47</f>
        <v>157.5</v>
      </c>
      <c r="K47" s="20">
        <f>'Res OLS model'!$B$5</f>
        <v>-17086566.711675301</v>
      </c>
      <c r="L47" s="20">
        <f ca="1">'Res OLS model'!$B$6*D47</f>
        <v>1140970.1186533459</v>
      </c>
      <c r="M47" s="20">
        <f ca="1">'Res OLS model'!$B$7*E47</f>
        <v>693681.63916876516</v>
      </c>
      <c r="N47" s="20">
        <f>'Res OLS model'!$B$8*F47</f>
        <v>25673300.62967775</v>
      </c>
      <c r="O47" s="20">
        <f>'Res OLS model'!$B$9*G47</f>
        <v>-1891036.2259753</v>
      </c>
      <c r="P47" s="20">
        <f>'Res OLS model'!$B$10*H47</f>
        <v>-946795.40290275298</v>
      </c>
      <c r="Q47" s="20">
        <f>'Res OLS model'!$B$11*I47</f>
        <v>10302899.6618292</v>
      </c>
      <c r="R47" s="20">
        <f t="shared" ca="1" si="2"/>
        <v>17886453.708775707</v>
      </c>
    </row>
    <row r="48" spans="1:18" x14ac:dyDescent="0.3">
      <c r="A48" s="22">
        <f>'Monthly Data'!A48</f>
        <v>41214</v>
      </c>
      <c r="B48" s="6">
        <f t="shared" si="1"/>
        <v>2012</v>
      </c>
      <c r="C48" s="20">
        <f ca="1">'Monthly Data'!F48</f>
        <v>18002983.69606806</v>
      </c>
      <c r="D48" s="6">
        <f t="shared" ca="1" si="4"/>
        <v>364.2299999999999</v>
      </c>
      <c r="E48" s="6">
        <f t="shared" ca="1" si="4"/>
        <v>0.05</v>
      </c>
      <c r="F48" s="6">
        <f>'Monthly Data'!AL48</f>
        <v>30</v>
      </c>
      <c r="G48" s="6">
        <f>'Monthly Data'!BC48</f>
        <v>1</v>
      </c>
      <c r="H48" s="6">
        <f>'Monthly Data'!AN48</f>
        <v>47</v>
      </c>
      <c r="I48" s="6">
        <f>'Monthly Data'!AJ48</f>
        <v>157.6</v>
      </c>
      <c r="K48" s="20">
        <f>'Res OLS model'!$B$5</f>
        <v>-17086566.711675301</v>
      </c>
      <c r="L48" s="20">
        <f ca="1">'Res OLS model'!$B$6*D48</f>
        <v>2355603.368762658</v>
      </c>
      <c r="M48" s="20">
        <f ca="1">'Res OLS model'!$B$7*E48</f>
        <v>3407.0807424792001</v>
      </c>
      <c r="N48" s="20">
        <f>'Res OLS model'!$B$8*F48</f>
        <v>24845129.641623631</v>
      </c>
      <c r="O48" s="20">
        <f>'Res OLS model'!$B$9*G48</f>
        <v>-1891036.2259753</v>
      </c>
      <c r="P48" s="20">
        <f>'Res OLS model'!$B$10*H48</f>
        <v>-967377.91166150849</v>
      </c>
      <c r="Q48" s="20">
        <f>'Res OLS model'!$B$11*I48</f>
        <v>10309441.185424011</v>
      </c>
      <c r="R48" s="20">
        <f t="shared" ca="1" si="2"/>
        <v>17568600.42724067</v>
      </c>
    </row>
    <row r="49" spans="1:18" x14ac:dyDescent="0.3">
      <c r="A49" s="22">
        <f>'Monthly Data'!A49</f>
        <v>41244</v>
      </c>
      <c r="B49" s="6">
        <f t="shared" si="1"/>
        <v>2012</v>
      </c>
      <c r="C49" s="20">
        <f ca="1">'Monthly Data'!F49</f>
        <v>20724891.456826214</v>
      </c>
      <c r="D49" s="6">
        <f t="shared" ca="1" si="4"/>
        <v>552.31000000000006</v>
      </c>
      <c r="E49" s="6">
        <f t="shared" ca="1" si="4"/>
        <v>0</v>
      </c>
      <c r="F49" s="6">
        <f>'Monthly Data'!AL49</f>
        <v>31</v>
      </c>
      <c r="G49" s="6">
        <f>'Monthly Data'!BC49</f>
        <v>0</v>
      </c>
      <c r="H49" s="6">
        <f>'Monthly Data'!AN49</f>
        <v>48</v>
      </c>
      <c r="I49" s="6">
        <f>'Monthly Data'!AJ49</f>
        <v>155.5</v>
      </c>
      <c r="K49" s="20">
        <f>'Res OLS model'!$B$5</f>
        <v>-17086566.711675301</v>
      </c>
      <c r="L49" s="20">
        <f ca="1">'Res OLS model'!$B$6*D49</f>
        <v>3571982.8037265027</v>
      </c>
      <c r="M49" s="20">
        <f ca="1">'Res OLS model'!$B$7*E49</f>
        <v>0</v>
      </c>
      <c r="N49" s="20">
        <f>'Res OLS model'!$B$8*F49</f>
        <v>25673300.62967775</v>
      </c>
      <c r="O49" s="20">
        <f>'Res OLS model'!$B$9*G49</f>
        <v>0</v>
      </c>
      <c r="P49" s="20">
        <f>'Res OLS model'!$B$10*H49</f>
        <v>-987960.42042026389</v>
      </c>
      <c r="Q49" s="20">
        <f>'Res OLS model'!$B$11*I49</f>
        <v>10172069.189932955</v>
      </c>
      <c r="R49" s="20">
        <f t="shared" ca="1" si="2"/>
        <v>21342825.491241641</v>
      </c>
    </row>
    <row r="50" spans="1:18" x14ac:dyDescent="0.3">
      <c r="A50" s="22">
        <f>'Monthly Data'!A50</f>
        <v>41275</v>
      </c>
      <c r="B50" s="6">
        <f t="shared" si="1"/>
        <v>2013</v>
      </c>
      <c r="C50" s="20">
        <f ca="1">'Monthly Data'!F50</f>
        <v>21175039.85558828</v>
      </c>
      <c r="D50" s="6">
        <f t="shared" ca="1" si="4"/>
        <v>661.18999999999994</v>
      </c>
      <c r="E50" s="6">
        <f t="shared" ca="1" si="4"/>
        <v>0</v>
      </c>
      <c r="F50" s="6">
        <f>'Monthly Data'!AL50</f>
        <v>31</v>
      </c>
      <c r="G50" s="6">
        <f>'Monthly Data'!BC50</f>
        <v>0</v>
      </c>
      <c r="H50" s="6">
        <f>'Monthly Data'!AN50</f>
        <v>49</v>
      </c>
      <c r="I50" s="6">
        <f>'Monthly Data'!AJ50</f>
        <v>151.1</v>
      </c>
      <c r="K50" s="20">
        <f>'Res OLS model'!$B$5</f>
        <v>-17086566.711675301</v>
      </c>
      <c r="L50" s="20">
        <f ca="1">'Res OLS model'!$B$6*D50</f>
        <v>4276148.0146945119</v>
      </c>
      <c r="M50" s="20">
        <f ca="1">'Res OLS model'!$B$7*E50</f>
        <v>0</v>
      </c>
      <c r="N50" s="20">
        <f>'Res OLS model'!$B$8*F50</f>
        <v>25673300.62967775</v>
      </c>
      <c r="O50" s="20">
        <f>'Res OLS model'!$B$9*G50</f>
        <v>0</v>
      </c>
      <c r="P50" s="20">
        <f>'Res OLS model'!$B$10*H50</f>
        <v>-1008542.9291790194</v>
      </c>
      <c r="Q50" s="20">
        <f>'Res OLS model'!$B$11*I50</f>
        <v>9884242.1517612189</v>
      </c>
      <c r="R50" s="20">
        <f t="shared" ca="1" si="2"/>
        <v>21738581.15527916</v>
      </c>
    </row>
    <row r="51" spans="1:18" x14ac:dyDescent="0.3">
      <c r="A51" s="22">
        <f>'Monthly Data'!A51</f>
        <v>41306</v>
      </c>
      <c r="B51" s="6">
        <f t="shared" si="1"/>
        <v>2013</v>
      </c>
      <c r="C51" s="20">
        <f ca="1">'Monthly Data'!F51</f>
        <v>18639689.622604229</v>
      </c>
      <c r="D51" s="6">
        <f t="shared" ca="1" si="4"/>
        <v>598.16999999999985</v>
      </c>
      <c r="E51" s="6">
        <f t="shared" ca="1" si="4"/>
        <v>0</v>
      </c>
      <c r="F51" s="6">
        <f>'Monthly Data'!AL51</f>
        <v>28</v>
      </c>
      <c r="G51" s="6">
        <f>'Monthly Data'!BC51</f>
        <v>0</v>
      </c>
      <c r="H51" s="6">
        <f>'Monthly Data'!AN51</f>
        <v>50</v>
      </c>
      <c r="I51" s="6">
        <f>'Monthly Data'!AJ51</f>
        <v>150.19999999999999</v>
      </c>
      <c r="K51" s="20">
        <f>'Res OLS model'!$B$5</f>
        <v>-17086566.711675301</v>
      </c>
      <c r="L51" s="20">
        <f ca="1">'Res OLS model'!$B$6*D51</f>
        <v>3868575.5349442908</v>
      </c>
      <c r="M51" s="20">
        <f ca="1">'Res OLS model'!$B$7*E51</f>
        <v>0</v>
      </c>
      <c r="N51" s="20">
        <f>'Res OLS model'!$B$8*F51</f>
        <v>23188787.665515389</v>
      </c>
      <c r="O51" s="20">
        <f>'Res OLS model'!$B$9*G51</f>
        <v>0</v>
      </c>
      <c r="P51" s="20">
        <f>'Res OLS model'!$B$10*H51</f>
        <v>-1029125.4379377749</v>
      </c>
      <c r="Q51" s="20">
        <f>'Res OLS model'!$B$11*I51</f>
        <v>9825368.4394079093</v>
      </c>
      <c r="R51" s="20">
        <f t="shared" ca="1" si="2"/>
        <v>18767039.490254514</v>
      </c>
    </row>
    <row r="52" spans="1:18" x14ac:dyDescent="0.3">
      <c r="A52" s="22">
        <f>'Monthly Data'!A52</f>
        <v>41334</v>
      </c>
      <c r="B52" s="6">
        <f t="shared" si="1"/>
        <v>2013</v>
      </c>
      <c r="C52" s="20">
        <f ca="1">'Monthly Data'!F52</f>
        <v>19203289.13178562</v>
      </c>
      <c r="D52" s="6">
        <f t="shared" ca="1" si="4"/>
        <v>451.34</v>
      </c>
      <c r="E52" s="6">
        <f t="shared" ca="1" si="4"/>
        <v>0.88000000000000012</v>
      </c>
      <c r="F52" s="6">
        <f>'Monthly Data'!AL52</f>
        <v>31</v>
      </c>
      <c r="G52" s="6">
        <f>'Monthly Data'!BC52</f>
        <v>1</v>
      </c>
      <c r="H52" s="6">
        <f>'Monthly Data'!AN52</f>
        <v>51</v>
      </c>
      <c r="I52" s="6">
        <f>'Monthly Data'!AJ52</f>
        <v>149.4</v>
      </c>
      <c r="K52" s="20">
        <f>'Res OLS model'!$B$5</f>
        <v>-17086566.711675301</v>
      </c>
      <c r="L52" s="20">
        <f ca="1">'Res OLS model'!$B$6*D52</f>
        <v>2918974.3416449446</v>
      </c>
      <c r="M52" s="20">
        <f ca="1">'Res OLS model'!$B$7*E52</f>
        <v>59964.621067633932</v>
      </c>
      <c r="N52" s="20">
        <f>'Res OLS model'!$B$8*F52</f>
        <v>25673300.62967775</v>
      </c>
      <c r="O52" s="20">
        <f>'Res OLS model'!$B$9*G52</f>
        <v>-1891036.2259753</v>
      </c>
      <c r="P52" s="20">
        <f>'Res OLS model'!$B$10*H52</f>
        <v>-1049707.9466965306</v>
      </c>
      <c r="Q52" s="20">
        <f>'Res OLS model'!$B$11*I52</f>
        <v>9773036.2506494131</v>
      </c>
      <c r="R52" s="20">
        <f t="shared" ca="1" si="2"/>
        <v>18397964.95869261</v>
      </c>
    </row>
    <row r="53" spans="1:18" x14ac:dyDescent="0.3">
      <c r="A53" s="22">
        <f>'Monthly Data'!A53</f>
        <v>41365</v>
      </c>
      <c r="B53" s="6">
        <f t="shared" si="1"/>
        <v>2013</v>
      </c>
      <c r="C53" s="20">
        <f ca="1">'Monthly Data'!F53</f>
        <v>17076984.319236379</v>
      </c>
      <c r="D53" s="6">
        <f t="shared" ca="1" si="4"/>
        <v>259.5499999999999</v>
      </c>
      <c r="E53" s="6">
        <f t="shared" ca="1" si="4"/>
        <v>2.4500000000000002</v>
      </c>
      <c r="F53" s="6">
        <f>'Monthly Data'!AL53</f>
        <v>30</v>
      </c>
      <c r="G53" s="6">
        <f>'Monthly Data'!BC53</f>
        <v>1</v>
      </c>
      <c r="H53" s="6">
        <f>'Monthly Data'!AN53</f>
        <v>52</v>
      </c>
      <c r="I53" s="6">
        <f>'Monthly Data'!AJ53</f>
        <v>152.6</v>
      </c>
      <c r="K53" s="20">
        <f>'Res OLS model'!$B$5</f>
        <v>-17086566.711675301</v>
      </c>
      <c r="L53" s="20">
        <f ca="1">'Res OLS model'!$B$6*D53</f>
        <v>1678601.0333095784</v>
      </c>
      <c r="M53" s="20">
        <f ca="1">'Res OLS model'!$B$7*E53</f>
        <v>166946.95638148082</v>
      </c>
      <c r="N53" s="20">
        <f>'Res OLS model'!$B$8*F53</f>
        <v>24845129.641623631</v>
      </c>
      <c r="O53" s="20">
        <f>'Res OLS model'!$B$9*G53</f>
        <v>-1891036.2259753</v>
      </c>
      <c r="P53" s="20">
        <f>'Res OLS model'!$B$10*H53</f>
        <v>-1070290.455455286</v>
      </c>
      <c r="Q53" s="20">
        <f>'Res OLS model'!$B$11*I53</f>
        <v>9982365.0056834016</v>
      </c>
      <c r="R53" s="20">
        <f t="shared" ca="1" si="2"/>
        <v>16625149.243892206</v>
      </c>
    </row>
    <row r="54" spans="1:18" x14ac:dyDescent="0.3">
      <c r="A54" s="22">
        <f>'Monthly Data'!A54</f>
        <v>41395</v>
      </c>
      <c r="B54" s="6">
        <f t="shared" si="1"/>
        <v>2013</v>
      </c>
      <c r="C54" s="20">
        <f ca="1">'Monthly Data'!F54</f>
        <v>18457139.291948661</v>
      </c>
      <c r="D54" s="6">
        <f t="shared" ref="D54:E73" ca="1" si="5">D42</f>
        <v>88.880000000000024</v>
      </c>
      <c r="E54" s="6">
        <f t="shared" ca="1" si="5"/>
        <v>43.79999999999999</v>
      </c>
      <c r="F54" s="6">
        <f>'Monthly Data'!AL54</f>
        <v>31</v>
      </c>
      <c r="G54" s="6">
        <f>'Monthly Data'!BC54</f>
        <v>1</v>
      </c>
      <c r="H54" s="6">
        <f>'Monthly Data'!AN54</f>
        <v>53</v>
      </c>
      <c r="I54" s="6">
        <f>'Monthly Data'!AJ54</f>
        <v>154</v>
      </c>
      <c r="K54" s="20">
        <f>'Res OLS model'!$B$5</f>
        <v>-17086566.711675301</v>
      </c>
      <c r="L54" s="20">
        <f ca="1">'Res OLS model'!$B$6*D54</f>
        <v>574818.18470643589</v>
      </c>
      <c r="M54" s="20">
        <f ca="1">'Res OLS model'!$B$7*E54</f>
        <v>2984602.7304117787</v>
      </c>
      <c r="N54" s="20">
        <f>'Res OLS model'!$B$8*F54</f>
        <v>25673300.62967775</v>
      </c>
      <c r="O54" s="20">
        <f>'Res OLS model'!$B$9*G54</f>
        <v>-1891036.2259753</v>
      </c>
      <c r="P54" s="20">
        <f>'Res OLS model'!$B$10*H54</f>
        <v>-1090872.9642140414</v>
      </c>
      <c r="Q54" s="20">
        <f>'Res OLS model'!$B$11*I54</f>
        <v>10073946.336010773</v>
      </c>
      <c r="R54" s="20">
        <f t="shared" ca="1" si="2"/>
        <v>19238191.978942096</v>
      </c>
    </row>
    <row r="55" spans="1:18" x14ac:dyDescent="0.3">
      <c r="A55" s="22">
        <f>'Monthly Data'!A55</f>
        <v>41426</v>
      </c>
      <c r="B55" s="6">
        <f t="shared" si="1"/>
        <v>2013</v>
      </c>
      <c r="C55" s="20">
        <f ca="1">'Monthly Data'!F55</f>
        <v>23738163.011233285</v>
      </c>
      <c r="D55" s="6">
        <f t="shared" ca="1" si="5"/>
        <v>9.77</v>
      </c>
      <c r="E55" s="6">
        <f t="shared" ca="1" si="5"/>
        <v>117.38999999999999</v>
      </c>
      <c r="F55" s="6">
        <f>'Monthly Data'!AL55</f>
        <v>30</v>
      </c>
      <c r="G55" s="6">
        <f>'Monthly Data'!BC55</f>
        <v>0</v>
      </c>
      <c r="H55" s="6">
        <f>'Monthly Data'!AN55</f>
        <v>54</v>
      </c>
      <c r="I55" s="6">
        <f>'Monthly Data'!AJ55</f>
        <v>155.9</v>
      </c>
      <c r="K55" s="20">
        <f>'Res OLS model'!$B$5</f>
        <v>-17086566.711675301</v>
      </c>
      <c r="L55" s="20">
        <f ca="1">'Res OLS model'!$B$6*D55</f>
        <v>63186.022328778992</v>
      </c>
      <c r="M55" s="20">
        <f ca="1">'Res OLS model'!$B$7*E55</f>
        <v>7999144.1671926649</v>
      </c>
      <c r="N55" s="20">
        <f>'Res OLS model'!$B$8*F55</f>
        <v>24845129.641623631</v>
      </c>
      <c r="O55" s="20">
        <f>'Res OLS model'!$B$9*G55</f>
        <v>0</v>
      </c>
      <c r="P55" s="20">
        <f>'Res OLS model'!$B$10*H55</f>
        <v>-1111455.472972797</v>
      </c>
      <c r="Q55" s="20">
        <f>'Res OLS model'!$B$11*I55</f>
        <v>10198235.284312205</v>
      </c>
      <c r="R55" s="20">
        <f t="shared" ca="1" si="2"/>
        <v>24907672.930809181</v>
      </c>
    </row>
    <row r="56" spans="1:18" x14ac:dyDescent="0.3">
      <c r="A56" s="22">
        <f>'Monthly Data'!A56</f>
        <v>41456</v>
      </c>
      <c r="B56" s="6">
        <f t="shared" si="1"/>
        <v>2013</v>
      </c>
      <c r="C56" s="20">
        <f ca="1">'Monthly Data'!F56</f>
        <v>28992560.436643723</v>
      </c>
      <c r="D56" s="6">
        <f t="shared" ca="1" si="5"/>
        <v>0.58000000000000007</v>
      </c>
      <c r="E56" s="6">
        <f t="shared" ca="1" si="5"/>
        <v>179.70999999999998</v>
      </c>
      <c r="F56" s="6">
        <f>'Monthly Data'!AL56</f>
        <v>31</v>
      </c>
      <c r="G56" s="6">
        <f>'Monthly Data'!BC56</f>
        <v>0</v>
      </c>
      <c r="H56" s="6">
        <f>'Monthly Data'!AN56</f>
        <v>55</v>
      </c>
      <c r="I56" s="6">
        <f>'Monthly Data'!AJ56</f>
        <v>156.6</v>
      </c>
      <c r="K56" s="20">
        <f>'Res OLS model'!$B$5</f>
        <v>-17086566.711675301</v>
      </c>
      <c r="L56" s="20">
        <f ca="1">'Res OLS model'!$B$6*D56</f>
        <v>3751.0637615856522</v>
      </c>
      <c r="M56" s="20">
        <f ca="1">'Res OLS model'!$B$7*E56</f>
        <v>12245729.604618739</v>
      </c>
      <c r="N56" s="20">
        <f>'Res OLS model'!$B$8*F56</f>
        <v>25673300.62967775</v>
      </c>
      <c r="O56" s="20">
        <f>'Res OLS model'!$B$9*G56</f>
        <v>0</v>
      </c>
      <c r="P56" s="20">
        <f>'Res OLS model'!$B$10*H56</f>
        <v>-1132037.9817315524</v>
      </c>
      <c r="Q56" s="20">
        <f>'Res OLS model'!$B$11*I56</f>
        <v>10244025.94947589</v>
      </c>
      <c r="R56" s="20">
        <f t="shared" ca="1" si="2"/>
        <v>29948202.554127112</v>
      </c>
    </row>
    <row r="57" spans="1:18" x14ac:dyDescent="0.3">
      <c r="A57" s="22">
        <f>'Monthly Data'!A57</f>
        <v>41487</v>
      </c>
      <c r="B57" s="6">
        <f t="shared" si="1"/>
        <v>2013</v>
      </c>
      <c r="C57" s="20">
        <f ca="1">'Monthly Data'!F57</f>
        <v>26394506.736268964</v>
      </c>
      <c r="D57" s="6">
        <f t="shared" ca="1" si="5"/>
        <v>1.7099999999999997</v>
      </c>
      <c r="E57" s="6">
        <f t="shared" ca="1" si="5"/>
        <v>158.1</v>
      </c>
      <c r="F57" s="6">
        <f>'Monthly Data'!AL57</f>
        <v>31</v>
      </c>
      <c r="G57" s="6">
        <f>'Monthly Data'!BC57</f>
        <v>0</v>
      </c>
      <c r="H57" s="6">
        <f>'Monthly Data'!AN57</f>
        <v>56</v>
      </c>
      <c r="I57" s="6">
        <f>'Monthly Data'!AJ57</f>
        <v>156.5</v>
      </c>
      <c r="K57" s="20">
        <f>'Res OLS model'!$B$5</f>
        <v>-17086566.711675301</v>
      </c>
      <c r="L57" s="20">
        <f ca="1">'Res OLS model'!$B$6*D57</f>
        <v>11059.170745364592</v>
      </c>
      <c r="M57" s="20">
        <f ca="1">'Res OLS model'!$B$7*E57</f>
        <v>10773189.307719231</v>
      </c>
      <c r="N57" s="20">
        <f>'Res OLS model'!$B$8*F57</f>
        <v>25673300.62967775</v>
      </c>
      <c r="O57" s="20">
        <f>'Res OLS model'!$B$9*G57</f>
        <v>0</v>
      </c>
      <c r="P57" s="20">
        <f>'Res OLS model'!$B$10*H57</f>
        <v>-1152620.490490308</v>
      </c>
      <c r="Q57" s="20">
        <f>'Res OLS model'!$B$11*I57</f>
        <v>10237484.425881078</v>
      </c>
      <c r="R57" s="20">
        <f t="shared" ca="1" si="2"/>
        <v>28455846.331857815</v>
      </c>
    </row>
    <row r="58" spans="1:18" x14ac:dyDescent="0.3">
      <c r="A58" s="22">
        <f>'Monthly Data'!A58</f>
        <v>41518</v>
      </c>
      <c r="B58" s="6">
        <f t="shared" si="1"/>
        <v>2013</v>
      </c>
      <c r="C58" s="20">
        <f ca="1">'Monthly Data'!F58</f>
        <v>22082821.70344121</v>
      </c>
      <c r="D58" s="6">
        <f t="shared" ca="1" si="5"/>
        <v>32.68</v>
      </c>
      <c r="E58" s="6">
        <f t="shared" ca="1" si="5"/>
        <v>67.34</v>
      </c>
      <c r="F58" s="6">
        <f>'Monthly Data'!AL58</f>
        <v>30</v>
      </c>
      <c r="G58" s="6">
        <f>'Monthly Data'!BC58</f>
        <v>0</v>
      </c>
      <c r="H58" s="6">
        <f>'Monthly Data'!AN58</f>
        <v>57</v>
      </c>
      <c r="I58" s="6">
        <f>'Monthly Data'!AJ58</f>
        <v>154.6</v>
      </c>
      <c r="K58" s="20">
        <f>'Res OLS model'!$B$5</f>
        <v>-17086566.711675301</v>
      </c>
      <c r="L58" s="20">
        <f ca="1">'Res OLS model'!$B$6*D58</f>
        <v>211353.04091141222</v>
      </c>
      <c r="M58" s="20">
        <f ca="1">'Res OLS model'!$B$7*E58</f>
        <v>4588656.343970987</v>
      </c>
      <c r="N58" s="20">
        <f>'Res OLS model'!$B$8*F58</f>
        <v>24845129.641623631</v>
      </c>
      <c r="O58" s="20">
        <f>'Res OLS model'!$B$9*G58</f>
        <v>0</v>
      </c>
      <c r="P58" s="20">
        <f>'Res OLS model'!$B$10*H58</f>
        <v>-1173202.9992490634</v>
      </c>
      <c r="Q58" s="20">
        <f>'Res OLS model'!$B$11*I58</f>
        <v>10113195.477579646</v>
      </c>
      <c r="R58" s="20">
        <f t="shared" ca="1" si="2"/>
        <v>21498564.793161314</v>
      </c>
    </row>
    <row r="59" spans="1:18" x14ac:dyDescent="0.3">
      <c r="A59" s="22">
        <f>'Monthly Data'!A59</f>
        <v>41548</v>
      </c>
      <c r="B59" s="6">
        <f t="shared" si="1"/>
        <v>2013</v>
      </c>
      <c r="C59" s="20">
        <f ca="1">'Monthly Data'!F59</f>
        <v>17752714.709292348</v>
      </c>
      <c r="D59" s="6">
        <f t="shared" ca="1" si="5"/>
        <v>176.42</v>
      </c>
      <c r="E59" s="6">
        <f t="shared" ca="1" si="5"/>
        <v>10.18</v>
      </c>
      <c r="F59" s="6">
        <f>'Monthly Data'!AL59</f>
        <v>31</v>
      </c>
      <c r="G59" s="6">
        <f>'Monthly Data'!BC59</f>
        <v>1</v>
      </c>
      <c r="H59" s="6">
        <f>'Monthly Data'!AN59</f>
        <v>58</v>
      </c>
      <c r="I59" s="6">
        <f>'Monthly Data'!AJ59</f>
        <v>155.80000000000001</v>
      </c>
      <c r="K59" s="20">
        <f>'Res OLS model'!$B$5</f>
        <v>-17086566.711675301</v>
      </c>
      <c r="L59" s="20">
        <f ca="1">'Res OLS model'!$B$6*D59</f>
        <v>1140970.1186533459</v>
      </c>
      <c r="M59" s="20">
        <f ca="1">'Res OLS model'!$B$7*E59</f>
        <v>693681.63916876516</v>
      </c>
      <c r="N59" s="20">
        <f>'Res OLS model'!$B$8*F59</f>
        <v>25673300.62967775</v>
      </c>
      <c r="O59" s="20">
        <f>'Res OLS model'!$B$9*G59</f>
        <v>-1891036.2259753</v>
      </c>
      <c r="P59" s="20">
        <f>'Res OLS model'!$B$10*H59</f>
        <v>-1193785.5080078188</v>
      </c>
      <c r="Q59" s="20">
        <f>'Res OLS model'!$B$11*I59</f>
        <v>10191693.760717394</v>
      </c>
      <c r="R59" s="20">
        <f t="shared" ca="1" si="2"/>
        <v>17528257.702558838</v>
      </c>
    </row>
    <row r="60" spans="1:18" x14ac:dyDescent="0.3">
      <c r="A60" s="22">
        <f>'Monthly Data'!A60</f>
        <v>41579</v>
      </c>
      <c r="B60" s="6">
        <f t="shared" si="1"/>
        <v>2013</v>
      </c>
      <c r="C60" s="20">
        <f ca="1">'Monthly Data'!F60</f>
        <v>18589259.601015333</v>
      </c>
      <c r="D60" s="6">
        <f t="shared" ca="1" si="5"/>
        <v>364.2299999999999</v>
      </c>
      <c r="E60" s="6">
        <f t="shared" ca="1" si="5"/>
        <v>0.05</v>
      </c>
      <c r="F60" s="6">
        <f>'Monthly Data'!AL60</f>
        <v>30</v>
      </c>
      <c r="G60" s="6">
        <f>'Monthly Data'!BC60</f>
        <v>1</v>
      </c>
      <c r="H60" s="6">
        <f>'Monthly Data'!AN60</f>
        <v>59</v>
      </c>
      <c r="I60" s="6">
        <f>'Monthly Data'!AJ60</f>
        <v>156.69999999999999</v>
      </c>
      <c r="K60" s="20">
        <f>'Res OLS model'!$B$5</f>
        <v>-17086566.711675301</v>
      </c>
      <c r="L60" s="20">
        <f ca="1">'Res OLS model'!$B$6*D60</f>
        <v>2355603.368762658</v>
      </c>
      <c r="M60" s="20">
        <f ca="1">'Res OLS model'!$B$7*E60</f>
        <v>3407.0807424792001</v>
      </c>
      <c r="N60" s="20">
        <f>'Res OLS model'!$B$8*F60</f>
        <v>24845129.641623631</v>
      </c>
      <c r="O60" s="20">
        <f>'Res OLS model'!$B$9*G60</f>
        <v>-1891036.2259753</v>
      </c>
      <c r="P60" s="20">
        <f>'Res OLS model'!$B$10*H60</f>
        <v>-1214368.0167665745</v>
      </c>
      <c r="Q60" s="20">
        <f>'Res OLS model'!$B$11*I60</f>
        <v>10250567.473070702</v>
      </c>
      <c r="R60" s="20">
        <f t="shared" ca="1" si="2"/>
        <v>17262736.609782293</v>
      </c>
    </row>
    <row r="61" spans="1:18" x14ac:dyDescent="0.3">
      <c r="A61" s="22">
        <f>'Monthly Data'!A61</f>
        <v>41609</v>
      </c>
      <c r="B61" s="6">
        <f t="shared" si="1"/>
        <v>2013</v>
      </c>
      <c r="C61" s="20">
        <f ca="1">'Monthly Data'!F61</f>
        <v>22190029.702539392</v>
      </c>
      <c r="D61" s="6">
        <f t="shared" ca="1" si="5"/>
        <v>552.31000000000006</v>
      </c>
      <c r="E61" s="6">
        <f t="shared" ca="1" si="5"/>
        <v>0</v>
      </c>
      <c r="F61" s="6">
        <f>'Monthly Data'!AL61</f>
        <v>31</v>
      </c>
      <c r="G61" s="6">
        <f>'Monthly Data'!BC61</f>
        <v>0</v>
      </c>
      <c r="H61" s="6">
        <f>'Monthly Data'!AN61</f>
        <v>60</v>
      </c>
      <c r="I61" s="6">
        <f>'Monthly Data'!AJ61</f>
        <v>159.19999999999999</v>
      </c>
      <c r="K61" s="20">
        <f>'Res OLS model'!$B$5</f>
        <v>-17086566.711675301</v>
      </c>
      <c r="L61" s="20">
        <f ca="1">'Res OLS model'!$B$6*D61</f>
        <v>3571982.8037265027</v>
      </c>
      <c r="M61" s="20">
        <f ca="1">'Res OLS model'!$B$7*E61</f>
        <v>0</v>
      </c>
      <c r="N61" s="20">
        <f>'Res OLS model'!$B$8*F61</f>
        <v>25673300.62967775</v>
      </c>
      <c r="O61" s="20">
        <f>'Res OLS model'!$B$9*G61</f>
        <v>0</v>
      </c>
      <c r="P61" s="20">
        <f>'Res OLS model'!$B$10*H61</f>
        <v>-1234950.5255253299</v>
      </c>
      <c r="Q61" s="20">
        <f>'Res OLS model'!$B$11*I61</f>
        <v>10414105.562941005</v>
      </c>
      <c r="R61" s="20">
        <f t="shared" ca="1" si="2"/>
        <v>21337871.759144627</v>
      </c>
    </row>
    <row r="62" spans="1:18" x14ac:dyDescent="0.3">
      <c r="A62" s="22">
        <f>'Monthly Data'!A62</f>
        <v>41640</v>
      </c>
      <c r="B62" s="6">
        <f t="shared" si="1"/>
        <v>2014</v>
      </c>
      <c r="C62" s="20">
        <f ca="1">'Monthly Data'!F62</f>
        <v>22841547.431234065</v>
      </c>
      <c r="D62" s="6">
        <f t="shared" ca="1" si="5"/>
        <v>661.18999999999994</v>
      </c>
      <c r="E62" s="6">
        <f t="shared" ca="1" si="5"/>
        <v>0</v>
      </c>
      <c r="F62" s="6">
        <f>'Monthly Data'!AL62</f>
        <v>31</v>
      </c>
      <c r="G62" s="6">
        <f>'Monthly Data'!BC62</f>
        <v>0</v>
      </c>
      <c r="H62" s="6">
        <f>'Monthly Data'!AN62</f>
        <v>61</v>
      </c>
      <c r="I62" s="6">
        <f>'Monthly Data'!AJ62</f>
        <v>157.1</v>
      </c>
      <c r="K62" s="20">
        <f>'Res OLS model'!$B$5</f>
        <v>-17086566.711675301</v>
      </c>
      <c r="L62" s="20">
        <f ca="1">'Res OLS model'!$B$6*D62</f>
        <v>4276148.0146945119</v>
      </c>
      <c r="M62" s="20">
        <f ca="1">'Res OLS model'!$B$7*E62</f>
        <v>0</v>
      </c>
      <c r="N62" s="20">
        <f>'Res OLS model'!$B$8*F62</f>
        <v>25673300.62967775</v>
      </c>
      <c r="O62" s="20">
        <f>'Res OLS model'!$B$9*G62</f>
        <v>0</v>
      </c>
      <c r="P62" s="20">
        <f>'Res OLS model'!$B$10*H62</f>
        <v>-1255533.0342840855</v>
      </c>
      <c r="Q62" s="20">
        <f>'Res OLS model'!$B$11*I62</f>
        <v>10276733.56744995</v>
      </c>
      <c r="R62" s="20">
        <f t="shared" ca="1" si="2"/>
        <v>21884082.465862826</v>
      </c>
    </row>
    <row r="63" spans="1:18" x14ac:dyDescent="0.3">
      <c r="A63" s="22">
        <f>'Monthly Data'!A63</f>
        <v>41671</v>
      </c>
      <c r="B63" s="6">
        <f t="shared" si="1"/>
        <v>2014</v>
      </c>
      <c r="C63" s="20">
        <f ca="1">'Monthly Data'!F63</f>
        <v>19788010.013485562</v>
      </c>
      <c r="D63" s="6">
        <f t="shared" ca="1" si="5"/>
        <v>598.16999999999985</v>
      </c>
      <c r="E63" s="6">
        <f t="shared" ca="1" si="5"/>
        <v>0</v>
      </c>
      <c r="F63" s="6">
        <f>'Monthly Data'!AL63</f>
        <v>28</v>
      </c>
      <c r="G63" s="6">
        <f>'Monthly Data'!BC63</f>
        <v>0</v>
      </c>
      <c r="H63" s="6">
        <f>'Monthly Data'!AN63</f>
        <v>62</v>
      </c>
      <c r="I63" s="6">
        <f>'Monthly Data'!AJ63</f>
        <v>154.69999999999999</v>
      </c>
      <c r="K63" s="20">
        <f>'Res OLS model'!$B$5</f>
        <v>-17086566.711675301</v>
      </c>
      <c r="L63" s="20">
        <f ca="1">'Res OLS model'!$B$6*D63</f>
        <v>3868575.5349442908</v>
      </c>
      <c r="M63" s="20">
        <f ca="1">'Res OLS model'!$B$7*E63</f>
        <v>0</v>
      </c>
      <c r="N63" s="20">
        <f>'Res OLS model'!$B$8*F63</f>
        <v>23188787.665515389</v>
      </c>
      <c r="O63" s="20">
        <f>'Res OLS model'!$B$9*G63</f>
        <v>0</v>
      </c>
      <c r="P63" s="20">
        <f>'Res OLS model'!$B$10*H63</f>
        <v>-1276115.5430428409</v>
      </c>
      <c r="Q63" s="20">
        <f>'Res OLS model'!$B$11*I63</f>
        <v>10119737.001174457</v>
      </c>
      <c r="R63" s="20">
        <f t="shared" ca="1" si="2"/>
        <v>18814417.946915995</v>
      </c>
    </row>
    <row r="64" spans="1:18" x14ac:dyDescent="0.3">
      <c r="A64" s="22">
        <f>'Monthly Data'!A64</f>
        <v>41699</v>
      </c>
      <c r="B64" s="6">
        <f t="shared" si="1"/>
        <v>2014</v>
      </c>
      <c r="C64" s="20">
        <f ca="1">'Monthly Data'!F64</f>
        <v>19723646.263600551</v>
      </c>
      <c r="D64" s="6">
        <f t="shared" ca="1" si="5"/>
        <v>451.34</v>
      </c>
      <c r="E64" s="6">
        <f t="shared" ca="1" si="5"/>
        <v>0.88000000000000012</v>
      </c>
      <c r="F64" s="6">
        <f>'Monthly Data'!AL64</f>
        <v>31</v>
      </c>
      <c r="G64" s="6">
        <f>'Monthly Data'!BC64</f>
        <v>1</v>
      </c>
      <c r="H64" s="6">
        <f>'Monthly Data'!AN64</f>
        <v>63</v>
      </c>
      <c r="I64" s="6">
        <f>'Monthly Data'!AJ64</f>
        <v>152.4</v>
      </c>
      <c r="K64" s="20">
        <f>'Res OLS model'!$B$5</f>
        <v>-17086566.711675301</v>
      </c>
      <c r="L64" s="20">
        <f ca="1">'Res OLS model'!$B$6*D64</f>
        <v>2918974.3416449446</v>
      </c>
      <c r="M64" s="20">
        <f ca="1">'Res OLS model'!$B$7*E64</f>
        <v>59964.621067633932</v>
      </c>
      <c r="N64" s="20">
        <f>'Res OLS model'!$B$8*F64</f>
        <v>25673300.62967775</v>
      </c>
      <c r="O64" s="20">
        <f>'Res OLS model'!$B$9*G64</f>
        <v>-1891036.2259753</v>
      </c>
      <c r="P64" s="20">
        <f>'Res OLS model'!$B$10*H64</f>
        <v>-1296698.0518015965</v>
      </c>
      <c r="Q64" s="20">
        <f>'Res OLS model'!$B$11*I64</f>
        <v>9969281.9584937785</v>
      </c>
      <c r="R64" s="20">
        <f t="shared" ca="1" si="2"/>
        <v>18347220.561431911</v>
      </c>
    </row>
    <row r="65" spans="1:18" x14ac:dyDescent="0.3">
      <c r="A65" s="22">
        <f>'Monthly Data'!A65</f>
        <v>41730</v>
      </c>
      <c r="B65" s="6">
        <f t="shared" si="1"/>
        <v>2014</v>
      </c>
      <c r="C65" s="20">
        <f ca="1">'Monthly Data'!F65</f>
        <v>16641111.8668398</v>
      </c>
      <c r="D65" s="6">
        <f t="shared" ca="1" si="5"/>
        <v>259.5499999999999</v>
      </c>
      <c r="E65" s="6">
        <f t="shared" ca="1" si="5"/>
        <v>2.4500000000000002</v>
      </c>
      <c r="F65" s="6">
        <f>'Monthly Data'!AL65</f>
        <v>30</v>
      </c>
      <c r="G65" s="6">
        <f>'Monthly Data'!BC65</f>
        <v>1</v>
      </c>
      <c r="H65" s="6">
        <f>'Monthly Data'!AN65</f>
        <v>64</v>
      </c>
      <c r="I65" s="6">
        <f>'Monthly Data'!AJ65</f>
        <v>151.1</v>
      </c>
      <c r="K65" s="20">
        <f>'Res OLS model'!$B$5</f>
        <v>-17086566.711675301</v>
      </c>
      <c r="L65" s="20">
        <f ca="1">'Res OLS model'!$B$6*D65</f>
        <v>1678601.0333095784</v>
      </c>
      <c r="M65" s="20">
        <f ca="1">'Res OLS model'!$B$7*E65</f>
        <v>166946.95638148082</v>
      </c>
      <c r="N65" s="20">
        <f>'Res OLS model'!$B$8*F65</f>
        <v>24845129.641623631</v>
      </c>
      <c r="O65" s="20">
        <f>'Res OLS model'!$B$9*G65</f>
        <v>-1891036.2259753</v>
      </c>
      <c r="P65" s="20">
        <f>'Res OLS model'!$B$10*H65</f>
        <v>-1317280.5605603519</v>
      </c>
      <c r="Q65" s="20">
        <f>'Res OLS model'!$B$11*I65</f>
        <v>9884242.1517612189</v>
      </c>
      <c r="R65" s="20">
        <f t="shared" ca="1" si="2"/>
        <v>16280036.284864957</v>
      </c>
    </row>
    <row r="66" spans="1:18" x14ac:dyDescent="0.3">
      <c r="A66" s="22">
        <f>'Monthly Data'!A66</f>
        <v>41760</v>
      </c>
      <c r="B66" s="6">
        <f t="shared" si="1"/>
        <v>2014</v>
      </c>
      <c r="C66" s="20">
        <f ca="1">'Monthly Data'!F66</f>
        <v>17829710.566903893</v>
      </c>
      <c r="D66" s="6">
        <f t="shared" ca="1" si="5"/>
        <v>88.880000000000024</v>
      </c>
      <c r="E66" s="6">
        <f t="shared" ca="1" si="5"/>
        <v>43.79999999999999</v>
      </c>
      <c r="F66" s="6">
        <f>'Monthly Data'!AL66</f>
        <v>31</v>
      </c>
      <c r="G66" s="6">
        <f>'Monthly Data'!BC66</f>
        <v>1</v>
      </c>
      <c r="H66" s="6">
        <f>'Monthly Data'!AN66</f>
        <v>65</v>
      </c>
      <c r="I66" s="6">
        <f>'Monthly Data'!AJ66</f>
        <v>151.19999999999999</v>
      </c>
      <c r="K66" s="20">
        <f>'Res OLS model'!$B$5</f>
        <v>-17086566.711675301</v>
      </c>
      <c r="L66" s="20">
        <f ca="1">'Res OLS model'!$B$6*D66</f>
        <v>574818.18470643589</v>
      </c>
      <c r="M66" s="20">
        <f ca="1">'Res OLS model'!$B$7*E66</f>
        <v>2984602.7304117787</v>
      </c>
      <c r="N66" s="20">
        <f>'Res OLS model'!$B$8*F66</f>
        <v>25673300.62967775</v>
      </c>
      <c r="O66" s="20">
        <f>'Res OLS model'!$B$9*G66</f>
        <v>-1891036.2259753</v>
      </c>
      <c r="P66" s="20">
        <f>'Res OLS model'!$B$10*H66</f>
        <v>-1337863.0693191073</v>
      </c>
      <c r="Q66" s="20">
        <f>'Res OLS model'!$B$11*I66</f>
        <v>9890783.6753560305</v>
      </c>
      <c r="R66" s="20">
        <f t="shared" ca="1" si="2"/>
        <v>18808039.213182289</v>
      </c>
    </row>
    <row r="67" spans="1:18" x14ac:dyDescent="0.3">
      <c r="A67" s="22">
        <f>'Monthly Data'!A67</f>
        <v>41791</v>
      </c>
      <c r="B67" s="6">
        <f t="shared" ref="B67:B121" si="6">YEAR(A67)</f>
        <v>2014</v>
      </c>
      <c r="C67" s="20">
        <f ca="1">'Monthly Data'!F67</f>
        <v>23632986.106066652</v>
      </c>
      <c r="D67" s="6">
        <f t="shared" ca="1" si="5"/>
        <v>9.77</v>
      </c>
      <c r="E67" s="6">
        <f t="shared" ca="1" si="5"/>
        <v>117.38999999999999</v>
      </c>
      <c r="F67" s="6">
        <f>'Monthly Data'!AL67</f>
        <v>30</v>
      </c>
      <c r="G67" s="6">
        <f>'Monthly Data'!BC67</f>
        <v>0</v>
      </c>
      <c r="H67" s="6">
        <f>'Monthly Data'!AN67</f>
        <v>66</v>
      </c>
      <c r="I67" s="6">
        <f>'Monthly Data'!AJ67</f>
        <v>150.9</v>
      </c>
      <c r="K67" s="20">
        <f>'Res OLS model'!$B$5</f>
        <v>-17086566.711675301</v>
      </c>
      <c r="L67" s="20">
        <f ca="1">'Res OLS model'!$B$6*D67</f>
        <v>63186.022328778992</v>
      </c>
      <c r="M67" s="20">
        <f ca="1">'Res OLS model'!$B$7*E67</f>
        <v>7999144.1671926649</v>
      </c>
      <c r="N67" s="20">
        <f>'Res OLS model'!$B$8*F67</f>
        <v>24845129.641623631</v>
      </c>
      <c r="O67" s="20">
        <f>'Res OLS model'!$B$9*G67</f>
        <v>0</v>
      </c>
      <c r="P67" s="20">
        <f>'Res OLS model'!$B$10*H67</f>
        <v>-1358445.578077863</v>
      </c>
      <c r="Q67" s="20">
        <f>'Res OLS model'!$B$11*I67</f>
        <v>9871159.1045715958</v>
      </c>
      <c r="R67" s="20">
        <f t="shared" ref="R67:R121" ca="1" si="7">SUM(K67:Q67)</f>
        <v>24333606.645963505</v>
      </c>
    </row>
    <row r="68" spans="1:18" x14ac:dyDescent="0.3">
      <c r="A68" s="22">
        <f>'Monthly Data'!A68</f>
        <v>41821</v>
      </c>
      <c r="B68" s="6">
        <f t="shared" si="6"/>
        <v>2014</v>
      </c>
      <c r="C68" s="20">
        <f ca="1">'Monthly Data'!F68</f>
        <v>26634565.643123828</v>
      </c>
      <c r="D68" s="6">
        <f t="shared" ca="1" si="5"/>
        <v>0.58000000000000007</v>
      </c>
      <c r="E68" s="6">
        <f t="shared" ca="1" si="5"/>
        <v>179.70999999999998</v>
      </c>
      <c r="F68" s="6">
        <f>'Monthly Data'!AL68</f>
        <v>31</v>
      </c>
      <c r="G68" s="6">
        <f>'Monthly Data'!BC68</f>
        <v>0</v>
      </c>
      <c r="H68" s="6">
        <f>'Monthly Data'!AN68</f>
        <v>67</v>
      </c>
      <c r="I68" s="6">
        <f>'Monthly Data'!AJ68</f>
        <v>153.6</v>
      </c>
      <c r="K68" s="20">
        <f>'Res OLS model'!$B$5</f>
        <v>-17086566.711675301</v>
      </c>
      <c r="L68" s="20">
        <f ca="1">'Res OLS model'!$B$6*D68</f>
        <v>3751.0637615856522</v>
      </c>
      <c r="M68" s="20">
        <f ca="1">'Res OLS model'!$B$7*E68</f>
        <v>12245729.604618739</v>
      </c>
      <c r="N68" s="20">
        <f>'Res OLS model'!$B$8*F68</f>
        <v>25673300.62967775</v>
      </c>
      <c r="O68" s="20">
        <f>'Res OLS model'!$B$9*G68</f>
        <v>0</v>
      </c>
      <c r="P68" s="20">
        <f>'Res OLS model'!$B$10*H68</f>
        <v>-1379028.0868366184</v>
      </c>
      <c r="Q68" s="20">
        <f>'Res OLS model'!$B$11*I68</f>
        <v>10047780.241631525</v>
      </c>
      <c r="R68" s="20">
        <f t="shared" ca="1" si="7"/>
        <v>29504966.741177678</v>
      </c>
    </row>
    <row r="69" spans="1:18" x14ac:dyDescent="0.3">
      <c r="A69" s="22">
        <f>'Monthly Data'!A69</f>
        <v>41852</v>
      </c>
      <c r="B69" s="6">
        <f t="shared" si="6"/>
        <v>2014</v>
      </c>
      <c r="C69" s="20">
        <f ca="1">'Monthly Data'!F69</f>
        <v>26081906.981533043</v>
      </c>
      <c r="D69" s="6">
        <f t="shared" ca="1" si="5"/>
        <v>1.7099999999999997</v>
      </c>
      <c r="E69" s="6">
        <f t="shared" ca="1" si="5"/>
        <v>158.1</v>
      </c>
      <c r="F69" s="6">
        <f>'Monthly Data'!AL69</f>
        <v>31</v>
      </c>
      <c r="G69" s="6">
        <f>'Monthly Data'!BC69</f>
        <v>0</v>
      </c>
      <c r="H69" s="6">
        <f>'Monthly Data'!AN69</f>
        <v>68</v>
      </c>
      <c r="I69" s="6">
        <f>'Monthly Data'!AJ69</f>
        <v>154.5</v>
      </c>
      <c r="K69" s="20">
        <f>'Res OLS model'!$B$5</f>
        <v>-17086566.711675301</v>
      </c>
      <c r="L69" s="20">
        <f ca="1">'Res OLS model'!$B$6*D69</f>
        <v>11059.170745364592</v>
      </c>
      <c r="M69" s="20">
        <f ca="1">'Res OLS model'!$B$7*E69</f>
        <v>10773189.307719231</v>
      </c>
      <c r="N69" s="20">
        <f>'Res OLS model'!$B$8*F69</f>
        <v>25673300.62967775</v>
      </c>
      <c r="O69" s="20">
        <f>'Res OLS model'!$B$9*G69</f>
        <v>0</v>
      </c>
      <c r="P69" s="20">
        <f>'Res OLS model'!$B$10*H69</f>
        <v>-1399610.595595374</v>
      </c>
      <c r="Q69" s="20">
        <f>'Res OLS model'!$B$11*I69</f>
        <v>10106653.953984834</v>
      </c>
      <c r="R69" s="20">
        <f t="shared" ca="1" si="7"/>
        <v>28078025.754856504</v>
      </c>
    </row>
    <row r="70" spans="1:18" x14ac:dyDescent="0.3">
      <c r="A70" s="22">
        <f>'Monthly Data'!A70</f>
        <v>41883</v>
      </c>
      <c r="B70" s="6">
        <f t="shared" si="6"/>
        <v>2014</v>
      </c>
      <c r="C70" s="20">
        <f ca="1">'Monthly Data'!F70</f>
        <v>20850948.143452179</v>
      </c>
      <c r="D70" s="6">
        <f t="shared" ca="1" si="5"/>
        <v>32.68</v>
      </c>
      <c r="E70" s="6">
        <f t="shared" ca="1" si="5"/>
        <v>67.34</v>
      </c>
      <c r="F70" s="6">
        <f>'Monthly Data'!AL70</f>
        <v>30</v>
      </c>
      <c r="G70" s="6">
        <f>'Monthly Data'!BC70</f>
        <v>0</v>
      </c>
      <c r="H70" s="6">
        <f>'Monthly Data'!AN70</f>
        <v>69</v>
      </c>
      <c r="I70" s="6">
        <f>'Monthly Data'!AJ70</f>
        <v>156.6</v>
      </c>
      <c r="K70" s="20">
        <f>'Res OLS model'!$B$5</f>
        <v>-17086566.711675301</v>
      </c>
      <c r="L70" s="20">
        <f ca="1">'Res OLS model'!$B$6*D70</f>
        <v>211353.04091141222</v>
      </c>
      <c r="M70" s="20">
        <f ca="1">'Res OLS model'!$B$7*E70</f>
        <v>4588656.343970987</v>
      </c>
      <c r="N70" s="20">
        <f>'Res OLS model'!$B$8*F70</f>
        <v>24845129.641623631</v>
      </c>
      <c r="O70" s="20">
        <f>'Res OLS model'!$B$9*G70</f>
        <v>0</v>
      </c>
      <c r="P70" s="20">
        <f>'Res OLS model'!$B$10*H70</f>
        <v>-1420193.1043541294</v>
      </c>
      <c r="Q70" s="20">
        <f>'Res OLS model'!$B$11*I70</f>
        <v>10244025.94947589</v>
      </c>
      <c r="R70" s="20">
        <f t="shared" ca="1" si="7"/>
        <v>21382405.159952492</v>
      </c>
    </row>
    <row r="71" spans="1:18" x14ac:dyDescent="0.3">
      <c r="A71" s="22">
        <f>'Monthly Data'!A71</f>
        <v>41913</v>
      </c>
      <c r="B71" s="6">
        <f t="shared" si="6"/>
        <v>2014</v>
      </c>
      <c r="C71" s="20">
        <f ca="1">'Monthly Data'!F71</f>
        <v>16908660.489088871</v>
      </c>
      <c r="D71" s="6">
        <f t="shared" ca="1" si="5"/>
        <v>176.42</v>
      </c>
      <c r="E71" s="6">
        <f t="shared" ca="1" si="5"/>
        <v>10.18</v>
      </c>
      <c r="F71" s="6">
        <f>'Monthly Data'!AL71</f>
        <v>31</v>
      </c>
      <c r="G71" s="6">
        <f>'Monthly Data'!BC71</f>
        <v>1</v>
      </c>
      <c r="H71" s="6">
        <f>'Monthly Data'!AN71</f>
        <v>70</v>
      </c>
      <c r="I71" s="6">
        <f>'Monthly Data'!AJ71</f>
        <v>158.30000000000001</v>
      </c>
      <c r="K71" s="20">
        <f>'Res OLS model'!$B$5</f>
        <v>-17086566.711675301</v>
      </c>
      <c r="L71" s="20">
        <f ca="1">'Res OLS model'!$B$6*D71</f>
        <v>1140970.1186533459</v>
      </c>
      <c r="M71" s="20">
        <f ca="1">'Res OLS model'!$B$7*E71</f>
        <v>693681.63916876516</v>
      </c>
      <c r="N71" s="20">
        <f>'Res OLS model'!$B$8*F71</f>
        <v>25673300.62967775</v>
      </c>
      <c r="O71" s="20">
        <f>'Res OLS model'!$B$9*G71</f>
        <v>-1891036.2259753</v>
      </c>
      <c r="P71" s="20">
        <f>'Res OLS model'!$B$10*H71</f>
        <v>-1440775.613112885</v>
      </c>
      <c r="Q71" s="20">
        <f>'Res OLS model'!$B$11*I71</f>
        <v>10355231.850587698</v>
      </c>
      <c r="R71" s="20">
        <f t="shared" ca="1" si="7"/>
        <v>17444805.687324073</v>
      </c>
    </row>
    <row r="72" spans="1:18" x14ac:dyDescent="0.3">
      <c r="A72" s="22">
        <f>'Monthly Data'!A72</f>
        <v>41944</v>
      </c>
      <c r="B72" s="6">
        <f t="shared" si="6"/>
        <v>2014</v>
      </c>
      <c r="C72" s="20">
        <f ca="1">'Monthly Data'!F72</f>
        <v>18563212.718194302</v>
      </c>
      <c r="D72" s="6">
        <f t="shared" ca="1" si="5"/>
        <v>364.2299999999999</v>
      </c>
      <c r="E72" s="6">
        <f t="shared" ca="1" si="5"/>
        <v>0.05</v>
      </c>
      <c r="F72" s="6">
        <f>'Monthly Data'!AL72</f>
        <v>30</v>
      </c>
      <c r="G72" s="6">
        <f>'Monthly Data'!BC72</f>
        <v>1</v>
      </c>
      <c r="H72" s="6">
        <f>'Monthly Data'!AN72</f>
        <v>71</v>
      </c>
      <c r="I72" s="6">
        <f>'Monthly Data'!AJ72</f>
        <v>159.30000000000001</v>
      </c>
      <c r="K72" s="20">
        <f>'Res OLS model'!$B$5</f>
        <v>-17086566.711675301</v>
      </c>
      <c r="L72" s="20">
        <f ca="1">'Res OLS model'!$B$6*D72</f>
        <v>2355603.368762658</v>
      </c>
      <c r="M72" s="20">
        <f ca="1">'Res OLS model'!$B$7*E72</f>
        <v>3407.0807424792001</v>
      </c>
      <c r="N72" s="20">
        <f>'Res OLS model'!$B$8*F72</f>
        <v>24845129.641623631</v>
      </c>
      <c r="O72" s="20">
        <f>'Res OLS model'!$B$9*G72</f>
        <v>-1891036.2259753</v>
      </c>
      <c r="P72" s="20">
        <f>'Res OLS model'!$B$10*H72</f>
        <v>-1461358.1218716404</v>
      </c>
      <c r="Q72" s="20">
        <f>'Res OLS model'!$B$11*I72</f>
        <v>10420647.086535821</v>
      </c>
      <c r="R72" s="20">
        <f t="shared" ca="1" si="7"/>
        <v>17185826.118142344</v>
      </c>
    </row>
    <row r="73" spans="1:18" x14ac:dyDescent="0.3">
      <c r="A73" s="22">
        <f>'Monthly Data'!A73</f>
        <v>41974</v>
      </c>
      <c r="B73" s="6">
        <f t="shared" si="6"/>
        <v>2014</v>
      </c>
      <c r="C73" s="20">
        <f ca="1">'Monthly Data'!F73</f>
        <v>20971941.927321982</v>
      </c>
      <c r="D73" s="6">
        <f t="shared" ca="1" si="5"/>
        <v>552.31000000000006</v>
      </c>
      <c r="E73" s="6">
        <f t="shared" ca="1" si="5"/>
        <v>0</v>
      </c>
      <c r="F73" s="6">
        <f>'Monthly Data'!AL73</f>
        <v>31</v>
      </c>
      <c r="G73" s="6">
        <f>'Monthly Data'!BC73</f>
        <v>0</v>
      </c>
      <c r="H73" s="6">
        <f>'Monthly Data'!AN73</f>
        <v>72</v>
      </c>
      <c r="I73" s="6">
        <f>'Monthly Data'!AJ73</f>
        <v>161.1</v>
      </c>
      <c r="K73" s="20">
        <f>'Res OLS model'!$B$5</f>
        <v>-17086566.711675301</v>
      </c>
      <c r="L73" s="20">
        <f ca="1">'Res OLS model'!$B$6*D73</f>
        <v>3571982.8037265027</v>
      </c>
      <c r="M73" s="20">
        <f ca="1">'Res OLS model'!$B$7*E73</f>
        <v>0</v>
      </c>
      <c r="N73" s="20">
        <f>'Res OLS model'!$B$8*F73</f>
        <v>25673300.62967775</v>
      </c>
      <c r="O73" s="20">
        <f>'Res OLS model'!$B$9*G73</f>
        <v>0</v>
      </c>
      <c r="P73" s="20">
        <f>'Res OLS model'!$B$10*H73</f>
        <v>-1481940.6306303958</v>
      </c>
      <c r="Q73" s="20">
        <f>'Res OLS model'!$B$11*I73</f>
        <v>10538394.511242438</v>
      </c>
      <c r="R73" s="20">
        <f t="shared" ca="1" si="7"/>
        <v>21215170.602340993</v>
      </c>
    </row>
    <row r="74" spans="1:18" x14ac:dyDescent="0.3">
      <c r="A74" s="22">
        <f>'Monthly Data'!A74</f>
        <v>42005</v>
      </c>
      <c r="B74" s="6">
        <f t="shared" si="6"/>
        <v>2015</v>
      </c>
      <c r="C74" s="20">
        <f ca="1">'Monthly Data'!F74</f>
        <v>21646168.134603012</v>
      </c>
      <c r="D74" s="6">
        <f t="shared" ref="D74:E93" ca="1" si="8">D62</f>
        <v>661.18999999999994</v>
      </c>
      <c r="E74" s="6">
        <f t="shared" ca="1" si="8"/>
        <v>0</v>
      </c>
      <c r="F74" s="6">
        <f>'Monthly Data'!AL74</f>
        <v>31</v>
      </c>
      <c r="G74" s="6">
        <f>'Monthly Data'!BC74</f>
        <v>0</v>
      </c>
      <c r="H74" s="6">
        <f>'Monthly Data'!AN74</f>
        <v>73</v>
      </c>
      <c r="I74" s="6">
        <f>'Monthly Data'!AJ74</f>
        <v>159.30000000000001</v>
      </c>
      <c r="K74" s="20">
        <f>'Res OLS model'!$B$5</f>
        <v>-17086566.711675301</v>
      </c>
      <c r="L74" s="20">
        <f ca="1">'Res OLS model'!$B$6*D74</f>
        <v>4276148.0146945119</v>
      </c>
      <c r="M74" s="20">
        <f ca="1">'Res OLS model'!$B$7*E74</f>
        <v>0</v>
      </c>
      <c r="N74" s="20">
        <f>'Res OLS model'!$B$8*F74</f>
        <v>25673300.62967775</v>
      </c>
      <c r="O74" s="20">
        <f>'Res OLS model'!$B$9*G74</f>
        <v>0</v>
      </c>
      <c r="P74" s="20">
        <f>'Res OLS model'!$B$10*H74</f>
        <v>-1502523.1393891515</v>
      </c>
      <c r="Q74" s="20">
        <f>'Res OLS model'!$B$11*I74</f>
        <v>10420647.086535821</v>
      </c>
      <c r="R74" s="20">
        <f t="shared" ca="1" si="7"/>
        <v>21781005.87984363</v>
      </c>
    </row>
    <row r="75" spans="1:18" x14ac:dyDescent="0.3">
      <c r="A75" s="22">
        <f>'Monthly Data'!A75</f>
        <v>42036</v>
      </c>
      <c r="B75" s="6">
        <f t="shared" si="6"/>
        <v>2015</v>
      </c>
      <c r="C75" s="20">
        <f ca="1">'Monthly Data'!F75</f>
        <v>19482862.077997562</v>
      </c>
      <c r="D75" s="6">
        <f t="shared" ca="1" si="8"/>
        <v>598.16999999999985</v>
      </c>
      <c r="E75" s="6">
        <f t="shared" ca="1" si="8"/>
        <v>0</v>
      </c>
      <c r="F75" s="6">
        <f>'Monthly Data'!AL75</f>
        <v>28</v>
      </c>
      <c r="G75" s="6">
        <f>'Monthly Data'!BC75</f>
        <v>0</v>
      </c>
      <c r="H75" s="6">
        <f>'Monthly Data'!AN75</f>
        <v>74</v>
      </c>
      <c r="I75" s="6">
        <f>'Monthly Data'!AJ75</f>
        <v>159.1</v>
      </c>
      <c r="K75" s="20">
        <f>'Res OLS model'!$B$5</f>
        <v>-17086566.711675301</v>
      </c>
      <c r="L75" s="20">
        <f ca="1">'Res OLS model'!$B$6*D75</f>
        <v>3868575.5349442908</v>
      </c>
      <c r="M75" s="20">
        <f ca="1">'Res OLS model'!$B$7*E75</f>
        <v>0</v>
      </c>
      <c r="N75" s="20">
        <f>'Res OLS model'!$B$8*F75</f>
        <v>23188787.665515389</v>
      </c>
      <c r="O75" s="20">
        <f>'Res OLS model'!$B$9*G75</f>
        <v>0</v>
      </c>
      <c r="P75" s="20">
        <f>'Res OLS model'!$B$10*H75</f>
        <v>-1523105.6481479069</v>
      </c>
      <c r="Q75" s="20">
        <f>'Res OLS model'!$B$11*I75</f>
        <v>10407564.039346194</v>
      </c>
      <c r="R75" s="20">
        <f t="shared" ca="1" si="7"/>
        <v>18855254.879982665</v>
      </c>
    </row>
    <row r="76" spans="1:18" x14ac:dyDescent="0.3">
      <c r="A76" s="22">
        <f>'Monthly Data'!A76</f>
        <v>42064</v>
      </c>
      <c r="B76" s="6">
        <f t="shared" si="6"/>
        <v>2015</v>
      </c>
      <c r="C76" s="20">
        <f ca="1">'Monthly Data'!F76</f>
        <v>18970038.636144333</v>
      </c>
      <c r="D76" s="6">
        <f t="shared" ca="1" si="8"/>
        <v>451.34</v>
      </c>
      <c r="E76" s="6">
        <f t="shared" ca="1" si="8"/>
        <v>0.88000000000000012</v>
      </c>
      <c r="F76" s="6">
        <f>'Monthly Data'!AL76</f>
        <v>31</v>
      </c>
      <c r="G76" s="6">
        <f>'Monthly Data'!BC76</f>
        <v>1</v>
      </c>
      <c r="H76" s="6">
        <f>'Monthly Data'!AN76</f>
        <v>75</v>
      </c>
      <c r="I76" s="6">
        <f>'Monthly Data'!AJ76</f>
        <v>156.1</v>
      </c>
      <c r="K76" s="20">
        <f>'Res OLS model'!$B$5</f>
        <v>-17086566.711675301</v>
      </c>
      <c r="L76" s="20">
        <f ca="1">'Res OLS model'!$B$6*D76</f>
        <v>2918974.3416449446</v>
      </c>
      <c r="M76" s="20">
        <f ca="1">'Res OLS model'!$B$7*E76</f>
        <v>59964.621067633932</v>
      </c>
      <c r="N76" s="20">
        <f>'Res OLS model'!$B$8*F76</f>
        <v>25673300.62967775</v>
      </c>
      <c r="O76" s="20">
        <f>'Res OLS model'!$B$9*G76</f>
        <v>-1891036.2259753</v>
      </c>
      <c r="P76" s="20">
        <f>'Res OLS model'!$B$10*H76</f>
        <v>-1543688.1569066625</v>
      </c>
      <c r="Q76" s="20">
        <f>'Res OLS model'!$B$11*I76</f>
        <v>10211318.331501829</v>
      </c>
      <c r="R76" s="20">
        <f t="shared" ca="1" si="7"/>
        <v>18342266.829334892</v>
      </c>
    </row>
    <row r="77" spans="1:18" x14ac:dyDescent="0.3">
      <c r="A77" s="22">
        <f>'Monthly Data'!A77</f>
        <v>42095</v>
      </c>
      <c r="B77" s="6">
        <f t="shared" si="6"/>
        <v>2015</v>
      </c>
      <c r="C77" s="20">
        <f ca="1">'Monthly Data'!F77</f>
        <v>16361265.905337434</v>
      </c>
      <c r="D77" s="6">
        <f t="shared" ca="1" si="8"/>
        <v>259.5499999999999</v>
      </c>
      <c r="E77" s="6">
        <f t="shared" ca="1" si="8"/>
        <v>2.4500000000000002</v>
      </c>
      <c r="F77" s="6">
        <f>'Monthly Data'!AL77</f>
        <v>30</v>
      </c>
      <c r="G77" s="6">
        <f>'Monthly Data'!BC77</f>
        <v>1</v>
      </c>
      <c r="H77" s="6">
        <f>'Monthly Data'!AN77</f>
        <v>76</v>
      </c>
      <c r="I77" s="6">
        <f>'Monthly Data'!AJ77</f>
        <v>156.4</v>
      </c>
      <c r="K77" s="20">
        <f>'Res OLS model'!$B$5</f>
        <v>-17086566.711675301</v>
      </c>
      <c r="L77" s="20">
        <f ca="1">'Res OLS model'!$B$6*D77</f>
        <v>1678601.0333095784</v>
      </c>
      <c r="M77" s="20">
        <f ca="1">'Res OLS model'!$B$7*E77</f>
        <v>166946.95638148082</v>
      </c>
      <c r="N77" s="20">
        <f>'Res OLS model'!$B$8*F77</f>
        <v>24845129.641623631</v>
      </c>
      <c r="O77" s="20">
        <f>'Res OLS model'!$B$9*G77</f>
        <v>-1891036.2259753</v>
      </c>
      <c r="P77" s="20">
        <f>'Res OLS model'!$B$10*H77</f>
        <v>-1564270.6656654179</v>
      </c>
      <c r="Q77" s="20">
        <f>'Res OLS model'!$B$11*I77</f>
        <v>10230942.902286265</v>
      </c>
      <c r="R77" s="20">
        <f t="shared" ca="1" si="7"/>
        <v>16379746.930284936</v>
      </c>
    </row>
    <row r="78" spans="1:18" x14ac:dyDescent="0.3">
      <c r="A78" s="22">
        <f>'Monthly Data'!A78</f>
        <v>42125</v>
      </c>
      <c r="B78" s="6">
        <f t="shared" si="6"/>
        <v>2015</v>
      </c>
      <c r="C78" s="20">
        <f ca="1">'Monthly Data'!F78</f>
        <v>18647936.595492445</v>
      </c>
      <c r="D78" s="6">
        <f t="shared" ca="1" si="8"/>
        <v>88.880000000000024</v>
      </c>
      <c r="E78" s="6">
        <f t="shared" ca="1" si="8"/>
        <v>43.79999999999999</v>
      </c>
      <c r="F78" s="6">
        <f>'Monthly Data'!AL78</f>
        <v>31</v>
      </c>
      <c r="G78" s="6">
        <f>'Monthly Data'!BC78</f>
        <v>1</v>
      </c>
      <c r="H78" s="6">
        <f>'Monthly Data'!AN78</f>
        <v>77</v>
      </c>
      <c r="I78" s="6">
        <f>'Monthly Data'!AJ78</f>
        <v>159.1</v>
      </c>
      <c r="K78" s="20">
        <f>'Res OLS model'!$B$5</f>
        <v>-17086566.711675301</v>
      </c>
      <c r="L78" s="20">
        <f ca="1">'Res OLS model'!$B$6*D78</f>
        <v>574818.18470643589</v>
      </c>
      <c r="M78" s="20">
        <f ca="1">'Res OLS model'!$B$7*E78</f>
        <v>2984602.7304117787</v>
      </c>
      <c r="N78" s="20">
        <f>'Res OLS model'!$B$8*F78</f>
        <v>25673300.62967775</v>
      </c>
      <c r="O78" s="20">
        <f>'Res OLS model'!$B$9*G78</f>
        <v>-1891036.2259753</v>
      </c>
      <c r="P78" s="20">
        <f>'Res OLS model'!$B$10*H78</f>
        <v>-1584853.1744241733</v>
      </c>
      <c r="Q78" s="20">
        <f>'Res OLS model'!$B$11*I78</f>
        <v>10407564.039346194</v>
      </c>
      <c r="R78" s="20">
        <f t="shared" ca="1" si="7"/>
        <v>19077829.472067386</v>
      </c>
    </row>
    <row r="79" spans="1:18" x14ac:dyDescent="0.3">
      <c r="A79" s="22">
        <f>'Monthly Data'!A79</f>
        <v>42156</v>
      </c>
      <c r="B79" s="6">
        <f t="shared" si="6"/>
        <v>2015</v>
      </c>
      <c r="C79" s="20">
        <f ca="1">'Monthly Data'!F79</f>
        <v>22179310.772238649</v>
      </c>
      <c r="D79" s="6">
        <f t="shared" ca="1" si="8"/>
        <v>9.77</v>
      </c>
      <c r="E79" s="6">
        <f t="shared" ca="1" si="8"/>
        <v>117.38999999999999</v>
      </c>
      <c r="F79" s="6">
        <f>'Monthly Data'!AL79</f>
        <v>30</v>
      </c>
      <c r="G79" s="6">
        <f>'Monthly Data'!BC79</f>
        <v>0</v>
      </c>
      <c r="H79" s="6">
        <f>'Monthly Data'!AN79</f>
        <v>78</v>
      </c>
      <c r="I79" s="6">
        <f>'Monthly Data'!AJ79</f>
        <v>163.9</v>
      </c>
      <c r="K79" s="20">
        <f>'Res OLS model'!$B$5</f>
        <v>-17086566.711675301</v>
      </c>
      <c r="L79" s="20">
        <f ca="1">'Res OLS model'!$B$6*D79</f>
        <v>63186.022328778992</v>
      </c>
      <c r="M79" s="20">
        <f ca="1">'Res OLS model'!$B$7*E79</f>
        <v>7999144.1671926649</v>
      </c>
      <c r="N79" s="20">
        <f>'Res OLS model'!$B$8*F79</f>
        <v>24845129.641623631</v>
      </c>
      <c r="O79" s="20">
        <f>'Res OLS model'!$B$9*G79</f>
        <v>0</v>
      </c>
      <c r="P79" s="20">
        <f>'Res OLS model'!$B$10*H79</f>
        <v>-1605435.6831829289</v>
      </c>
      <c r="Q79" s="20">
        <f>'Res OLS model'!$B$11*I79</f>
        <v>10721557.17189718</v>
      </c>
      <c r="R79" s="20">
        <f t="shared" ca="1" si="7"/>
        <v>24937014.608184025</v>
      </c>
    </row>
    <row r="80" spans="1:18" x14ac:dyDescent="0.3">
      <c r="A80" s="22">
        <f>'Monthly Data'!A80</f>
        <v>42186</v>
      </c>
      <c r="B80" s="6">
        <f t="shared" si="6"/>
        <v>2015</v>
      </c>
      <c r="C80" s="20">
        <f ca="1">'Monthly Data'!F80</f>
        <v>27989233.864478592</v>
      </c>
      <c r="D80" s="6">
        <f t="shared" ca="1" si="8"/>
        <v>0.58000000000000007</v>
      </c>
      <c r="E80" s="6">
        <f t="shared" ca="1" si="8"/>
        <v>179.70999999999998</v>
      </c>
      <c r="F80" s="6">
        <f>'Monthly Data'!AL80</f>
        <v>31</v>
      </c>
      <c r="G80" s="6">
        <f>'Monthly Data'!BC80</f>
        <v>0</v>
      </c>
      <c r="H80" s="6">
        <f>'Monthly Data'!AN80</f>
        <v>79</v>
      </c>
      <c r="I80" s="6">
        <f>'Monthly Data'!AJ80</f>
        <v>164.8</v>
      </c>
      <c r="K80" s="20">
        <f>'Res OLS model'!$B$5</f>
        <v>-17086566.711675301</v>
      </c>
      <c r="L80" s="20">
        <f ca="1">'Res OLS model'!$B$6*D80</f>
        <v>3751.0637615856522</v>
      </c>
      <c r="M80" s="20">
        <f ca="1">'Res OLS model'!$B$7*E80</f>
        <v>12245729.604618739</v>
      </c>
      <c r="N80" s="20">
        <f>'Res OLS model'!$B$8*F80</f>
        <v>25673300.62967775</v>
      </c>
      <c r="O80" s="20">
        <f>'Res OLS model'!$B$9*G80</f>
        <v>0</v>
      </c>
      <c r="P80" s="20">
        <f>'Res OLS model'!$B$10*H80</f>
        <v>-1626018.1919416843</v>
      </c>
      <c r="Q80" s="20">
        <f>'Res OLS model'!$B$11*I80</f>
        <v>10780430.88425049</v>
      </c>
      <c r="R80" s="20">
        <f t="shared" ca="1" si="7"/>
        <v>29990627.278691575</v>
      </c>
    </row>
    <row r="81" spans="1:18" x14ac:dyDescent="0.3">
      <c r="A81" s="22">
        <f>'Monthly Data'!A81</f>
        <v>42217</v>
      </c>
      <c r="B81" s="6">
        <f t="shared" si="6"/>
        <v>2015</v>
      </c>
      <c r="C81" s="20">
        <f ca="1">'Monthly Data'!F81</f>
        <v>28699787.081477717</v>
      </c>
      <c r="D81" s="6">
        <f t="shared" ca="1" si="8"/>
        <v>1.7099999999999997</v>
      </c>
      <c r="E81" s="6">
        <f t="shared" ca="1" si="8"/>
        <v>158.1</v>
      </c>
      <c r="F81" s="6">
        <f>'Monthly Data'!AL81</f>
        <v>31</v>
      </c>
      <c r="G81" s="6">
        <f>'Monthly Data'!BC81</f>
        <v>0</v>
      </c>
      <c r="H81" s="6">
        <f>'Monthly Data'!AN81</f>
        <v>80</v>
      </c>
      <c r="I81" s="6">
        <f>'Monthly Data'!AJ81</f>
        <v>160.80000000000001</v>
      </c>
      <c r="K81" s="20">
        <f>'Res OLS model'!$B$5</f>
        <v>-17086566.711675301</v>
      </c>
      <c r="L81" s="20">
        <f ca="1">'Res OLS model'!$B$6*D81</f>
        <v>11059.170745364592</v>
      </c>
      <c r="M81" s="20">
        <f ca="1">'Res OLS model'!$B$7*E81</f>
        <v>10773189.307719231</v>
      </c>
      <c r="N81" s="20">
        <f>'Res OLS model'!$B$8*F81</f>
        <v>25673300.62967775</v>
      </c>
      <c r="O81" s="20">
        <f>'Res OLS model'!$B$9*G81</f>
        <v>0</v>
      </c>
      <c r="P81" s="20">
        <f>'Res OLS model'!$B$10*H81</f>
        <v>-1646600.70070044</v>
      </c>
      <c r="Q81" s="20">
        <f>'Res OLS model'!$B$11*I81</f>
        <v>10518769.940458003</v>
      </c>
      <c r="R81" s="20">
        <f t="shared" ca="1" si="7"/>
        <v>28243151.636224609</v>
      </c>
    </row>
    <row r="82" spans="1:18" x14ac:dyDescent="0.3">
      <c r="A82" s="22">
        <f>'Monthly Data'!A82</f>
        <v>42248</v>
      </c>
      <c r="B82" s="6">
        <f t="shared" si="6"/>
        <v>2015</v>
      </c>
      <c r="C82" s="20">
        <f ca="1">'Monthly Data'!F82</f>
        <v>22811633.841654569</v>
      </c>
      <c r="D82" s="6">
        <f t="shared" ca="1" si="8"/>
        <v>32.68</v>
      </c>
      <c r="E82" s="6">
        <f t="shared" ca="1" si="8"/>
        <v>67.34</v>
      </c>
      <c r="F82" s="6">
        <f>'Monthly Data'!AL82</f>
        <v>30</v>
      </c>
      <c r="G82" s="6">
        <f>'Monthly Data'!BC82</f>
        <v>0</v>
      </c>
      <c r="H82" s="6">
        <f>'Monthly Data'!AN82</f>
        <v>81</v>
      </c>
      <c r="I82" s="6">
        <f>'Monthly Data'!AJ82</f>
        <v>156.69999999999999</v>
      </c>
      <c r="K82" s="20">
        <f>'Res OLS model'!$B$5</f>
        <v>-17086566.711675301</v>
      </c>
      <c r="L82" s="20">
        <f ca="1">'Res OLS model'!$B$6*D82</f>
        <v>211353.04091141222</v>
      </c>
      <c r="M82" s="20">
        <f ca="1">'Res OLS model'!$B$7*E82</f>
        <v>4588656.343970987</v>
      </c>
      <c r="N82" s="20">
        <f>'Res OLS model'!$B$8*F82</f>
        <v>24845129.641623631</v>
      </c>
      <c r="O82" s="20">
        <f>'Res OLS model'!$B$9*G82</f>
        <v>0</v>
      </c>
      <c r="P82" s="20">
        <f>'Res OLS model'!$B$10*H82</f>
        <v>-1667183.2094591954</v>
      </c>
      <c r="Q82" s="20">
        <f>'Res OLS model'!$B$11*I82</f>
        <v>10250567.473070702</v>
      </c>
      <c r="R82" s="20">
        <f t="shared" ca="1" si="7"/>
        <v>21141956.578442238</v>
      </c>
    </row>
    <row r="83" spans="1:18" x14ac:dyDescent="0.3">
      <c r="A83" s="22">
        <f>'Monthly Data'!A83</f>
        <v>42278</v>
      </c>
      <c r="B83" s="6">
        <f t="shared" si="6"/>
        <v>2015</v>
      </c>
      <c r="C83" s="20">
        <f ca="1">'Monthly Data'!F83</f>
        <v>17310829.765864406</v>
      </c>
      <c r="D83" s="6">
        <f t="shared" ca="1" si="8"/>
        <v>176.42</v>
      </c>
      <c r="E83" s="6">
        <f t="shared" ca="1" si="8"/>
        <v>10.18</v>
      </c>
      <c r="F83" s="6">
        <f>'Monthly Data'!AL83</f>
        <v>31</v>
      </c>
      <c r="G83" s="6">
        <f>'Monthly Data'!BC83</f>
        <v>1</v>
      </c>
      <c r="H83" s="6">
        <f>'Monthly Data'!AN83</f>
        <v>82</v>
      </c>
      <c r="I83" s="6">
        <f>'Monthly Data'!AJ83</f>
        <v>155.1</v>
      </c>
      <c r="K83" s="20">
        <f>'Res OLS model'!$B$5</f>
        <v>-17086566.711675301</v>
      </c>
      <c r="L83" s="20">
        <f ca="1">'Res OLS model'!$B$6*D83</f>
        <v>1140970.1186533459</v>
      </c>
      <c r="M83" s="20">
        <f ca="1">'Res OLS model'!$B$7*E83</f>
        <v>693681.63916876516</v>
      </c>
      <c r="N83" s="20">
        <f>'Res OLS model'!$B$8*F83</f>
        <v>25673300.62967775</v>
      </c>
      <c r="O83" s="20">
        <f>'Res OLS model'!$B$9*G83</f>
        <v>-1891036.2259753</v>
      </c>
      <c r="P83" s="20">
        <f>'Res OLS model'!$B$10*H83</f>
        <v>-1687765.718217951</v>
      </c>
      <c r="Q83" s="20">
        <f>'Res OLS model'!$B$11*I83</f>
        <v>10145903.095553707</v>
      </c>
      <c r="R83" s="20">
        <f t="shared" ca="1" si="7"/>
        <v>16988486.827185016</v>
      </c>
    </row>
    <row r="84" spans="1:18" x14ac:dyDescent="0.3">
      <c r="A84" s="22">
        <f>'Monthly Data'!A84</f>
        <v>42309</v>
      </c>
      <c r="B84" s="6">
        <f t="shared" si="6"/>
        <v>2015</v>
      </c>
      <c r="C84" s="20">
        <f ca="1">'Monthly Data'!F84</f>
        <v>17013143.543729268</v>
      </c>
      <c r="D84" s="6">
        <f t="shared" ca="1" si="8"/>
        <v>364.2299999999999</v>
      </c>
      <c r="E84" s="6">
        <f t="shared" ca="1" si="8"/>
        <v>0.05</v>
      </c>
      <c r="F84" s="6">
        <f>'Monthly Data'!AL84</f>
        <v>30</v>
      </c>
      <c r="G84" s="6">
        <f>'Monthly Data'!BC84</f>
        <v>1</v>
      </c>
      <c r="H84" s="6">
        <f>'Monthly Data'!AN84</f>
        <v>83</v>
      </c>
      <c r="I84" s="6">
        <f>'Monthly Data'!AJ84</f>
        <v>155.19999999999999</v>
      </c>
      <c r="K84" s="20">
        <f>'Res OLS model'!$B$5</f>
        <v>-17086566.711675301</v>
      </c>
      <c r="L84" s="20">
        <f ca="1">'Res OLS model'!$B$6*D84</f>
        <v>2355603.368762658</v>
      </c>
      <c r="M84" s="20">
        <f ca="1">'Res OLS model'!$B$7*E84</f>
        <v>3407.0807424792001</v>
      </c>
      <c r="N84" s="20">
        <f>'Res OLS model'!$B$8*F84</f>
        <v>24845129.641623631</v>
      </c>
      <c r="O84" s="20">
        <f>'Res OLS model'!$B$9*G84</f>
        <v>-1891036.2259753</v>
      </c>
      <c r="P84" s="20">
        <f>'Res OLS model'!$B$10*H84</f>
        <v>-1708348.2269767064</v>
      </c>
      <c r="Q84" s="20">
        <f>'Res OLS model'!$B$11*I84</f>
        <v>10152444.619148519</v>
      </c>
      <c r="R84" s="20">
        <f t="shared" ca="1" si="7"/>
        <v>16670633.545649977</v>
      </c>
    </row>
    <row r="85" spans="1:18" x14ac:dyDescent="0.3">
      <c r="A85" s="22">
        <f>'Monthly Data'!A85</f>
        <v>42339</v>
      </c>
      <c r="B85" s="6">
        <f t="shared" si="6"/>
        <v>2015</v>
      </c>
      <c r="C85" s="20">
        <f ca="1">'Monthly Data'!F85</f>
        <v>19660216.432087231</v>
      </c>
      <c r="D85" s="6">
        <f t="shared" ca="1" si="8"/>
        <v>552.31000000000006</v>
      </c>
      <c r="E85" s="6">
        <f t="shared" ca="1" si="8"/>
        <v>0</v>
      </c>
      <c r="F85" s="6">
        <f>'Monthly Data'!AL85</f>
        <v>31</v>
      </c>
      <c r="G85" s="6">
        <f>'Monthly Data'!BC85</f>
        <v>0</v>
      </c>
      <c r="H85" s="6">
        <f>'Monthly Data'!AN85</f>
        <v>84</v>
      </c>
      <c r="I85" s="6">
        <f>'Monthly Data'!AJ85</f>
        <v>155.19999999999999</v>
      </c>
      <c r="K85" s="20">
        <f>'Res OLS model'!$B$5</f>
        <v>-17086566.711675301</v>
      </c>
      <c r="L85" s="20">
        <f ca="1">'Res OLS model'!$B$6*D85</f>
        <v>3571982.8037265027</v>
      </c>
      <c r="M85" s="20">
        <f ca="1">'Res OLS model'!$B$7*E85</f>
        <v>0</v>
      </c>
      <c r="N85" s="20">
        <f>'Res OLS model'!$B$8*F85</f>
        <v>25673300.62967775</v>
      </c>
      <c r="O85" s="20">
        <f>'Res OLS model'!$B$9*G85</f>
        <v>0</v>
      </c>
      <c r="P85" s="20">
        <f>'Res OLS model'!$B$10*H85</f>
        <v>-1728930.7357354618</v>
      </c>
      <c r="Q85" s="20">
        <f>'Res OLS model'!$B$11*I85</f>
        <v>10152444.619148519</v>
      </c>
      <c r="R85" s="20">
        <f t="shared" ca="1" si="7"/>
        <v>20582230.605142009</v>
      </c>
    </row>
    <row r="86" spans="1:18" x14ac:dyDescent="0.3">
      <c r="A86" s="22">
        <f>'Monthly Data'!A86</f>
        <v>42370</v>
      </c>
      <c r="B86" s="6">
        <f t="shared" si="6"/>
        <v>2016</v>
      </c>
      <c r="C86" s="20">
        <f ca="1">'Monthly Data'!F86</f>
        <v>20402754.005920634</v>
      </c>
      <c r="D86" s="6">
        <f t="shared" ca="1" si="8"/>
        <v>661.18999999999994</v>
      </c>
      <c r="E86" s="6">
        <f t="shared" ca="1" si="8"/>
        <v>0</v>
      </c>
      <c r="F86" s="6">
        <f>'Monthly Data'!AL86</f>
        <v>31</v>
      </c>
      <c r="G86" s="6">
        <f>'Monthly Data'!BC86</f>
        <v>0</v>
      </c>
      <c r="H86" s="6">
        <f>'Monthly Data'!AN86</f>
        <v>85</v>
      </c>
      <c r="I86" s="6">
        <f>'Monthly Data'!AJ86</f>
        <v>155</v>
      </c>
      <c r="K86" s="20">
        <f>'Res OLS model'!$B$5</f>
        <v>-17086566.711675301</v>
      </c>
      <c r="L86" s="20">
        <f ca="1">'Res OLS model'!$B$6*D86</f>
        <v>4276148.0146945119</v>
      </c>
      <c r="M86" s="20">
        <f ca="1">'Res OLS model'!$B$7*E86</f>
        <v>0</v>
      </c>
      <c r="N86" s="20">
        <f>'Res OLS model'!$B$8*F86</f>
        <v>25673300.62967775</v>
      </c>
      <c r="O86" s="20">
        <f>'Res OLS model'!$B$9*G86</f>
        <v>0</v>
      </c>
      <c r="P86" s="20">
        <f>'Res OLS model'!$B$10*H86</f>
        <v>-1749513.2444942174</v>
      </c>
      <c r="Q86" s="20">
        <f>'Res OLS model'!$B$11*I86</f>
        <v>10139361.571958896</v>
      </c>
      <c r="R86" s="20">
        <f t="shared" ca="1" si="7"/>
        <v>21252730.260161638</v>
      </c>
    </row>
    <row r="87" spans="1:18" x14ac:dyDescent="0.3">
      <c r="A87" s="22">
        <f>'Monthly Data'!A87</f>
        <v>42401</v>
      </c>
      <c r="B87" s="6">
        <f t="shared" si="6"/>
        <v>2016</v>
      </c>
      <c r="C87" s="20">
        <f ca="1">'Monthly Data'!F87</f>
        <v>18147995.995060921</v>
      </c>
      <c r="D87" s="6">
        <f t="shared" ca="1" si="8"/>
        <v>598.16999999999985</v>
      </c>
      <c r="E87" s="6">
        <f t="shared" ca="1" si="8"/>
        <v>0</v>
      </c>
      <c r="F87" s="6">
        <f>'Monthly Data'!AL87</f>
        <v>29</v>
      </c>
      <c r="G87" s="6">
        <f>'Monthly Data'!BC87</f>
        <v>0</v>
      </c>
      <c r="H87" s="6">
        <f>'Monthly Data'!AN87</f>
        <v>86</v>
      </c>
      <c r="I87" s="6">
        <f>'Monthly Data'!AJ87</f>
        <v>156</v>
      </c>
      <c r="K87" s="20">
        <f>'Res OLS model'!$B$5</f>
        <v>-17086566.711675301</v>
      </c>
      <c r="L87" s="20">
        <f ca="1">'Res OLS model'!$B$6*D87</f>
        <v>3868575.5349442908</v>
      </c>
      <c r="M87" s="20">
        <f ca="1">'Res OLS model'!$B$7*E87</f>
        <v>0</v>
      </c>
      <c r="N87" s="20">
        <f>'Res OLS model'!$B$8*F87</f>
        <v>24016958.653569508</v>
      </c>
      <c r="O87" s="20">
        <f>'Res OLS model'!$B$9*G87</f>
        <v>0</v>
      </c>
      <c r="P87" s="20">
        <f>'Res OLS model'!$B$10*H87</f>
        <v>-1770095.7532529728</v>
      </c>
      <c r="Q87" s="20">
        <f>'Res OLS model'!$B$11*I87</f>
        <v>10204776.807907017</v>
      </c>
      <c r="R87" s="20">
        <f t="shared" ca="1" si="7"/>
        <v>19233648.531492539</v>
      </c>
    </row>
    <row r="88" spans="1:18" x14ac:dyDescent="0.3">
      <c r="A88" s="22">
        <f>'Monthly Data'!A88</f>
        <v>42430</v>
      </c>
      <c r="B88" s="6">
        <f t="shared" si="6"/>
        <v>2016</v>
      </c>
      <c r="C88" s="20">
        <f ca="1">'Monthly Data'!F88</f>
        <v>17757118.963884208</v>
      </c>
      <c r="D88" s="6">
        <f t="shared" ca="1" si="8"/>
        <v>451.34</v>
      </c>
      <c r="E88" s="6">
        <f t="shared" ca="1" si="8"/>
        <v>0.88000000000000012</v>
      </c>
      <c r="F88" s="6">
        <f>'Monthly Data'!AL88</f>
        <v>31</v>
      </c>
      <c r="G88" s="6">
        <f>'Monthly Data'!BC88</f>
        <v>1</v>
      </c>
      <c r="H88" s="6">
        <f>'Monthly Data'!AN88</f>
        <v>87</v>
      </c>
      <c r="I88" s="6">
        <f>'Monthly Data'!AJ88</f>
        <v>156.80000000000001</v>
      </c>
      <c r="K88" s="20">
        <f>'Res OLS model'!$B$5</f>
        <v>-17086566.711675301</v>
      </c>
      <c r="L88" s="20">
        <f ca="1">'Res OLS model'!$B$6*D88</f>
        <v>2918974.3416449446</v>
      </c>
      <c r="M88" s="20">
        <f ca="1">'Res OLS model'!$B$7*E88</f>
        <v>59964.621067633932</v>
      </c>
      <c r="N88" s="20">
        <f>'Res OLS model'!$B$8*F88</f>
        <v>25673300.62967775</v>
      </c>
      <c r="O88" s="20">
        <f>'Res OLS model'!$B$9*G88</f>
        <v>-1891036.2259753</v>
      </c>
      <c r="P88" s="20">
        <f>'Res OLS model'!$B$10*H88</f>
        <v>-1790678.2620117285</v>
      </c>
      <c r="Q88" s="20">
        <f>'Res OLS model'!$B$11*I88</f>
        <v>10257108.996665515</v>
      </c>
      <c r="R88" s="20">
        <f t="shared" ca="1" si="7"/>
        <v>18141067.389393516</v>
      </c>
    </row>
    <row r="89" spans="1:18" x14ac:dyDescent="0.3">
      <c r="A89" s="22">
        <f>'Monthly Data'!A89</f>
        <v>42461</v>
      </c>
      <c r="B89" s="6">
        <f t="shared" si="6"/>
        <v>2016</v>
      </c>
      <c r="C89" s="20">
        <f ca="1">'Monthly Data'!F89</f>
        <v>16194098.280517746</v>
      </c>
      <c r="D89" s="6">
        <f t="shared" ca="1" si="8"/>
        <v>259.5499999999999</v>
      </c>
      <c r="E89" s="6">
        <f t="shared" ca="1" si="8"/>
        <v>2.4500000000000002</v>
      </c>
      <c r="F89" s="6">
        <f>'Monthly Data'!AL89</f>
        <v>30</v>
      </c>
      <c r="G89" s="6">
        <f>'Monthly Data'!BC89</f>
        <v>1</v>
      </c>
      <c r="H89" s="6">
        <f>'Monthly Data'!AN89</f>
        <v>88</v>
      </c>
      <c r="I89" s="6">
        <f>'Monthly Data'!AJ89</f>
        <v>159.30000000000001</v>
      </c>
      <c r="K89" s="20">
        <f>'Res OLS model'!$B$5</f>
        <v>-17086566.711675301</v>
      </c>
      <c r="L89" s="20">
        <f ca="1">'Res OLS model'!$B$6*D89</f>
        <v>1678601.0333095784</v>
      </c>
      <c r="M89" s="20">
        <f ca="1">'Res OLS model'!$B$7*E89</f>
        <v>166946.95638148082</v>
      </c>
      <c r="N89" s="20">
        <f>'Res OLS model'!$B$8*F89</f>
        <v>24845129.641623631</v>
      </c>
      <c r="O89" s="20">
        <f>'Res OLS model'!$B$9*G89</f>
        <v>-1891036.2259753</v>
      </c>
      <c r="P89" s="20">
        <f>'Res OLS model'!$B$10*H89</f>
        <v>-1811260.7707704839</v>
      </c>
      <c r="Q89" s="20">
        <f>'Res OLS model'!$B$11*I89</f>
        <v>10420647.086535821</v>
      </c>
      <c r="R89" s="20">
        <f t="shared" ca="1" si="7"/>
        <v>16322461.009429427</v>
      </c>
    </row>
    <row r="90" spans="1:18" x14ac:dyDescent="0.3">
      <c r="A90" s="22">
        <f>'Monthly Data'!A90</f>
        <v>42491</v>
      </c>
      <c r="B90" s="6">
        <f t="shared" si="6"/>
        <v>2016</v>
      </c>
      <c r="C90" s="20">
        <f ca="1">'Monthly Data'!F90</f>
        <v>18712521.998033397</v>
      </c>
      <c r="D90" s="6">
        <f t="shared" ca="1" si="8"/>
        <v>88.880000000000024</v>
      </c>
      <c r="E90" s="6">
        <f t="shared" ca="1" si="8"/>
        <v>43.79999999999999</v>
      </c>
      <c r="F90" s="6">
        <f>'Monthly Data'!AL90</f>
        <v>31</v>
      </c>
      <c r="G90" s="6">
        <f>'Monthly Data'!BC90</f>
        <v>1</v>
      </c>
      <c r="H90" s="6">
        <f>'Monthly Data'!AN90</f>
        <v>89</v>
      </c>
      <c r="I90" s="6">
        <f>'Monthly Data'!AJ90</f>
        <v>162.1</v>
      </c>
      <c r="K90" s="20">
        <f>'Res OLS model'!$B$5</f>
        <v>-17086566.711675301</v>
      </c>
      <c r="L90" s="20">
        <f ca="1">'Res OLS model'!$B$6*D90</f>
        <v>574818.18470643589</v>
      </c>
      <c r="M90" s="20">
        <f ca="1">'Res OLS model'!$B$7*E90</f>
        <v>2984602.7304117787</v>
      </c>
      <c r="N90" s="20">
        <f>'Res OLS model'!$B$8*F90</f>
        <v>25673300.62967775</v>
      </c>
      <c r="O90" s="20">
        <f>'Res OLS model'!$B$9*G90</f>
        <v>-1891036.2259753</v>
      </c>
      <c r="P90" s="20">
        <f>'Res OLS model'!$B$10*H90</f>
        <v>-1831843.2795292395</v>
      </c>
      <c r="Q90" s="20">
        <f>'Res OLS model'!$B$11*I90</f>
        <v>10603809.747190559</v>
      </c>
      <c r="R90" s="20">
        <f t="shared" ca="1" si="7"/>
        <v>19027085.074806683</v>
      </c>
    </row>
    <row r="91" spans="1:18" x14ac:dyDescent="0.3">
      <c r="A91" s="22">
        <f>'Monthly Data'!A91</f>
        <v>42522</v>
      </c>
      <c r="B91" s="6">
        <f t="shared" si="6"/>
        <v>2016</v>
      </c>
      <c r="C91" s="20">
        <f ca="1">'Monthly Data'!F91</f>
        <v>25342938.0505188</v>
      </c>
      <c r="D91" s="6">
        <f t="shared" ca="1" si="8"/>
        <v>9.77</v>
      </c>
      <c r="E91" s="6">
        <f t="shared" ca="1" si="8"/>
        <v>117.38999999999999</v>
      </c>
      <c r="F91" s="6">
        <f>'Monthly Data'!AL91</f>
        <v>30</v>
      </c>
      <c r="G91" s="6">
        <f>'Monthly Data'!BC91</f>
        <v>0</v>
      </c>
      <c r="H91" s="6">
        <f>'Monthly Data'!AN91</f>
        <v>90</v>
      </c>
      <c r="I91" s="6">
        <f>'Monthly Data'!AJ91</f>
        <v>166.7</v>
      </c>
      <c r="K91" s="20">
        <f>'Res OLS model'!$B$5</f>
        <v>-17086566.711675301</v>
      </c>
      <c r="L91" s="20">
        <f ca="1">'Res OLS model'!$B$6*D91</f>
        <v>63186.022328778992</v>
      </c>
      <c r="M91" s="20">
        <f ca="1">'Res OLS model'!$B$7*E91</f>
        <v>7999144.1671926649</v>
      </c>
      <c r="N91" s="20">
        <f>'Res OLS model'!$B$8*F91</f>
        <v>24845129.641623631</v>
      </c>
      <c r="O91" s="20">
        <f>'Res OLS model'!$B$9*G91</f>
        <v>0</v>
      </c>
      <c r="P91" s="20">
        <f>'Res OLS model'!$B$10*H91</f>
        <v>-1852425.7882879949</v>
      </c>
      <c r="Q91" s="20">
        <f>'Res OLS model'!$B$11*I91</f>
        <v>10904719.832551921</v>
      </c>
      <c r="R91" s="20">
        <f t="shared" ca="1" si="7"/>
        <v>24873187.163733698</v>
      </c>
    </row>
    <row r="92" spans="1:18" x14ac:dyDescent="0.3">
      <c r="A92" s="22">
        <f>'Monthly Data'!A92</f>
        <v>42552</v>
      </c>
      <c r="B92" s="6">
        <f t="shared" si="6"/>
        <v>2016</v>
      </c>
      <c r="C92" s="20">
        <f ca="1">'Monthly Data'!F92</f>
        <v>32676576.086327001</v>
      </c>
      <c r="D92" s="6">
        <f t="shared" ca="1" si="8"/>
        <v>0.58000000000000007</v>
      </c>
      <c r="E92" s="6">
        <f t="shared" ca="1" si="8"/>
        <v>179.70999999999998</v>
      </c>
      <c r="F92" s="6">
        <f>'Monthly Data'!AL92</f>
        <v>31</v>
      </c>
      <c r="G92" s="6">
        <f>'Monthly Data'!BC92</f>
        <v>0</v>
      </c>
      <c r="H92" s="6">
        <f>'Monthly Data'!AN92</f>
        <v>91</v>
      </c>
      <c r="I92" s="6">
        <f>'Monthly Data'!AJ92</f>
        <v>169.9</v>
      </c>
      <c r="K92" s="20">
        <f>'Res OLS model'!$B$5</f>
        <v>-17086566.711675301</v>
      </c>
      <c r="L92" s="20">
        <f ca="1">'Res OLS model'!$B$6*D92</f>
        <v>3751.0637615856522</v>
      </c>
      <c r="M92" s="20">
        <f ca="1">'Res OLS model'!$B$7*E92</f>
        <v>12245729.604618739</v>
      </c>
      <c r="N92" s="20">
        <f>'Res OLS model'!$B$8*F92</f>
        <v>25673300.62967775</v>
      </c>
      <c r="O92" s="20">
        <f>'Res OLS model'!$B$9*G92</f>
        <v>0</v>
      </c>
      <c r="P92" s="20">
        <f>'Res OLS model'!$B$10*H92</f>
        <v>-1873008.2970467503</v>
      </c>
      <c r="Q92" s="20">
        <f>'Res OLS model'!$B$11*I92</f>
        <v>11114048.587585911</v>
      </c>
      <c r="R92" s="20">
        <f t="shared" ca="1" si="7"/>
        <v>30077254.876921933</v>
      </c>
    </row>
    <row r="93" spans="1:18" x14ac:dyDescent="0.3">
      <c r="A93" s="22">
        <f>'Monthly Data'!A93</f>
        <v>42583</v>
      </c>
      <c r="B93" s="6">
        <f t="shared" si="6"/>
        <v>2016</v>
      </c>
      <c r="C93" s="20">
        <f ca="1">'Monthly Data'!F93</f>
        <v>32627741.790165287</v>
      </c>
      <c r="D93" s="6">
        <f t="shared" ca="1" si="8"/>
        <v>1.7099999999999997</v>
      </c>
      <c r="E93" s="6">
        <f t="shared" ca="1" si="8"/>
        <v>158.1</v>
      </c>
      <c r="F93" s="6">
        <f>'Monthly Data'!AL93</f>
        <v>31</v>
      </c>
      <c r="G93" s="6">
        <f>'Monthly Data'!BC93</f>
        <v>0</v>
      </c>
      <c r="H93" s="6">
        <f>'Monthly Data'!AN93</f>
        <v>92</v>
      </c>
      <c r="I93" s="6">
        <f>'Monthly Data'!AJ93</f>
        <v>171.7</v>
      </c>
      <c r="K93" s="20">
        <f>'Res OLS model'!$B$5</f>
        <v>-17086566.711675301</v>
      </c>
      <c r="L93" s="20">
        <f ca="1">'Res OLS model'!$B$6*D93</f>
        <v>11059.170745364592</v>
      </c>
      <c r="M93" s="20">
        <f ca="1">'Res OLS model'!$B$7*E93</f>
        <v>10773189.307719231</v>
      </c>
      <c r="N93" s="20">
        <f>'Res OLS model'!$B$8*F93</f>
        <v>25673300.62967775</v>
      </c>
      <c r="O93" s="20">
        <f>'Res OLS model'!$B$9*G93</f>
        <v>0</v>
      </c>
      <c r="P93" s="20">
        <f>'Res OLS model'!$B$10*H93</f>
        <v>-1893590.805805506</v>
      </c>
      <c r="Q93" s="20">
        <f>'Res OLS model'!$B$11*I93</f>
        <v>11231796.01229253</v>
      </c>
      <c r="R93" s="20">
        <f t="shared" ca="1" si="7"/>
        <v>28709187.602954071</v>
      </c>
    </row>
    <row r="94" spans="1:18" x14ac:dyDescent="0.3">
      <c r="A94" s="22">
        <f>'Monthly Data'!A94</f>
        <v>42614</v>
      </c>
      <c r="B94" s="6">
        <f t="shared" si="6"/>
        <v>2016</v>
      </c>
      <c r="C94" s="20">
        <f ca="1">'Monthly Data'!F94</f>
        <v>23815134.656093854</v>
      </c>
      <c r="D94" s="6">
        <f t="shared" ref="D94:E113" ca="1" si="9">D82</f>
        <v>32.68</v>
      </c>
      <c r="E94" s="6">
        <f t="shared" ca="1" si="9"/>
        <v>67.34</v>
      </c>
      <c r="F94" s="6">
        <f>'Monthly Data'!AL94</f>
        <v>30</v>
      </c>
      <c r="G94" s="6">
        <f>'Monthly Data'!BC94</f>
        <v>0</v>
      </c>
      <c r="H94" s="6">
        <f>'Monthly Data'!AN94</f>
        <v>93</v>
      </c>
      <c r="I94" s="6">
        <f>'Monthly Data'!AJ94</f>
        <v>170.5</v>
      </c>
      <c r="K94" s="20">
        <f>'Res OLS model'!$B$5</f>
        <v>-17086566.711675301</v>
      </c>
      <c r="L94" s="20">
        <f ca="1">'Res OLS model'!$B$6*D94</f>
        <v>211353.04091141222</v>
      </c>
      <c r="M94" s="20">
        <f ca="1">'Res OLS model'!$B$7*E94</f>
        <v>4588656.343970987</v>
      </c>
      <c r="N94" s="20">
        <f>'Res OLS model'!$B$8*F94</f>
        <v>24845129.641623631</v>
      </c>
      <c r="O94" s="20">
        <f>'Res OLS model'!$B$9*G94</f>
        <v>0</v>
      </c>
      <c r="P94" s="20">
        <f>'Res OLS model'!$B$10*H94</f>
        <v>-1914173.3145642614</v>
      </c>
      <c r="Q94" s="20">
        <f>'Res OLS model'!$B$11*I94</f>
        <v>11153297.729154784</v>
      </c>
      <c r="R94" s="20">
        <f t="shared" ca="1" si="7"/>
        <v>21797696.729421254</v>
      </c>
    </row>
    <row r="95" spans="1:18" x14ac:dyDescent="0.3">
      <c r="A95" s="22">
        <f>'Monthly Data'!A95</f>
        <v>42644</v>
      </c>
      <c r="B95" s="6">
        <f t="shared" si="6"/>
        <v>2016</v>
      </c>
      <c r="C95" s="20">
        <f ca="1">'Monthly Data'!F95</f>
        <v>18077594.709831063</v>
      </c>
      <c r="D95" s="6">
        <f t="shared" ca="1" si="9"/>
        <v>176.42</v>
      </c>
      <c r="E95" s="6">
        <f t="shared" ca="1" si="9"/>
        <v>10.18</v>
      </c>
      <c r="F95" s="6">
        <f>'Monthly Data'!AL95</f>
        <v>31</v>
      </c>
      <c r="G95" s="6">
        <f>'Monthly Data'!BC95</f>
        <v>1</v>
      </c>
      <c r="H95" s="6">
        <f>'Monthly Data'!AN95</f>
        <v>94</v>
      </c>
      <c r="I95" s="6">
        <f>'Monthly Data'!AJ95</f>
        <v>169.2</v>
      </c>
      <c r="K95" s="20">
        <f>'Res OLS model'!$B$5</f>
        <v>-17086566.711675301</v>
      </c>
      <c r="L95" s="20">
        <f ca="1">'Res OLS model'!$B$6*D95</f>
        <v>1140970.1186533459</v>
      </c>
      <c r="M95" s="20">
        <f ca="1">'Res OLS model'!$B$7*E95</f>
        <v>693681.63916876516</v>
      </c>
      <c r="N95" s="20">
        <f>'Res OLS model'!$B$8*F95</f>
        <v>25673300.62967775</v>
      </c>
      <c r="O95" s="20">
        <f>'Res OLS model'!$B$9*G95</f>
        <v>-1891036.2259753</v>
      </c>
      <c r="P95" s="20">
        <f>'Res OLS model'!$B$10*H95</f>
        <v>-1934755.823323017</v>
      </c>
      <c r="Q95" s="20">
        <f>'Res OLS model'!$B$11*I95</f>
        <v>11068257.922422225</v>
      </c>
      <c r="R95" s="20">
        <f t="shared" ca="1" si="7"/>
        <v>17663851.548948467</v>
      </c>
    </row>
    <row r="96" spans="1:18" x14ac:dyDescent="0.3">
      <c r="A96" s="22">
        <f>'Monthly Data'!A96</f>
        <v>42675</v>
      </c>
      <c r="B96" s="6">
        <f t="shared" si="6"/>
        <v>2016</v>
      </c>
      <c r="C96" s="20">
        <f ca="1">'Monthly Data'!F96</f>
        <v>17000162.798257124</v>
      </c>
      <c r="D96" s="6">
        <f t="shared" ca="1" si="9"/>
        <v>364.2299999999999</v>
      </c>
      <c r="E96" s="6">
        <f t="shared" ca="1" si="9"/>
        <v>0.05</v>
      </c>
      <c r="F96" s="6">
        <f>'Monthly Data'!AL96</f>
        <v>30</v>
      </c>
      <c r="G96" s="6">
        <f>'Monthly Data'!BC96</f>
        <v>1</v>
      </c>
      <c r="H96" s="6">
        <f>'Monthly Data'!AN96</f>
        <v>95</v>
      </c>
      <c r="I96" s="6">
        <f>'Monthly Data'!AJ96</f>
        <v>165.5</v>
      </c>
      <c r="K96" s="20">
        <f>'Res OLS model'!$B$5</f>
        <v>-17086566.711675301</v>
      </c>
      <c r="L96" s="20">
        <f ca="1">'Res OLS model'!$B$6*D96</f>
        <v>2355603.368762658</v>
      </c>
      <c r="M96" s="20">
        <f ca="1">'Res OLS model'!$B$7*E96</f>
        <v>3407.0807424792001</v>
      </c>
      <c r="N96" s="20">
        <f>'Res OLS model'!$B$8*F96</f>
        <v>24845129.641623631</v>
      </c>
      <c r="O96" s="20">
        <f>'Res OLS model'!$B$9*G96</f>
        <v>-1891036.2259753</v>
      </c>
      <c r="P96" s="20">
        <f>'Res OLS model'!$B$10*H96</f>
        <v>-1955338.3320817724</v>
      </c>
      <c r="Q96" s="20">
        <f>'Res OLS model'!$B$11*I96</f>
        <v>10826221.549414175</v>
      </c>
      <c r="R96" s="20">
        <f t="shared" ca="1" si="7"/>
        <v>17097420.370810568</v>
      </c>
    </row>
    <row r="97" spans="1:18" x14ac:dyDescent="0.3">
      <c r="A97" s="22">
        <f>'Monthly Data'!A97</f>
        <v>42705</v>
      </c>
      <c r="B97" s="6">
        <f t="shared" si="6"/>
        <v>2016</v>
      </c>
      <c r="C97" s="20">
        <f ca="1">'Monthly Data'!F97</f>
        <v>20475981.52558763</v>
      </c>
      <c r="D97" s="6">
        <f t="shared" ca="1" si="9"/>
        <v>552.31000000000006</v>
      </c>
      <c r="E97" s="6">
        <f t="shared" ca="1" si="9"/>
        <v>0</v>
      </c>
      <c r="F97" s="6">
        <f>'Monthly Data'!AL97</f>
        <v>31</v>
      </c>
      <c r="G97" s="6">
        <f>'Monthly Data'!BC97</f>
        <v>0</v>
      </c>
      <c r="H97" s="6">
        <f>'Monthly Data'!AN97</f>
        <v>96</v>
      </c>
      <c r="I97" s="6">
        <f>'Monthly Data'!AJ97</f>
        <v>162.5</v>
      </c>
      <c r="K97" s="20">
        <f>'Res OLS model'!$B$5</f>
        <v>-17086566.711675301</v>
      </c>
      <c r="L97" s="20">
        <f ca="1">'Res OLS model'!$B$6*D97</f>
        <v>3571982.8037265027</v>
      </c>
      <c r="M97" s="20">
        <f ca="1">'Res OLS model'!$B$7*E97</f>
        <v>0</v>
      </c>
      <c r="N97" s="20">
        <f>'Res OLS model'!$B$8*F97</f>
        <v>25673300.62967775</v>
      </c>
      <c r="O97" s="20">
        <f>'Res OLS model'!$B$9*G97</f>
        <v>0</v>
      </c>
      <c r="P97" s="20">
        <f>'Res OLS model'!$B$10*H97</f>
        <v>-1975920.8408405278</v>
      </c>
      <c r="Q97" s="20">
        <f>'Res OLS model'!$B$11*I97</f>
        <v>10629975.841569809</v>
      </c>
      <c r="R97" s="20">
        <f t="shared" ca="1" si="7"/>
        <v>20812771.722458232</v>
      </c>
    </row>
    <row r="98" spans="1:18" x14ac:dyDescent="0.3">
      <c r="A98" s="22">
        <v>42736</v>
      </c>
      <c r="B98" s="6">
        <f t="shared" si="6"/>
        <v>2017</v>
      </c>
      <c r="D98" s="6">
        <f t="shared" ca="1" si="9"/>
        <v>661.18999999999994</v>
      </c>
      <c r="E98" s="6">
        <f t="shared" ca="1" si="9"/>
        <v>0</v>
      </c>
      <c r="F98" s="6">
        <f>F50</f>
        <v>31</v>
      </c>
      <c r="G98" s="6">
        <f>G50</f>
        <v>0</v>
      </c>
      <c r="H98" s="6">
        <f>H97+1</f>
        <v>97</v>
      </c>
      <c r="I98" s="6">
        <f>I86*(1+Employment!$J$3)</f>
        <v>157.0925</v>
      </c>
      <c r="K98" s="20">
        <f>'Res OLS model'!$B$5</f>
        <v>-17086566.711675301</v>
      </c>
      <c r="L98" s="20">
        <f ca="1">'Res OLS model'!$B$6*D98</f>
        <v>4276148.0146945119</v>
      </c>
      <c r="M98" s="20">
        <f ca="1">'Res OLS model'!$B$7*E98</f>
        <v>0</v>
      </c>
      <c r="N98" s="20">
        <f>'Res OLS model'!$B$8*F98</f>
        <v>25673300.62967775</v>
      </c>
      <c r="O98" s="20">
        <f>'Res OLS model'!$B$9*G98</f>
        <v>0</v>
      </c>
      <c r="P98" s="20">
        <f>'Res OLS model'!$B$10*H98</f>
        <v>-1996503.3495992834</v>
      </c>
      <c r="Q98" s="20">
        <f>'Res OLS model'!$B$11*I98</f>
        <v>10276242.953180339</v>
      </c>
      <c r="R98" s="20">
        <f t="shared" ca="1" si="7"/>
        <v>21142621.536278017</v>
      </c>
    </row>
    <row r="99" spans="1:18" x14ac:dyDescent="0.3">
      <c r="A99" s="22">
        <v>42767</v>
      </c>
      <c r="B99" s="6">
        <f t="shared" si="6"/>
        <v>2017</v>
      </c>
      <c r="D99" s="6">
        <f t="shared" ca="1" si="9"/>
        <v>598.16999999999985</v>
      </c>
      <c r="E99" s="6">
        <f t="shared" ca="1" si="9"/>
        <v>0</v>
      </c>
      <c r="F99" s="6">
        <f t="shared" ref="F99:G121" si="10">F51</f>
        <v>28</v>
      </c>
      <c r="G99" s="6">
        <f t="shared" si="10"/>
        <v>0</v>
      </c>
      <c r="H99" s="6">
        <f t="shared" ref="H99:H121" si="11">H98+1</f>
        <v>98</v>
      </c>
      <c r="I99" s="6">
        <f>I87*(1+Employment!$J$3)</f>
        <v>158.10600000000002</v>
      </c>
      <c r="K99" s="20">
        <f>'Res OLS model'!$B$5</f>
        <v>-17086566.711675301</v>
      </c>
      <c r="L99" s="20">
        <f ca="1">'Res OLS model'!$B$6*D99</f>
        <v>3868575.5349442908</v>
      </c>
      <c r="M99" s="20">
        <f ca="1">'Res OLS model'!$B$7*E99</f>
        <v>0</v>
      </c>
      <c r="N99" s="20">
        <f>'Res OLS model'!$B$8*F99</f>
        <v>23188787.665515389</v>
      </c>
      <c r="O99" s="20">
        <f>'Res OLS model'!$B$9*G99</f>
        <v>0</v>
      </c>
      <c r="P99" s="20">
        <f>'Res OLS model'!$B$10*H99</f>
        <v>-2017085.8583580388</v>
      </c>
      <c r="Q99" s="20">
        <f>'Res OLS model'!$B$11*I99</f>
        <v>10342541.294813763</v>
      </c>
      <c r="R99" s="20">
        <f t="shared" ca="1" si="7"/>
        <v>18296251.925240103</v>
      </c>
    </row>
    <row r="100" spans="1:18" x14ac:dyDescent="0.3">
      <c r="A100" s="22">
        <v>42795</v>
      </c>
      <c r="B100" s="6">
        <f t="shared" si="6"/>
        <v>2017</v>
      </c>
      <c r="D100" s="6">
        <f t="shared" ca="1" si="9"/>
        <v>451.34</v>
      </c>
      <c r="E100" s="6">
        <f t="shared" ca="1" si="9"/>
        <v>0.88000000000000012</v>
      </c>
      <c r="F100" s="6">
        <f t="shared" si="10"/>
        <v>31</v>
      </c>
      <c r="G100" s="6">
        <f t="shared" si="10"/>
        <v>1</v>
      </c>
      <c r="H100" s="6">
        <f t="shared" si="11"/>
        <v>99</v>
      </c>
      <c r="I100" s="6">
        <f>I88*(1+Employment!$J$3)</f>
        <v>158.91680000000002</v>
      </c>
      <c r="K100" s="20">
        <f>'Res OLS model'!$B$5</f>
        <v>-17086566.711675301</v>
      </c>
      <c r="L100" s="20">
        <f ca="1">'Res OLS model'!$B$6*D100</f>
        <v>2918974.3416449446</v>
      </c>
      <c r="M100" s="20">
        <f ca="1">'Res OLS model'!$B$7*E100</f>
        <v>59964.621067633932</v>
      </c>
      <c r="N100" s="20">
        <f>'Res OLS model'!$B$8*F100</f>
        <v>25673300.62967775</v>
      </c>
      <c r="O100" s="20">
        <f>'Res OLS model'!$B$9*G100</f>
        <v>-1891036.2259753</v>
      </c>
      <c r="P100" s="20">
        <f>'Res OLS model'!$B$10*H100</f>
        <v>-2037668.3671167945</v>
      </c>
      <c r="Q100" s="20">
        <f>'Res OLS model'!$B$11*I100</f>
        <v>10395579.9681205</v>
      </c>
      <c r="R100" s="20">
        <f t="shared" ca="1" si="7"/>
        <v>18032548.255743437</v>
      </c>
    </row>
    <row r="101" spans="1:18" x14ac:dyDescent="0.3">
      <c r="A101" s="22">
        <v>42826</v>
      </c>
      <c r="B101" s="6">
        <f t="shared" si="6"/>
        <v>2017</v>
      </c>
      <c r="D101" s="6">
        <f t="shared" ca="1" si="9"/>
        <v>259.5499999999999</v>
      </c>
      <c r="E101" s="6">
        <f t="shared" ca="1" si="9"/>
        <v>2.4500000000000002</v>
      </c>
      <c r="F101" s="6">
        <f t="shared" si="10"/>
        <v>30</v>
      </c>
      <c r="G101" s="6">
        <f t="shared" si="10"/>
        <v>1</v>
      </c>
      <c r="H101" s="6">
        <f t="shared" si="11"/>
        <v>100</v>
      </c>
      <c r="I101" s="6">
        <f>I89*(1+Employment!$J$3)</f>
        <v>161.45055000000002</v>
      </c>
      <c r="K101" s="20">
        <f>'Res OLS model'!$B$5</f>
        <v>-17086566.711675301</v>
      </c>
      <c r="L101" s="20">
        <f ca="1">'Res OLS model'!$B$6*D101</f>
        <v>1678601.0333095784</v>
      </c>
      <c r="M101" s="20">
        <f ca="1">'Res OLS model'!$B$7*E101</f>
        <v>166946.95638148082</v>
      </c>
      <c r="N101" s="20">
        <f>'Res OLS model'!$B$8*F101</f>
        <v>24845129.641623631</v>
      </c>
      <c r="O101" s="20">
        <f>'Res OLS model'!$B$9*G101</f>
        <v>-1891036.2259753</v>
      </c>
      <c r="P101" s="20">
        <f>'Res OLS model'!$B$10*H101</f>
        <v>-2058250.8758755499</v>
      </c>
      <c r="Q101" s="20">
        <f>'Res OLS model'!$B$11*I101</f>
        <v>10561325.822204053</v>
      </c>
      <c r="R101" s="20">
        <f t="shared" ca="1" si="7"/>
        <v>16216149.639992593</v>
      </c>
    </row>
    <row r="102" spans="1:18" x14ac:dyDescent="0.3">
      <c r="A102" s="22">
        <v>42856</v>
      </c>
      <c r="B102" s="6">
        <f t="shared" si="6"/>
        <v>2017</v>
      </c>
      <c r="D102" s="6">
        <f t="shared" ca="1" si="9"/>
        <v>88.880000000000024</v>
      </c>
      <c r="E102" s="6">
        <f t="shared" ca="1" si="9"/>
        <v>43.79999999999999</v>
      </c>
      <c r="F102" s="6">
        <f t="shared" si="10"/>
        <v>31</v>
      </c>
      <c r="G102" s="6">
        <f t="shared" si="10"/>
        <v>1</v>
      </c>
      <c r="H102" s="6">
        <f t="shared" si="11"/>
        <v>101</v>
      </c>
      <c r="I102" s="6">
        <f>I90*(1+Employment!$J$3)</f>
        <v>164.28835000000001</v>
      </c>
      <c r="K102" s="20">
        <f>'Res OLS model'!$B$5</f>
        <v>-17086566.711675301</v>
      </c>
      <c r="L102" s="20">
        <f ca="1">'Res OLS model'!$B$6*D102</f>
        <v>574818.18470643589</v>
      </c>
      <c r="M102" s="20">
        <f ca="1">'Res OLS model'!$B$7*E102</f>
        <v>2984602.7304117787</v>
      </c>
      <c r="N102" s="20">
        <f>'Res OLS model'!$B$8*F102</f>
        <v>25673300.62967775</v>
      </c>
      <c r="O102" s="20">
        <f>'Res OLS model'!$B$9*G102</f>
        <v>-1891036.2259753</v>
      </c>
      <c r="P102" s="20">
        <f>'Res OLS model'!$B$10*H102</f>
        <v>-2078833.3846343055</v>
      </c>
      <c r="Q102" s="20">
        <f>'Res OLS model'!$B$11*I102</f>
        <v>10746961.178777633</v>
      </c>
      <c r="R102" s="20">
        <f t="shared" ca="1" si="7"/>
        <v>18923246.401288692</v>
      </c>
    </row>
    <row r="103" spans="1:18" x14ac:dyDescent="0.3">
      <c r="A103" s="22">
        <v>42887</v>
      </c>
      <c r="B103" s="6">
        <f t="shared" si="6"/>
        <v>2017</v>
      </c>
      <c r="D103" s="6">
        <f t="shared" ca="1" si="9"/>
        <v>9.77</v>
      </c>
      <c r="E103" s="6">
        <f t="shared" ca="1" si="9"/>
        <v>117.38999999999999</v>
      </c>
      <c r="F103" s="6">
        <f t="shared" si="10"/>
        <v>30</v>
      </c>
      <c r="G103" s="6">
        <f t="shared" si="10"/>
        <v>0</v>
      </c>
      <c r="H103" s="6">
        <f t="shared" si="11"/>
        <v>102</v>
      </c>
      <c r="I103" s="6">
        <f>I91*(1+Employment!$J$3)</f>
        <v>168.95044999999999</v>
      </c>
      <c r="K103" s="20">
        <f>'Res OLS model'!$B$5</f>
        <v>-17086566.711675301</v>
      </c>
      <c r="L103" s="20">
        <f ca="1">'Res OLS model'!$B$6*D103</f>
        <v>63186.022328778992</v>
      </c>
      <c r="M103" s="20">
        <f ca="1">'Res OLS model'!$B$7*E103</f>
        <v>7999144.1671926649</v>
      </c>
      <c r="N103" s="20">
        <f>'Res OLS model'!$B$8*F103</f>
        <v>24845129.641623631</v>
      </c>
      <c r="O103" s="20">
        <f>'Res OLS model'!$B$9*G103</f>
        <v>0</v>
      </c>
      <c r="P103" s="20">
        <f>'Res OLS model'!$B$10*H103</f>
        <v>-2099415.8933930611</v>
      </c>
      <c r="Q103" s="20">
        <f>'Res OLS model'!$B$11*I103</f>
        <v>11051933.550291371</v>
      </c>
      <c r="R103" s="20">
        <f t="shared" ca="1" si="7"/>
        <v>24773410.776368082</v>
      </c>
    </row>
    <row r="104" spans="1:18" x14ac:dyDescent="0.3">
      <c r="A104" s="22">
        <v>42917</v>
      </c>
      <c r="B104" s="6">
        <f t="shared" si="6"/>
        <v>2017</v>
      </c>
      <c r="D104" s="6">
        <f t="shared" ca="1" si="9"/>
        <v>0.58000000000000007</v>
      </c>
      <c r="E104" s="6">
        <f t="shared" ca="1" si="9"/>
        <v>179.70999999999998</v>
      </c>
      <c r="F104" s="6">
        <f t="shared" si="10"/>
        <v>31</v>
      </c>
      <c r="G104" s="6">
        <f t="shared" si="10"/>
        <v>0</v>
      </c>
      <c r="H104" s="6">
        <f t="shared" si="11"/>
        <v>103</v>
      </c>
      <c r="I104" s="6">
        <f>I92*(1+Employment!$J$3)</f>
        <v>172.19365000000002</v>
      </c>
      <c r="K104" s="20">
        <f>'Res OLS model'!$B$5</f>
        <v>-17086566.711675301</v>
      </c>
      <c r="L104" s="20">
        <f ca="1">'Res OLS model'!$B$6*D104</f>
        <v>3751.0637615856522</v>
      </c>
      <c r="M104" s="20">
        <f ca="1">'Res OLS model'!$B$7*E104</f>
        <v>12245729.604618739</v>
      </c>
      <c r="N104" s="20">
        <f>'Res OLS model'!$B$8*F104</f>
        <v>25673300.62967775</v>
      </c>
      <c r="O104" s="20">
        <f>'Res OLS model'!$B$9*G104</f>
        <v>0</v>
      </c>
      <c r="P104" s="20">
        <f>'Res OLS model'!$B$10*H104</f>
        <v>-2119998.4021518165</v>
      </c>
      <c r="Q104" s="20">
        <f>'Res OLS model'!$B$11*I104</f>
        <v>11264088.243518323</v>
      </c>
      <c r="R104" s="20">
        <f t="shared" ca="1" si="7"/>
        <v>29980304.42774928</v>
      </c>
    </row>
    <row r="105" spans="1:18" x14ac:dyDescent="0.3">
      <c r="A105" s="22">
        <v>42948</v>
      </c>
      <c r="B105" s="6">
        <f t="shared" si="6"/>
        <v>2017</v>
      </c>
      <c r="D105" s="6">
        <f t="shared" ca="1" si="9"/>
        <v>1.7099999999999997</v>
      </c>
      <c r="E105" s="6">
        <f t="shared" ca="1" si="9"/>
        <v>158.1</v>
      </c>
      <c r="F105" s="6">
        <f t="shared" si="10"/>
        <v>31</v>
      </c>
      <c r="G105" s="6">
        <f t="shared" si="10"/>
        <v>0</v>
      </c>
      <c r="H105" s="6">
        <f t="shared" si="11"/>
        <v>104</v>
      </c>
      <c r="I105" s="6">
        <f>I93*(1+Employment!$J$3)</f>
        <v>174.01795000000001</v>
      </c>
      <c r="K105" s="20">
        <f>'Res OLS model'!$B$5</f>
        <v>-17086566.711675301</v>
      </c>
      <c r="L105" s="20">
        <f ca="1">'Res OLS model'!$B$6*D105</f>
        <v>11059.170745364592</v>
      </c>
      <c r="M105" s="20">
        <f ca="1">'Res OLS model'!$B$7*E105</f>
        <v>10773189.307719231</v>
      </c>
      <c r="N105" s="20">
        <f>'Res OLS model'!$B$8*F105</f>
        <v>25673300.62967775</v>
      </c>
      <c r="O105" s="20">
        <f>'Res OLS model'!$B$9*G105</f>
        <v>0</v>
      </c>
      <c r="P105" s="20">
        <f>'Res OLS model'!$B$10*H105</f>
        <v>-2140580.9109105719</v>
      </c>
      <c r="Q105" s="20">
        <f>'Res OLS model'!$B$11*I105</f>
        <v>11383425.25845848</v>
      </c>
      <c r="R105" s="20">
        <f t="shared" ca="1" si="7"/>
        <v>28613826.744014952</v>
      </c>
    </row>
    <row r="106" spans="1:18" x14ac:dyDescent="0.3">
      <c r="A106" s="22">
        <v>42979</v>
      </c>
      <c r="B106" s="6">
        <f t="shared" si="6"/>
        <v>2017</v>
      </c>
      <c r="D106" s="6">
        <f t="shared" ca="1" si="9"/>
        <v>32.68</v>
      </c>
      <c r="E106" s="6">
        <f t="shared" ca="1" si="9"/>
        <v>67.34</v>
      </c>
      <c r="F106" s="6">
        <f t="shared" si="10"/>
        <v>30</v>
      </c>
      <c r="G106" s="6">
        <f t="shared" si="10"/>
        <v>0</v>
      </c>
      <c r="H106" s="6">
        <f t="shared" si="11"/>
        <v>105</v>
      </c>
      <c r="I106" s="6">
        <f>I94*(1+Employment!$J$3)</f>
        <v>172.80175</v>
      </c>
      <c r="K106" s="20">
        <f>'Res OLS model'!$B$5</f>
        <v>-17086566.711675301</v>
      </c>
      <c r="L106" s="20">
        <f ca="1">'Res OLS model'!$B$6*D106</f>
        <v>211353.04091141222</v>
      </c>
      <c r="M106" s="20">
        <f ca="1">'Res OLS model'!$B$7*E106</f>
        <v>4588656.343970987</v>
      </c>
      <c r="N106" s="20">
        <f>'Res OLS model'!$B$8*F106</f>
        <v>24845129.641623631</v>
      </c>
      <c r="O106" s="20">
        <f>'Res OLS model'!$B$9*G106</f>
        <v>0</v>
      </c>
      <c r="P106" s="20">
        <f>'Res OLS model'!$B$10*H106</f>
        <v>-2161163.4196693273</v>
      </c>
      <c r="Q106" s="20">
        <f>'Res OLS model'!$B$11*I106</f>
        <v>11303867.248498375</v>
      </c>
      <c r="R106" s="20">
        <f t="shared" ca="1" si="7"/>
        <v>21701276.143659778</v>
      </c>
    </row>
    <row r="107" spans="1:18" x14ac:dyDescent="0.3">
      <c r="A107" s="22">
        <v>43009</v>
      </c>
      <c r="B107" s="6">
        <f t="shared" si="6"/>
        <v>2017</v>
      </c>
      <c r="D107" s="6">
        <f t="shared" ca="1" si="9"/>
        <v>176.42</v>
      </c>
      <c r="E107" s="6">
        <f t="shared" ca="1" si="9"/>
        <v>10.18</v>
      </c>
      <c r="F107" s="6">
        <f t="shared" si="10"/>
        <v>31</v>
      </c>
      <c r="G107" s="6">
        <f t="shared" si="10"/>
        <v>1</v>
      </c>
      <c r="H107" s="6">
        <f t="shared" si="11"/>
        <v>106</v>
      </c>
      <c r="I107" s="6">
        <f>I95*(1+Employment!$J$3)</f>
        <v>171.48419999999999</v>
      </c>
      <c r="K107" s="20">
        <f>'Res OLS model'!$B$5</f>
        <v>-17086566.711675301</v>
      </c>
      <c r="L107" s="20">
        <f ca="1">'Res OLS model'!$B$6*D107</f>
        <v>1140970.1186533459</v>
      </c>
      <c r="M107" s="20">
        <f ca="1">'Res OLS model'!$B$7*E107</f>
        <v>693681.63916876516</v>
      </c>
      <c r="N107" s="20">
        <f>'Res OLS model'!$B$8*F107</f>
        <v>25673300.62967775</v>
      </c>
      <c r="O107" s="20">
        <f>'Res OLS model'!$B$9*G107</f>
        <v>-1891036.2259753</v>
      </c>
      <c r="P107" s="20">
        <f>'Res OLS model'!$B$10*H107</f>
        <v>-2181745.9284280827</v>
      </c>
      <c r="Q107" s="20">
        <f>'Res OLS model'!$B$11*I107</f>
        <v>11217679.404374925</v>
      </c>
      <c r="R107" s="20">
        <f t="shared" ca="1" si="7"/>
        <v>17566282.925796103</v>
      </c>
    </row>
    <row r="108" spans="1:18" x14ac:dyDescent="0.3">
      <c r="A108" s="22">
        <v>43040</v>
      </c>
      <c r="B108" s="6">
        <f t="shared" si="6"/>
        <v>2017</v>
      </c>
      <c r="D108" s="6">
        <f t="shared" ca="1" si="9"/>
        <v>364.2299999999999</v>
      </c>
      <c r="E108" s="6">
        <f t="shared" ca="1" si="9"/>
        <v>0.05</v>
      </c>
      <c r="F108" s="6">
        <f t="shared" si="10"/>
        <v>30</v>
      </c>
      <c r="G108" s="6">
        <f t="shared" si="10"/>
        <v>1</v>
      </c>
      <c r="H108" s="6">
        <f t="shared" si="11"/>
        <v>107</v>
      </c>
      <c r="I108" s="6">
        <f>I96*(1+Employment!$J$3)</f>
        <v>167.73425</v>
      </c>
      <c r="K108" s="20">
        <f>'Res OLS model'!$B$5</f>
        <v>-17086566.711675301</v>
      </c>
      <c r="L108" s="20">
        <f ca="1">'Res OLS model'!$B$6*D108</f>
        <v>2355603.368762658</v>
      </c>
      <c r="M108" s="20">
        <f ca="1">'Res OLS model'!$B$7*E108</f>
        <v>3407.0807424792001</v>
      </c>
      <c r="N108" s="20">
        <f>'Res OLS model'!$B$8*F108</f>
        <v>24845129.641623631</v>
      </c>
      <c r="O108" s="20">
        <f>'Res OLS model'!$B$9*G108</f>
        <v>-1891036.2259753</v>
      </c>
      <c r="P108" s="20">
        <f>'Res OLS model'!$B$10*H108</f>
        <v>-2202328.4371868386</v>
      </c>
      <c r="Q108" s="20">
        <f>'Res OLS model'!$B$11*I108</f>
        <v>10972375.540331267</v>
      </c>
      <c r="R108" s="20">
        <f t="shared" ca="1" si="7"/>
        <v>16996584.256622594</v>
      </c>
    </row>
    <row r="109" spans="1:18" x14ac:dyDescent="0.3">
      <c r="A109" s="22">
        <v>43070</v>
      </c>
      <c r="B109" s="6">
        <f t="shared" si="6"/>
        <v>2017</v>
      </c>
      <c r="D109" s="6">
        <f t="shared" ca="1" si="9"/>
        <v>552.31000000000006</v>
      </c>
      <c r="E109" s="6">
        <f t="shared" ca="1" si="9"/>
        <v>0</v>
      </c>
      <c r="F109" s="6">
        <f t="shared" si="10"/>
        <v>31</v>
      </c>
      <c r="G109" s="6">
        <f t="shared" si="10"/>
        <v>0</v>
      </c>
      <c r="H109" s="6">
        <f t="shared" si="11"/>
        <v>108</v>
      </c>
      <c r="I109" s="6">
        <f>I97*(1+Employment!$J$3)</f>
        <v>164.69375000000002</v>
      </c>
      <c r="K109" s="20">
        <f>'Res OLS model'!$B$5</f>
        <v>-17086566.711675301</v>
      </c>
      <c r="L109" s="20">
        <f ca="1">'Res OLS model'!$B$6*D109</f>
        <v>3571982.8037265027</v>
      </c>
      <c r="M109" s="20">
        <f ca="1">'Res OLS model'!$B$7*E109</f>
        <v>0</v>
      </c>
      <c r="N109" s="20">
        <f>'Res OLS model'!$B$8*F109</f>
        <v>25673300.62967775</v>
      </c>
      <c r="O109" s="20">
        <f>'Res OLS model'!$B$9*G109</f>
        <v>0</v>
      </c>
      <c r="P109" s="20">
        <f>'Res OLS model'!$B$10*H109</f>
        <v>-2222910.945945594</v>
      </c>
      <c r="Q109" s="20">
        <f>'Res OLS model'!$B$11*I109</f>
        <v>10773480.515431004</v>
      </c>
      <c r="R109" s="20">
        <f t="shared" ca="1" si="7"/>
        <v>20709286.291214362</v>
      </c>
    </row>
    <row r="110" spans="1:18" x14ac:dyDescent="0.3">
      <c r="A110" s="22">
        <v>43101</v>
      </c>
      <c r="B110" s="6">
        <f t="shared" si="6"/>
        <v>2018</v>
      </c>
      <c r="D110" s="6">
        <f t="shared" ca="1" si="9"/>
        <v>661.18999999999994</v>
      </c>
      <c r="E110" s="6">
        <f t="shared" ca="1" si="9"/>
        <v>0</v>
      </c>
      <c r="F110" s="6">
        <f t="shared" si="10"/>
        <v>31</v>
      </c>
      <c r="G110" s="6">
        <f t="shared" si="10"/>
        <v>0</v>
      </c>
      <c r="H110" s="6">
        <f t="shared" si="11"/>
        <v>109</v>
      </c>
      <c r="I110" s="6">
        <f>I98*(1+Employment!$J$4)</f>
        <v>158.46705937500002</v>
      </c>
      <c r="K110" s="20">
        <f>'Res OLS model'!$B$5</f>
        <v>-17086566.711675301</v>
      </c>
      <c r="L110" s="20">
        <f ca="1">'Res OLS model'!$B$6*D110</f>
        <v>4276148.0146945119</v>
      </c>
      <c r="M110" s="20">
        <f ca="1">'Res OLS model'!$B$7*E110</f>
        <v>0</v>
      </c>
      <c r="N110" s="20">
        <f>'Res OLS model'!$B$8*F110</f>
        <v>25673300.62967775</v>
      </c>
      <c r="O110" s="20">
        <f>'Res OLS model'!$B$9*G110</f>
        <v>0</v>
      </c>
      <c r="P110" s="20">
        <f>'Res OLS model'!$B$10*H110</f>
        <v>-2243493.4547043494</v>
      </c>
      <c r="Q110" s="20">
        <f>'Res OLS model'!$B$11*I110</f>
        <v>10366160.07902067</v>
      </c>
      <c r="R110" s="20">
        <f t="shared" ca="1" si="7"/>
        <v>20985548.557013281</v>
      </c>
    </row>
    <row r="111" spans="1:18" x14ac:dyDescent="0.3">
      <c r="A111" s="22">
        <v>43132</v>
      </c>
      <c r="B111" s="6">
        <f t="shared" si="6"/>
        <v>2018</v>
      </c>
      <c r="D111" s="6">
        <f t="shared" ca="1" si="9"/>
        <v>598.16999999999985</v>
      </c>
      <c r="E111" s="6">
        <f t="shared" ca="1" si="9"/>
        <v>0</v>
      </c>
      <c r="F111" s="6">
        <f t="shared" si="10"/>
        <v>28</v>
      </c>
      <c r="G111" s="6">
        <f t="shared" si="10"/>
        <v>0</v>
      </c>
      <c r="H111" s="6">
        <f t="shared" si="11"/>
        <v>110</v>
      </c>
      <c r="I111" s="6">
        <f>I99*(1+Employment!$J$4)</f>
        <v>159.48942750000003</v>
      </c>
      <c r="K111" s="20">
        <f>'Res OLS model'!$B$5</f>
        <v>-17086566.711675301</v>
      </c>
      <c r="L111" s="20">
        <f ca="1">'Res OLS model'!$B$6*D111</f>
        <v>3868575.5349442908</v>
      </c>
      <c r="M111" s="20">
        <f ca="1">'Res OLS model'!$B$7*E111</f>
        <v>0</v>
      </c>
      <c r="N111" s="20">
        <f>'Res OLS model'!$B$8*F111</f>
        <v>23188787.665515389</v>
      </c>
      <c r="O111" s="20">
        <f>'Res OLS model'!$B$9*G111</f>
        <v>0</v>
      </c>
      <c r="P111" s="20">
        <f>'Res OLS model'!$B$10*H111</f>
        <v>-2264075.9634631048</v>
      </c>
      <c r="Q111" s="20">
        <f>'Res OLS model'!$B$11*I111</f>
        <v>10433038.531143384</v>
      </c>
      <c r="R111" s="20">
        <f t="shared" ca="1" si="7"/>
        <v>18139759.056464657</v>
      </c>
    </row>
    <row r="112" spans="1:18" x14ac:dyDescent="0.3">
      <c r="A112" s="22">
        <v>43160</v>
      </c>
      <c r="B112" s="6">
        <f t="shared" si="6"/>
        <v>2018</v>
      </c>
      <c r="D112" s="6">
        <f t="shared" ca="1" si="9"/>
        <v>451.34</v>
      </c>
      <c r="E112" s="6">
        <f t="shared" ca="1" si="9"/>
        <v>0.88000000000000012</v>
      </c>
      <c r="F112" s="6">
        <f t="shared" si="10"/>
        <v>31</v>
      </c>
      <c r="G112" s="6">
        <f t="shared" si="10"/>
        <v>1</v>
      </c>
      <c r="H112" s="6">
        <f t="shared" si="11"/>
        <v>111</v>
      </c>
      <c r="I112" s="6">
        <f>I100*(1+Employment!$J$4)</f>
        <v>160.30732200000003</v>
      </c>
      <c r="K112" s="20">
        <f>'Res OLS model'!$B$5</f>
        <v>-17086566.711675301</v>
      </c>
      <c r="L112" s="20">
        <f ca="1">'Res OLS model'!$B$6*D112</f>
        <v>2918974.3416449446</v>
      </c>
      <c r="M112" s="20">
        <f ca="1">'Res OLS model'!$B$7*E112</f>
        <v>59964.621067633932</v>
      </c>
      <c r="N112" s="20">
        <f>'Res OLS model'!$B$8*F112</f>
        <v>25673300.62967775</v>
      </c>
      <c r="O112" s="20">
        <f>'Res OLS model'!$B$9*G112</f>
        <v>-1891036.2259753</v>
      </c>
      <c r="P112" s="20">
        <f>'Res OLS model'!$B$10*H112</f>
        <v>-2284658.4722218602</v>
      </c>
      <c r="Q112" s="20">
        <f>'Res OLS model'!$B$11*I112</f>
        <v>10486541.292841556</v>
      </c>
      <c r="R112" s="20">
        <f t="shared" ca="1" si="7"/>
        <v>17876519.475359425</v>
      </c>
    </row>
    <row r="113" spans="1:18" x14ac:dyDescent="0.3">
      <c r="A113" s="22">
        <v>43191</v>
      </c>
      <c r="B113" s="6">
        <f t="shared" si="6"/>
        <v>2018</v>
      </c>
      <c r="D113" s="6">
        <f t="shared" ca="1" si="9"/>
        <v>259.5499999999999</v>
      </c>
      <c r="E113" s="6">
        <f t="shared" ca="1" si="9"/>
        <v>2.4500000000000002</v>
      </c>
      <c r="F113" s="6">
        <f t="shared" si="10"/>
        <v>30</v>
      </c>
      <c r="G113" s="6">
        <f t="shared" si="10"/>
        <v>1</v>
      </c>
      <c r="H113" s="6">
        <f t="shared" si="11"/>
        <v>112</v>
      </c>
      <c r="I113" s="6">
        <f>I101*(1+Employment!$J$4)</f>
        <v>162.86324231250003</v>
      </c>
      <c r="K113" s="20">
        <f>'Res OLS model'!$B$5</f>
        <v>-17086566.711675301</v>
      </c>
      <c r="L113" s="20">
        <f ca="1">'Res OLS model'!$B$6*D113</f>
        <v>1678601.0333095784</v>
      </c>
      <c r="M113" s="20">
        <f ca="1">'Res OLS model'!$B$7*E113</f>
        <v>166946.95638148082</v>
      </c>
      <c r="N113" s="20">
        <f>'Res OLS model'!$B$8*F113</f>
        <v>24845129.641623631</v>
      </c>
      <c r="O113" s="20">
        <f>'Res OLS model'!$B$9*G113</f>
        <v>-1891036.2259753</v>
      </c>
      <c r="P113" s="20">
        <f>'Res OLS model'!$B$10*H113</f>
        <v>-2305240.9809806161</v>
      </c>
      <c r="Q113" s="20">
        <f>'Res OLS model'!$B$11*I113</f>
        <v>10653737.42314834</v>
      </c>
      <c r="R113" s="20">
        <f t="shared" ca="1" si="7"/>
        <v>16061571.135831814</v>
      </c>
    </row>
    <row r="114" spans="1:18" x14ac:dyDescent="0.3">
      <c r="A114" s="22">
        <v>43221</v>
      </c>
      <c r="B114" s="6">
        <f t="shared" si="6"/>
        <v>2018</v>
      </c>
      <c r="D114" s="6">
        <f t="shared" ref="D114:E121" ca="1" si="12">D102</f>
        <v>88.880000000000024</v>
      </c>
      <c r="E114" s="6">
        <f t="shared" ca="1" si="12"/>
        <v>43.79999999999999</v>
      </c>
      <c r="F114" s="6">
        <f t="shared" si="10"/>
        <v>31</v>
      </c>
      <c r="G114" s="6">
        <f t="shared" si="10"/>
        <v>1</v>
      </c>
      <c r="H114" s="6">
        <f t="shared" si="11"/>
        <v>113</v>
      </c>
      <c r="I114" s="6">
        <f>I102*(1+Employment!$J$4)</f>
        <v>165.72587306250003</v>
      </c>
      <c r="K114" s="20">
        <f>'Res OLS model'!$B$5</f>
        <v>-17086566.711675301</v>
      </c>
      <c r="L114" s="20">
        <f ca="1">'Res OLS model'!$B$6*D114</f>
        <v>574818.18470643589</v>
      </c>
      <c r="M114" s="20">
        <f ca="1">'Res OLS model'!$B$7*E114</f>
        <v>2984602.7304117787</v>
      </c>
      <c r="N114" s="20">
        <f>'Res OLS model'!$B$8*F114</f>
        <v>25673300.62967775</v>
      </c>
      <c r="O114" s="20">
        <f>'Res OLS model'!$B$9*G114</f>
        <v>-1891036.2259753</v>
      </c>
      <c r="P114" s="20">
        <f>'Res OLS model'!$B$10*H114</f>
        <v>-2325823.4897393715</v>
      </c>
      <c r="Q114" s="20">
        <f>'Res OLS model'!$B$11*I114</f>
        <v>10840997.08909194</v>
      </c>
      <c r="R114" s="20">
        <f t="shared" ca="1" si="7"/>
        <v>18770292.206497934</v>
      </c>
    </row>
    <row r="115" spans="1:18" x14ac:dyDescent="0.3">
      <c r="A115" s="22">
        <v>43252</v>
      </c>
      <c r="B115" s="6">
        <f t="shared" si="6"/>
        <v>2018</v>
      </c>
      <c r="D115" s="6">
        <f t="shared" ca="1" si="12"/>
        <v>9.77</v>
      </c>
      <c r="E115" s="6">
        <f t="shared" ca="1" si="12"/>
        <v>117.38999999999999</v>
      </c>
      <c r="F115" s="6">
        <f t="shared" si="10"/>
        <v>30</v>
      </c>
      <c r="G115" s="6">
        <f t="shared" si="10"/>
        <v>0</v>
      </c>
      <c r="H115" s="6">
        <f t="shared" si="11"/>
        <v>114</v>
      </c>
      <c r="I115" s="6">
        <f>I103*(1+Employment!$J$4)</f>
        <v>170.4287664375</v>
      </c>
      <c r="K115" s="20">
        <f>'Res OLS model'!$B$5</f>
        <v>-17086566.711675301</v>
      </c>
      <c r="L115" s="20">
        <f ca="1">'Res OLS model'!$B$6*D115</f>
        <v>63186.022328778992</v>
      </c>
      <c r="M115" s="20">
        <f ca="1">'Res OLS model'!$B$7*E115</f>
        <v>7999144.1671926649</v>
      </c>
      <c r="N115" s="20">
        <f>'Res OLS model'!$B$8*F115</f>
        <v>24845129.641623631</v>
      </c>
      <c r="O115" s="20">
        <f>'Res OLS model'!$B$9*G115</f>
        <v>0</v>
      </c>
      <c r="P115" s="20">
        <f>'Res OLS model'!$B$10*H115</f>
        <v>-2346405.9984981269</v>
      </c>
      <c r="Q115" s="20">
        <f>'Res OLS model'!$B$11*I115</f>
        <v>11148637.968856422</v>
      </c>
      <c r="R115" s="20">
        <f t="shared" ca="1" si="7"/>
        <v>24623125.089828067</v>
      </c>
    </row>
    <row r="116" spans="1:18" x14ac:dyDescent="0.3">
      <c r="A116" s="22">
        <v>43282</v>
      </c>
      <c r="B116" s="6">
        <f t="shared" si="6"/>
        <v>2018</v>
      </c>
      <c r="D116" s="6">
        <f t="shared" ca="1" si="12"/>
        <v>0.58000000000000007</v>
      </c>
      <c r="E116" s="6">
        <f t="shared" ca="1" si="12"/>
        <v>179.70999999999998</v>
      </c>
      <c r="F116" s="6">
        <f t="shared" si="10"/>
        <v>31</v>
      </c>
      <c r="G116" s="6">
        <f t="shared" si="10"/>
        <v>0</v>
      </c>
      <c r="H116" s="6">
        <f t="shared" si="11"/>
        <v>115</v>
      </c>
      <c r="I116" s="6">
        <f>I104*(1+Employment!$J$4)</f>
        <v>173.70034443750004</v>
      </c>
      <c r="K116" s="20">
        <f>'Res OLS model'!$B$5</f>
        <v>-17086566.711675301</v>
      </c>
      <c r="L116" s="20">
        <f ca="1">'Res OLS model'!$B$6*D116</f>
        <v>3751.0637615856522</v>
      </c>
      <c r="M116" s="20">
        <f ca="1">'Res OLS model'!$B$7*E116</f>
        <v>12245729.604618739</v>
      </c>
      <c r="N116" s="20">
        <f>'Res OLS model'!$B$8*F116</f>
        <v>25673300.62967775</v>
      </c>
      <c r="O116" s="20">
        <f>'Res OLS model'!$B$9*G116</f>
        <v>0</v>
      </c>
      <c r="P116" s="20">
        <f>'Res OLS model'!$B$10*H116</f>
        <v>-2366988.5072568823</v>
      </c>
      <c r="Q116" s="20">
        <f>'Res OLS model'!$B$11*I116</f>
        <v>11362649.015649108</v>
      </c>
      <c r="R116" s="20">
        <f t="shared" ca="1" si="7"/>
        <v>29831875.094774999</v>
      </c>
    </row>
    <row r="117" spans="1:18" x14ac:dyDescent="0.3">
      <c r="A117" s="22">
        <v>43313</v>
      </c>
      <c r="B117" s="6">
        <f t="shared" si="6"/>
        <v>2018</v>
      </c>
      <c r="D117" s="6">
        <f t="shared" ca="1" si="12"/>
        <v>1.7099999999999997</v>
      </c>
      <c r="E117" s="6">
        <f t="shared" ca="1" si="12"/>
        <v>158.1</v>
      </c>
      <c r="F117" s="6">
        <f t="shared" si="10"/>
        <v>31</v>
      </c>
      <c r="G117" s="6">
        <f t="shared" si="10"/>
        <v>0</v>
      </c>
      <c r="H117" s="6">
        <f t="shared" si="11"/>
        <v>116</v>
      </c>
      <c r="I117" s="6">
        <f>I105*(1+Employment!$J$4)</f>
        <v>175.54060706250002</v>
      </c>
      <c r="K117" s="20">
        <f>'Res OLS model'!$B$5</f>
        <v>-17086566.711675301</v>
      </c>
      <c r="L117" s="20">
        <f ca="1">'Res OLS model'!$B$6*D117</f>
        <v>11059.170745364592</v>
      </c>
      <c r="M117" s="20">
        <f ca="1">'Res OLS model'!$B$7*E117</f>
        <v>10773189.307719231</v>
      </c>
      <c r="N117" s="20">
        <f>'Res OLS model'!$B$8*F117</f>
        <v>25673300.62967775</v>
      </c>
      <c r="O117" s="20">
        <f>'Res OLS model'!$B$9*G117</f>
        <v>0</v>
      </c>
      <c r="P117" s="20">
        <f>'Res OLS model'!$B$10*H117</f>
        <v>-2387571.0160156377</v>
      </c>
      <c r="Q117" s="20">
        <f>'Res OLS model'!$B$11*I117</f>
        <v>11483030.229469992</v>
      </c>
      <c r="R117" s="20">
        <f t="shared" ca="1" si="7"/>
        <v>28466441.6099214</v>
      </c>
    </row>
    <row r="118" spans="1:18" x14ac:dyDescent="0.3">
      <c r="A118" s="22">
        <v>43344</v>
      </c>
      <c r="B118" s="6">
        <f t="shared" si="6"/>
        <v>2018</v>
      </c>
      <c r="D118" s="6">
        <f t="shared" ca="1" si="12"/>
        <v>32.68</v>
      </c>
      <c r="E118" s="6">
        <f t="shared" ca="1" si="12"/>
        <v>67.34</v>
      </c>
      <c r="F118" s="6">
        <f t="shared" si="10"/>
        <v>30</v>
      </c>
      <c r="G118" s="6">
        <f t="shared" si="10"/>
        <v>0</v>
      </c>
      <c r="H118" s="6">
        <f t="shared" si="11"/>
        <v>117</v>
      </c>
      <c r="I118" s="6">
        <f>I106*(1+Employment!$J$4)</f>
        <v>174.31376531250001</v>
      </c>
      <c r="K118" s="20">
        <f>'Res OLS model'!$B$5</f>
        <v>-17086566.711675301</v>
      </c>
      <c r="L118" s="20">
        <f ca="1">'Res OLS model'!$B$6*D118</f>
        <v>211353.04091141222</v>
      </c>
      <c r="M118" s="20">
        <f ca="1">'Res OLS model'!$B$7*E118</f>
        <v>4588656.343970987</v>
      </c>
      <c r="N118" s="20">
        <f>'Res OLS model'!$B$8*F118</f>
        <v>24845129.641623631</v>
      </c>
      <c r="O118" s="20">
        <f>'Res OLS model'!$B$9*G118</f>
        <v>0</v>
      </c>
      <c r="P118" s="20">
        <f>'Res OLS model'!$B$10*H118</f>
        <v>-2408153.5247743935</v>
      </c>
      <c r="Q118" s="20">
        <f>'Res OLS model'!$B$11*I118</f>
        <v>11402776.086922735</v>
      </c>
      <c r="R118" s="20">
        <f t="shared" ca="1" si="7"/>
        <v>21553194.876979075</v>
      </c>
    </row>
    <row r="119" spans="1:18" x14ac:dyDescent="0.3">
      <c r="A119" s="22">
        <v>43374</v>
      </c>
      <c r="B119" s="6">
        <f t="shared" si="6"/>
        <v>2018</v>
      </c>
      <c r="D119" s="6">
        <f t="shared" ca="1" si="12"/>
        <v>176.42</v>
      </c>
      <c r="E119" s="6">
        <f t="shared" ca="1" si="12"/>
        <v>10.18</v>
      </c>
      <c r="F119" s="6">
        <f t="shared" si="10"/>
        <v>31</v>
      </c>
      <c r="G119" s="6">
        <f t="shared" si="10"/>
        <v>1</v>
      </c>
      <c r="H119" s="6">
        <f t="shared" si="11"/>
        <v>118</v>
      </c>
      <c r="I119" s="6">
        <f>I107*(1+Employment!$J$4)</f>
        <v>172.98468674999998</v>
      </c>
      <c r="K119" s="20">
        <f>'Res OLS model'!$B$5</f>
        <v>-17086566.711675301</v>
      </c>
      <c r="L119" s="20">
        <f ca="1">'Res OLS model'!$B$6*D119</f>
        <v>1140970.1186533459</v>
      </c>
      <c r="M119" s="20">
        <f ca="1">'Res OLS model'!$B$7*E119</f>
        <v>693681.63916876516</v>
      </c>
      <c r="N119" s="20">
        <f>'Res OLS model'!$B$8*F119</f>
        <v>25673300.62967775</v>
      </c>
      <c r="O119" s="20">
        <f>'Res OLS model'!$B$9*G119</f>
        <v>-1891036.2259753</v>
      </c>
      <c r="P119" s="20">
        <f>'Res OLS model'!$B$10*H119</f>
        <v>-2428736.0335331489</v>
      </c>
      <c r="Q119" s="20">
        <f>'Res OLS model'!$B$11*I119</f>
        <v>11315834.099163204</v>
      </c>
      <c r="R119" s="20">
        <f t="shared" ca="1" si="7"/>
        <v>17417447.515479319</v>
      </c>
    </row>
    <row r="120" spans="1:18" x14ac:dyDescent="0.3">
      <c r="A120" s="22">
        <v>43405</v>
      </c>
      <c r="B120" s="6">
        <f t="shared" si="6"/>
        <v>2018</v>
      </c>
      <c r="D120" s="6">
        <f t="shared" ca="1" si="12"/>
        <v>364.2299999999999</v>
      </c>
      <c r="E120" s="6">
        <f t="shared" ca="1" si="12"/>
        <v>0.05</v>
      </c>
      <c r="F120" s="6">
        <f t="shared" si="10"/>
        <v>30</v>
      </c>
      <c r="G120" s="6">
        <f t="shared" si="10"/>
        <v>1</v>
      </c>
      <c r="H120" s="6">
        <f t="shared" si="11"/>
        <v>119</v>
      </c>
      <c r="I120" s="6">
        <f>I108*(1+Employment!$J$4)</f>
        <v>169.2019246875</v>
      </c>
      <c r="K120" s="20">
        <f>'Res OLS model'!$B$5</f>
        <v>-17086566.711675301</v>
      </c>
      <c r="L120" s="20">
        <f ca="1">'Res OLS model'!$B$6*D120</f>
        <v>2355603.368762658</v>
      </c>
      <c r="M120" s="20">
        <f ca="1">'Res OLS model'!$B$7*E120</f>
        <v>3407.0807424792001</v>
      </c>
      <c r="N120" s="20">
        <f>'Res OLS model'!$B$8*F120</f>
        <v>24845129.641623631</v>
      </c>
      <c r="O120" s="20">
        <f>'Res OLS model'!$B$9*G120</f>
        <v>-1891036.2259753</v>
      </c>
      <c r="P120" s="20">
        <f>'Res OLS model'!$B$10*H120</f>
        <v>-2449318.5422919043</v>
      </c>
      <c r="Q120" s="20">
        <f>'Res OLS model'!$B$11*I120</f>
        <v>11068383.826309165</v>
      </c>
      <c r="R120" s="20">
        <f t="shared" ca="1" si="7"/>
        <v>16845602.437495425</v>
      </c>
    </row>
    <row r="121" spans="1:18" x14ac:dyDescent="0.3">
      <c r="A121" s="22">
        <v>43435</v>
      </c>
      <c r="B121" s="6">
        <f t="shared" si="6"/>
        <v>2018</v>
      </c>
      <c r="D121" s="6">
        <f t="shared" ca="1" si="12"/>
        <v>552.31000000000006</v>
      </c>
      <c r="E121" s="6">
        <f t="shared" ca="1" si="12"/>
        <v>0</v>
      </c>
      <c r="F121" s="6">
        <f t="shared" si="10"/>
        <v>31</v>
      </c>
      <c r="G121" s="6">
        <f t="shared" si="10"/>
        <v>0</v>
      </c>
      <c r="H121" s="6">
        <f t="shared" si="11"/>
        <v>120</v>
      </c>
      <c r="I121" s="6">
        <f>I109*(1+Employment!$J$4)</f>
        <v>166.13482031250004</v>
      </c>
      <c r="K121" s="20">
        <f>'Res OLS model'!$B$5</f>
        <v>-17086566.711675301</v>
      </c>
      <c r="L121" s="20">
        <f ca="1">'Res OLS model'!$B$6*D121</f>
        <v>3571982.8037265027</v>
      </c>
      <c r="M121" s="20">
        <f ca="1">'Res OLS model'!$B$7*E121</f>
        <v>0</v>
      </c>
      <c r="N121" s="20">
        <f>'Res OLS model'!$B$8*F121</f>
        <v>25673300.62967775</v>
      </c>
      <c r="O121" s="20">
        <f>'Res OLS model'!$B$9*G121</f>
        <v>0</v>
      </c>
      <c r="P121" s="20">
        <f>'Res OLS model'!$B$10*H121</f>
        <v>-2469901.0510506597</v>
      </c>
      <c r="Q121" s="20">
        <f>'Res OLS model'!$B$11*I121</f>
        <v>10867748.469941026</v>
      </c>
      <c r="R121" s="20">
        <f t="shared" ca="1" si="7"/>
        <v>20556564.140619315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workbookViewId="0">
      <selection activeCell="L41" sqref="L41"/>
    </sheetView>
  </sheetViews>
  <sheetFormatPr defaultRowHeight="13.2" x14ac:dyDescent="0.25"/>
  <cols>
    <col min="1" max="1" width="10.33203125" style="6" bestFit="1" customWidth="1"/>
    <col min="2" max="2" width="5" style="6" bestFit="1" customWidth="1"/>
    <col min="3" max="3" width="12.88671875" style="6" bestFit="1" customWidth="1"/>
    <col min="4" max="5" width="7" style="6" bestFit="1" customWidth="1"/>
    <col min="6" max="6" width="11.6640625" style="6" bestFit="1" customWidth="1"/>
    <col min="7" max="7" width="10.77734375" style="6" bestFit="1" customWidth="1"/>
    <col min="8" max="8" width="7.77734375" style="6" bestFit="1" customWidth="1"/>
    <col min="9" max="9" width="5.88671875" style="6" bestFit="1" customWidth="1"/>
    <col min="10" max="10" width="8.88671875" style="6" bestFit="1" customWidth="1"/>
    <col min="11" max="11" width="8.88671875" style="6"/>
    <col min="12" max="12" width="10.5546875" style="6" bestFit="1" customWidth="1"/>
    <col min="13" max="13" width="8.5546875" style="6" bestFit="1" customWidth="1"/>
    <col min="14" max="14" width="10" style="6" bestFit="1" customWidth="1"/>
    <col min="15" max="15" width="12.77734375" style="6" bestFit="1" customWidth="1"/>
    <col min="16" max="16" width="12.44140625" style="6" bestFit="1" customWidth="1"/>
    <col min="17" max="17" width="9.21875" style="6" bestFit="1" customWidth="1"/>
    <col min="18" max="18" width="8.5546875" style="6" bestFit="1" customWidth="1"/>
    <col min="19" max="19" width="10.44140625" style="6" bestFit="1" customWidth="1"/>
    <col min="20" max="20" width="15.6640625" style="6" bestFit="1" customWidth="1"/>
    <col min="21" max="16384" width="8.88671875" style="6"/>
  </cols>
  <sheetData>
    <row r="1" spans="1:20" ht="14.4" x14ac:dyDescent="0.3">
      <c r="A1" s="6" t="str">
        <f>'Monthly Data'!A1</f>
        <v>Date</v>
      </c>
      <c r="B1" s="6" t="s">
        <v>83</v>
      </c>
      <c r="C1" s="20" t="str">
        <f>'Monthly Data'!J1</f>
        <v>Gross_GSlt50</v>
      </c>
      <c r="D1" s="6" t="str">
        <f>'Monthly Data'!AG1</f>
        <v>HDD</v>
      </c>
      <c r="E1" s="6" t="str">
        <f>'Monthly Data'!AH1</f>
        <v>CDD</v>
      </c>
      <c r="F1" s="6" t="str">
        <f>'Monthly Data'!AJ1</f>
        <v>Windsor_FTE</v>
      </c>
      <c r="G1" s="6" t="str">
        <f>'Monthly Data'!AL1</f>
        <v>Month_Days</v>
      </c>
      <c r="H1" s="6" t="str">
        <f>'Monthly Data'!BC1</f>
        <v>Shoulder</v>
      </c>
      <c r="I1" s="6" t="str">
        <f>'Monthly Data'!AQ1</f>
        <v>March</v>
      </c>
      <c r="J1" s="6" t="str">
        <f>'Monthly Data'!AZ1</f>
        <v>December</v>
      </c>
      <c r="L1" s="20" t="s">
        <v>67</v>
      </c>
      <c r="M1" s="20" t="str">
        <f t="shared" ref="M1:S1" si="0">D1</f>
        <v>HDD</v>
      </c>
      <c r="N1" s="20" t="str">
        <f t="shared" si="0"/>
        <v>CDD</v>
      </c>
      <c r="O1" s="20" t="str">
        <f t="shared" si="0"/>
        <v>Windsor_FTE</v>
      </c>
      <c r="P1" s="20" t="str">
        <f t="shared" si="0"/>
        <v>Month_Days</v>
      </c>
      <c r="Q1" s="20" t="str">
        <f t="shared" si="0"/>
        <v>Shoulder</v>
      </c>
      <c r="R1" s="20" t="str">
        <f t="shared" si="0"/>
        <v>March</v>
      </c>
      <c r="S1" s="20" t="str">
        <f t="shared" si="0"/>
        <v>December</v>
      </c>
      <c r="T1" s="20" t="s">
        <v>96</v>
      </c>
    </row>
    <row r="2" spans="1:20" ht="14.4" x14ac:dyDescent="0.3">
      <c r="A2" s="22">
        <f>'Monthly Data'!A2</f>
        <v>39814</v>
      </c>
      <c r="B2" s="6">
        <f>YEAR(A2)</f>
        <v>2009</v>
      </c>
      <c r="C2" s="20">
        <f ca="1">'Monthly Data'!J2</f>
        <v>6180599.9418864548</v>
      </c>
      <c r="D2" s="6">
        <f ca="1">Weather!G69</f>
        <v>661.18999999999994</v>
      </c>
      <c r="E2" s="6">
        <f ca="1">Weather!H69</f>
        <v>0</v>
      </c>
      <c r="F2" s="6">
        <f>'Monthly Data'!AJ2</f>
        <v>151.5</v>
      </c>
      <c r="G2" s="6">
        <f>'Monthly Data'!AL2</f>
        <v>31</v>
      </c>
      <c r="H2" s="6">
        <f>'Monthly Data'!BC2</f>
        <v>0</v>
      </c>
      <c r="I2" s="6">
        <f>'Monthly Data'!AQ2</f>
        <v>0</v>
      </c>
      <c r="J2" s="6">
        <f>'Monthly Data'!AZ2</f>
        <v>0</v>
      </c>
      <c r="L2" s="20">
        <f>'GS &lt; 50 OLS model'!$B$5</f>
        <v>-1088732.49289844</v>
      </c>
      <c r="M2" s="20">
        <f ca="1">'GS &lt; 50 OLS model'!$B$6*D2</f>
        <v>681636.91088209348</v>
      </c>
      <c r="N2" s="20">
        <f ca="1">'GS &lt; 50 OLS model'!$B$7*E2</f>
        <v>0</v>
      </c>
      <c r="O2" s="20">
        <f>'GS &lt; 50 OLS model'!$B$8*F2</f>
        <v>1728194.0480068789</v>
      </c>
      <c r="P2" s="20">
        <f>'GS &lt; 50 OLS model'!$B$9*G2</f>
        <v>4635586.0334030418</v>
      </c>
      <c r="Q2" s="20">
        <f>'GS &lt; 50 OLS model'!$B$10*H2</f>
        <v>0</v>
      </c>
      <c r="R2" s="20">
        <f>'GS &lt; 50 OLS model'!$B$11*I2</f>
        <v>0</v>
      </c>
      <c r="S2" s="20">
        <f>'GS &lt; 50 OLS model'!$B$12*J2</f>
        <v>0</v>
      </c>
      <c r="T2" s="20">
        <f t="shared" ref="T2:T33" ca="1" si="1">SUM(L2:S2)</f>
        <v>5956684.499393574</v>
      </c>
    </row>
    <row r="3" spans="1:20" ht="14.4" x14ac:dyDescent="0.3">
      <c r="A3" s="22">
        <f>'Monthly Data'!A3</f>
        <v>39845</v>
      </c>
      <c r="B3" s="6">
        <f t="shared" ref="B3:B66" si="2">YEAR(A3)</f>
        <v>2009</v>
      </c>
      <c r="C3" s="20">
        <f ca="1">'Monthly Data'!J3</f>
        <v>5531247.4825260816</v>
      </c>
      <c r="D3" s="6">
        <f ca="1">Weather!G70</f>
        <v>598.16999999999985</v>
      </c>
      <c r="E3" s="6">
        <f ca="1">Weather!H70</f>
        <v>0</v>
      </c>
      <c r="F3" s="6">
        <f>'Monthly Data'!AJ3</f>
        <v>147.5</v>
      </c>
      <c r="G3" s="6">
        <f>'Monthly Data'!AL3</f>
        <v>28</v>
      </c>
      <c r="H3" s="6">
        <f>'Monthly Data'!BC3</f>
        <v>0</v>
      </c>
      <c r="I3" s="6">
        <f>'Monthly Data'!AQ3</f>
        <v>0</v>
      </c>
      <c r="J3" s="6">
        <f>'Monthly Data'!AZ3</f>
        <v>0</v>
      </c>
      <c r="L3" s="20">
        <f>'GS &lt; 50 OLS model'!$B$5</f>
        <v>-1088732.49289844</v>
      </c>
      <c r="M3" s="20">
        <f ca="1">'GS &lt; 50 OLS model'!$B$6*D3</f>
        <v>616668.05454157165</v>
      </c>
      <c r="N3" s="20">
        <f ca="1">'GS &lt; 50 OLS model'!$B$7*E3</f>
        <v>0</v>
      </c>
      <c r="O3" s="20">
        <f>'GS &lt; 50 OLS model'!$B$8*F3</f>
        <v>1682565.1622509216</v>
      </c>
      <c r="P3" s="20">
        <f>'GS &lt; 50 OLS model'!$B$9*G3</f>
        <v>4186980.9333962961</v>
      </c>
      <c r="Q3" s="20">
        <f>'GS &lt; 50 OLS model'!$B$10*H3</f>
        <v>0</v>
      </c>
      <c r="R3" s="20">
        <f>'GS &lt; 50 OLS model'!$B$11*I3</f>
        <v>0</v>
      </c>
      <c r="S3" s="20">
        <f>'GS &lt; 50 OLS model'!$B$12*J3</f>
        <v>0</v>
      </c>
      <c r="T3" s="20">
        <f t="shared" ca="1" si="1"/>
        <v>5397481.6572903488</v>
      </c>
    </row>
    <row r="4" spans="1:20" ht="14.4" x14ac:dyDescent="0.3">
      <c r="A4" s="22">
        <f>'Monthly Data'!A4</f>
        <v>39873</v>
      </c>
      <c r="B4" s="6">
        <f t="shared" si="2"/>
        <v>2009</v>
      </c>
      <c r="C4" s="20">
        <f ca="1">'Monthly Data'!J4</f>
        <v>5678036.4363599839</v>
      </c>
      <c r="D4" s="6">
        <f ca="1">Weather!G71</f>
        <v>451.34</v>
      </c>
      <c r="E4" s="6">
        <f ca="1">Weather!H71</f>
        <v>0.88000000000000012</v>
      </c>
      <c r="F4" s="6">
        <f>'Monthly Data'!AJ4</f>
        <v>142.9</v>
      </c>
      <c r="G4" s="6">
        <f>'Monthly Data'!AL4</f>
        <v>31</v>
      </c>
      <c r="H4" s="6">
        <f>'Monthly Data'!BC4</f>
        <v>1</v>
      </c>
      <c r="I4" s="6">
        <f>'Monthly Data'!AQ4</f>
        <v>1</v>
      </c>
      <c r="J4" s="6">
        <f>'Monthly Data'!AZ4</f>
        <v>0</v>
      </c>
      <c r="L4" s="20">
        <f>'GS &lt; 50 OLS model'!$B$5</f>
        <v>-1088732.49289844</v>
      </c>
      <c r="M4" s="20">
        <f ca="1">'GS &lt; 50 OLS model'!$B$6*D4</f>
        <v>465297.42336926464</v>
      </c>
      <c r="N4" s="20">
        <f ca="1">'GS &lt; 50 OLS model'!$B$7*E4</f>
        <v>6753.1741608942166</v>
      </c>
      <c r="O4" s="20">
        <f>'GS &lt; 50 OLS model'!$B$8*F4</f>
        <v>1630091.943631571</v>
      </c>
      <c r="P4" s="20">
        <f>'GS &lt; 50 OLS model'!$B$9*G4</f>
        <v>4635586.0334030418</v>
      </c>
      <c r="Q4" s="20">
        <f>'GS &lt; 50 OLS model'!$B$10*H4</f>
        <v>-268302.989268562</v>
      </c>
      <c r="R4" s="20">
        <f>'GS &lt; 50 OLS model'!$B$11*I4</f>
        <v>178696.970766832</v>
      </c>
      <c r="S4" s="20">
        <f>'GS &lt; 50 OLS model'!$B$12*J4</f>
        <v>0</v>
      </c>
      <c r="T4" s="20">
        <f t="shared" ca="1" si="1"/>
        <v>5559390.063164602</v>
      </c>
    </row>
    <row r="5" spans="1:20" ht="14.4" x14ac:dyDescent="0.3">
      <c r="A5" s="22">
        <f>'Monthly Data'!A5</f>
        <v>39904</v>
      </c>
      <c r="B5" s="6">
        <f t="shared" si="2"/>
        <v>2009</v>
      </c>
      <c r="C5" s="20">
        <f ca="1">'Monthly Data'!J5</f>
        <v>5165756.2748493869</v>
      </c>
      <c r="D5" s="6">
        <f ca="1">Weather!G72</f>
        <v>259.5499999999999</v>
      </c>
      <c r="E5" s="6">
        <f ca="1">Weather!H72</f>
        <v>2.4500000000000002</v>
      </c>
      <c r="F5" s="6">
        <f>'Monthly Data'!AJ5</f>
        <v>144.80000000000001</v>
      </c>
      <c r="G5" s="6">
        <f>'Monthly Data'!AL5</f>
        <v>30</v>
      </c>
      <c r="H5" s="6">
        <f>'Monthly Data'!BC5</f>
        <v>1</v>
      </c>
      <c r="I5" s="6">
        <f>'Monthly Data'!AQ5</f>
        <v>0</v>
      </c>
      <c r="J5" s="6">
        <f>'Monthly Data'!AZ5</f>
        <v>0</v>
      </c>
      <c r="L5" s="20">
        <f>'GS &lt; 50 OLS model'!$B$5</f>
        <v>-1088732.49289844</v>
      </c>
      <c r="M5" s="20">
        <f ca="1">'GS &lt; 50 OLS model'!$B$6*D5</f>
        <v>267576.4307074325</v>
      </c>
      <c r="N5" s="20">
        <f ca="1">'GS &lt; 50 OLS model'!$B$7*E5</f>
        <v>18801.450788853217</v>
      </c>
      <c r="O5" s="20">
        <f>'GS &lt; 50 OLS model'!$B$8*F5</f>
        <v>1651765.6643656506</v>
      </c>
      <c r="P5" s="20">
        <f>'GS &lt; 50 OLS model'!$B$9*G5</f>
        <v>4486051.0000674604</v>
      </c>
      <c r="Q5" s="20">
        <f>'GS &lt; 50 OLS model'!$B$10*H5</f>
        <v>-268302.989268562</v>
      </c>
      <c r="R5" s="20">
        <f>'GS &lt; 50 OLS model'!$B$11*I5</f>
        <v>0</v>
      </c>
      <c r="S5" s="20">
        <f>'GS &lt; 50 OLS model'!$B$12*J5</f>
        <v>0</v>
      </c>
      <c r="T5" s="20">
        <f t="shared" ca="1" si="1"/>
        <v>5067159.0637623947</v>
      </c>
    </row>
    <row r="6" spans="1:20" ht="14.4" x14ac:dyDescent="0.3">
      <c r="A6" s="22">
        <f>'Monthly Data'!A6</f>
        <v>39934</v>
      </c>
      <c r="B6" s="6">
        <f t="shared" si="2"/>
        <v>2009</v>
      </c>
      <c r="C6" s="20">
        <f ca="1">'Monthly Data'!J6</f>
        <v>5358760.0193285467</v>
      </c>
      <c r="D6" s="6">
        <f ca="1">Weather!G73</f>
        <v>88.880000000000024</v>
      </c>
      <c r="E6" s="6">
        <f ca="1">Weather!H73</f>
        <v>43.79999999999999</v>
      </c>
      <c r="F6" s="6">
        <f>'Monthly Data'!AJ6</f>
        <v>145</v>
      </c>
      <c r="G6" s="6">
        <f>'Monthly Data'!AL6</f>
        <v>31</v>
      </c>
      <c r="H6" s="6">
        <f>'Monthly Data'!BC6</f>
        <v>1</v>
      </c>
      <c r="I6" s="6">
        <f>'Monthly Data'!AQ6</f>
        <v>0</v>
      </c>
      <c r="J6" s="6">
        <f>'Monthly Data'!AZ6</f>
        <v>0</v>
      </c>
      <c r="L6" s="20">
        <f>'GS &lt; 50 OLS model'!$B$5</f>
        <v>-1088732.49289844</v>
      </c>
      <c r="M6" s="20">
        <f ca="1">'GS &lt; 50 OLS model'!$B$6*D6</f>
        <v>91628.56159228133</v>
      </c>
      <c r="N6" s="20">
        <f ca="1">'GS &lt; 50 OLS model'!$B$7*E6</f>
        <v>336123.89573541656</v>
      </c>
      <c r="O6" s="20">
        <f>'GS &lt; 50 OLS model'!$B$8*F6</f>
        <v>1654047.1086534485</v>
      </c>
      <c r="P6" s="20">
        <f>'GS &lt; 50 OLS model'!$B$9*G6</f>
        <v>4635586.0334030418</v>
      </c>
      <c r="Q6" s="20">
        <f>'GS &lt; 50 OLS model'!$B$10*H6</f>
        <v>-268302.989268562</v>
      </c>
      <c r="R6" s="20">
        <f>'GS &lt; 50 OLS model'!$B$11*I6</f>
        <v>0</v>
      </c>
      <c r="S6" s="20">
        <f>'GS &lt; 50 OLS model'!$B$12*J6</f>
        <v>0</v>
      </c>
      <c r="T6" s="20">
        <f t="shared" ca="1" si="1"/>
        <v>5360350.1172171868</v>
      </c>
    </row>
    <row r="7" spans="1:20" ht="14.4" x14ac:dyDescent="0.3">
      <c r="A7" s="22">
        <f>'Monthly Data'!A7</f>
        <v>39965</v>
      </c>
      <c r="B7" s="6">
        <f t="shared" si="2"/>
        <v>2009</v>
      </c>
      <c r="C7" s="20">
        <f ca="1">'Monthly Data'!J7</f>
        <v>5663326.2574443072</v>
      </c>
      <c r="D7" s="6">
        <f ca="1">Weather!G74</f>
        <v>9.77</v>
      </c>
      <c r="E7" s="6">
        <f ca="1">Weather!H74</f>
        <v>117.38999999999999</v>
      </c>
      <c r="F7" s="6">
        <f>'Monthly Data'!AJ7</f>
        <v>145.69999999999999</v>
      </c>
      <c r="G7" s="6">
        <f>'Monthly Data'!AL7</f>
        <v>30</v>
      </c>
      <c r="H7" s="6">
        <f>'Monthly Data'!BC7</f>
        <v>0</v>
      </c>
      <c r="I7" s="6">
        <f>'Monthly Data'!AQ7</f>
        <v>0</v>
      </c>
      <c r="J7" s="6">
        <f>'Monthly Data'!AZ7</f>
        <v>0</v>
      </c>
      <c r="L7" s="20">
        <f>'GS &lt; 50 OLS model'!$B$5</f>
        <v>-1088732.49289844</v>
      </c>
      <c r="M7" s="20">
        <f ca="1">'GS &lt; 50 OLS model'!$B$6*D7</f>
        <v>10072.131489160534</v>
      </c>
      <c r="N7" s="20">
        <f ca="1">'GS &lt; 50 OLS model'!$B$7*E7</f>
        <v>900858.08494019532</v>
      </c>
      <c r="O7" s="20">
        <f>'GS &lt; 50 OLS model'!$B$8*F7</f>
        <v>1662032.1636607409</v>
      </c>
      <c r="P7" s="20">
        <f>'GS &lt; 50 OLS model'!$B$9*G7</f>
        <v>4486051.0000674604</v>
      </c>
      <c r="Q7" s="20">
        <f>'GS &lt; 50 OLS model'!$B$10*H7</f>
        <v>0</v>
      </c>
      <c r="R7" s="20">
        <f>'GS &lt; 50 OLS model'!$B$11*I7</f>
        <v>0</v>
      </c>
      <c r="S7" s="20">
        <f>'GS &lt; 50 OLS model'!$B$12*J7</f>
        <v>0</v>
      </c>
      <c r="T7" s="20">
        <f t="shared" ca="1" si="1"/>
        <v>5970280.8872591173</v>
      </c>
    </row>
    <row r="8" spans="1:20" ht="14.4" x14ac:dyDescent="0.3">
      <c r="A8" s="22">
        <f>'Monthly Data'!A8</f>
        <v>39995</v>
      </c>
      <c r="B8" s="6">
        <f t="shared" si="2"/>
        <v>2009</v>
      </c>
      <c r="C8" s="20">
        <f ca="1">'Monthly Data'!J8</f>
        <v>6200335.1519909399</v>
      </c>
      <c r="D8" s="6">
        <f ca="1">Weather!G75</f>
        <v>0.58000000000000007</v>
      </c>
      <c r="E8" s="6">
        <f ca="1">Weather!H75</f>
        <v>179.70999999999998</v>
      </c>
      <c r="F8" s="6">
        <f>'Monthly Data'!AJ8</f>
        <v>144.30000000000001</v>
      </c>
      <c r="G8" s="6">
        <f>'Monthly Data'!AL8</f>
        <v>31</v>
      </c>
      <c r="H8" s="6">
        <f>'Monthly Data'!BC8</f>
        <v>0</v>
      </c>
      <c r="I8" s="6">
        <f>'Monthly Data'!AQ8</f>
        <v>0</v>
      </c>
      <c r="J8" s="6">
        <f>'Monthly Data'!AZ8</f>
        <v>0</v>
      </c>
      <c r="L8" s="20">
        <f>'GS &lt; 50 OLS model'!$B$5</f>
        <v>-1088732.49289844</v>
      </c>
      <c r="M8" s="20">
        <f ca="1">'GS &lt; 50 OLS model'!$B$6*D8</f>
        <v>597.93615800543614</v>
      </c>
      <c r="N8" s="20">
        <f ca="1">'GS &lt; 50 OLS model'!$B$7*E8</f>
        <v>1379105.6005162492</v>
      </c>
      <c r="O8" s="20">
        <f>'GS &lt; 50 OLS model'!$B$8*F8</f>
        <v>1646062.0536461561</v>
      </c>
      <c r="P8" s="20">
        <f>'GS &lt; 50 OLS model'!$B$9*G8</f>
        <v>4635586.0334030418</v>
      </c>
      <c r="Q8" s="20">
        <f>'GS &lt; 50 OLS model'!$B$10*H8</f>
        <v>0</v>
      </c>
      <c r="R8" s="20">
        <f>'GS &lt; 50 OLS model'!$B$11*I8</f>
        <v>0</v>
      </c>
      <c r="S8" s="20">
        <f>'GS &lt; 50 OLS model'!$B$12*J8</f>
        <v>0</v>
      </c>
      <c r="T8" s="20">
        <f t="shared" ca="1" si="1"/>
        <v>6572619.1308250129</v>
      </c>
    </row>
    <row r="9" spans="1:20" ht="14.4" x14ac:dyDescent="0.3">
      <c r="A9" s="22">
        <f>'Monthly Data'!A9</f>
        <v>40026</v>
      </c>
      <c r="B9" s="6">
        <f t="shared" si="2"/>
        <v>2009</v>
      </c>
      <c r="C9" s="20">
        <f ca="1">'Monthly Data'!J9</f>
        <v>6260864.1239666771</v>
      </c>
      <c r="D9" s="6">
        <f ca="1">Weather!G76</f>
        <v>1.7099999999999997</v>
      </c>
      <c r="E9" s="6">
        <f ca="1">Weather!H76</f>
        <v>158.1</v>
      </c>
      <c r="F9" s="6">
        <f>'Monthly Data'!AJ9</f>
        <v>145.1</v>
      </c>
      <c r="G9" s="6">
        <f>'Monthly Data'!AL9</f>
        <v>31</v>
      </c>
      <c r="H9" s="6">
        <f>'Monthly Data'!BC9</f>
        <v>0</v>
      </c>
      <c r="I9" s="6">
        <f>'Monthly Data'!AQ9</f>
        <v>0</v>
      </c>
      <c r="J9" s="6">
        <f>'Monthly Data'!AZ9</f>
        <v>0</v>
      </c>
      <c r="L9" s="20">
        <f>'GS &lt; 50 OLS model'!$B$5</f>
        <v>-1088732.49289844</v>
      </c>
      <c r="M9" s="20">
        <f ca="1">'GS &lt; 50 OLS model'!$B$6*D9</f>
        <v>1762.8807417056819</v>
      </c>
      <c r="N9" s="20">
        <f ca="1">'GS &lt; 50 OLS model'!$B$7*E9</f>
        <v>1213269.1304970176</v>
      </c>
      <c r="O9" s="20">
        <f>'GS &lt; 50 OLS model'!$B$8*F9</f>
        <v>1655187.8307973472</v>
      </c>
      <c r="P9" s="20">
        <f>'GS &lt; 50 OLS model'!$B$9*G9</f>
        <v>4635586.0334030418</v>
      </c>
      <c r="Q9" s="20">
        <f>'GS &lt; 50 OLS model'!$B$10*H9</f>
        <v>0</v>
      </c>
      <c r="R9" s="20">
        <f>'GS &lt; 50 OLS model'!$B$11*I9</f>
        <v>0</v>
      </c>
      <c r="S9" s="20">
        <f>'GS &lt; 50 OLS model'!$B$12*J9</f>
        <v>0</v>
      </c>
      <c r="T9" s="20">
        <f t="shared" ca="1" si="1"/>
        <v>6417073.3825406721</v>
      </c>
    </row>
    <row r="10" spans="1:20" ht="14.4" x14ac:dyDescent="0.3">
      <c r="A10" s="22">
        <f>'Monthly Data'!A10</f>
        <v>40057</v>
      </c>
      <c r="B10" s="6">
        <f t="shared" si="2"/>
        <v>2009</v>
      </c>
      <c r="C10" s="20">
        <f ca="1">'Monthly Data'!J10</f>
        <v>5590921.3744961126</v>
      </c>
      <c r="D10" s="6">
        <f ca="1">Weather!G77</f>
        <v>32.68</v>
      </c>
      <c r="E10" s="6">
        <f ca="1">Weather!H77</f>
        <v>67.34</v>
      </c>
      <c r="F10" s="6">
        <f>'Monthly Data'!AJ10</f>
        <v>146.80000000000001</v>
      </c>
      <c r="G10" s="6">
        <f>'Monthly Data'!AL10</f>
        <v>30</v>
      </c>
      <c r="H10" s="6">
        <f>'Monthly Data'!BC10</f>
        <v>0</v>
      </c>
      <c r="I10" s="6">
        <f>'Monthly Data'!AQ10</f>
        <v>0</v>
      </c>
      <c r="J10" s="6">
        <f>'Monthly Data'!AZ10</f>
        <v>0</v>
      </c>
      <c r="L10" s="20">
        <f>'GS &lt; 50 OLS model'!$B$5</f>
        <v>-1088732.49289844</v>
      </c>
      <c r="M10" s="20">
        <f ca="1">'GS &lt; 50 OLS model'!$B$6*D10</f>
        <v>33690.609730375261</v>
      </c>
      <c r="N10" s="20">
        <f ca="1">'GS &lt; 50 OLS model'!$B$7*E10</f>
        <v>516771.30453933694</v>
      </c>
      <c r="O10" s="20">
        <f>'GS &lt; 50 OLS model'!$B$8*F10</f>
        <v>1674580.1072436294</v>
      </c>
      <c r="P10" s="20">
        <f>'GS &lt; 50 OLS model'!$B$9*G10</f>
        <v>4486051.0000674604</v>
      </c>
      <c r="Q10" s="20">
        <f>'GS &lt; 50 OLS model'!$B$10*H10</f>
        <v>0</v>
      </c>
      <c r="R10" s="20">
        <f>'GS &lt; 50 OLS model'!$B$11*I10</f>
        <v>0</v>
      </c>
      <c r="S10" s="20">
        <f>'GS &lt; 50 OLS model'!$B$12*J10</f>
        <v>0</v>
      </c>
      <c r="T10" s="20">
        <f t="shared" ca="1" si="1"/>
        <v>5622360.5286823623</v>
      </c>
    </row>
    <row r="11" spans="1:20" ht="14.4" x14ac:dyDescent="0.3">
      <c r="A11" s="22">
        <f>'Monthly Data'!A11</f>
        <v>40087</v>
      </c>
      <c r="B11" s="6">
        <f t="shared" si="2"/>
        <v>2009</v>
      </c>
      <c r="C11" s="20">
        <f ca="1">'Monthly Data'!J11</f>
        <v>5185699.0044068033</v>
      </c>
      <c r="D11" s="6">
        <f ca="1">Weather!G78</f>
        <v>176.42</v>
      </c>
      <c r="E11" s="6">
        <f ca="1">Weather!H78</f>
        <v>10.18</v>
      </c>
      <c r="F11" s="6">
        <f>'Monthly Data'!AJ11</f>
        <v>149.19999999999999</v>
      </c>
      <c r="G11" s="6">
        <f>'Monthly Data'!AL11</f>
        <v>31</v>
      </c>
      <c r="H11" s="6">
        <f>'Monthly Data'!BC11</f>
        <v>1</v>
      </c>
      <c r="I11" s="6">
        <f>'Monthly Data'!AQ11</f>
        <v>0</v>
      </c>
      <c r="J11" s="6">
        <f>'Monthly Data'!AZ11</f>
        <v>0</v>
      </c>
      <c r="L11" s="20">
        <f>'GS &lt; 50 OLS model'!$B$5</f>
        <v>-1088732.49289844</v>
      </c>
      <c r="M11" s="20">
        <f ca="1">'GS &lt; 50 OLS model'!$B$6*D11</f>
        <v>181875.68447468797</v>
      </c>
      <c r="N11" s="20">
        <f ca="1">'GS &lt; 50 OLS model'!$B$7*E11</f>
        <v>78121.946543071725</v>
      </c>
      <c r="O11" s="20">
        <f>'GS &lt; 50 OLS model'!$B$8*F11</f>
        <v>1701957.4386972033</v>
      </c>
      <c r="P11" s="20">
        <f>'GS &lt; 50 OLS model'!$B$9*G11</f>
        <v>4635586.0334030418</v>
      </c>
      <c r="Q11" s="20">
        <f>'GS &lt; 50 OLS model'!$B$10*H11</f>
        <v>-268302.989268562</v>
      </c>
      <c r="R11" s="20">
        <f>'GS &lt; 50 OLS model'!$B$11*I11</f>
        <v>0</v>
      </c>
      <c r="S11" s="20">
        <f>'GS &lt; 50 OLS model'!$B$12*J11</f>
        <v>0</v>
      </c>
      <c r="T11" s="20">
        <f t="shared" ca="1" si="1"/>
        <v>5240505.6209510034</v>
      </c>
    </row>
    <row r="12" spans="1:20" ht="14.4" x14ac:dyDescent="0.3">
      <c r="A12" s="22">
        <f>'Monthly Data'!A12</f>
        <v>40118</v>
      </c>
      <c r="B12" s="6">
        <f t="shared" si="2"/>
        <v>2009</v>
      </c>
      <c r="C12" s="20">
        <f ca="1">'Monthly Data'!J12</f>
        <v>5131204.807266444</v>
      </c>
      <c r="D12" s="6">
        <f ca="1">Weather!G79</f>
        <v>364.2299999999999</v>
      </c>
      <c r="E12" s="6">
        <f ca="1">Weather!H79</f>
        <v>0.05</v>
      </c>
      <c r="F12" s="6">
        <f>'Monthly Data'!AJ12</f>
        <v>150.1</v>
      </c>
      <c r="G12" s="6">
        <f>'Monthly Data'!AL12</f>
        <v>30</v>
      </c>
      <c r="H12" s="6">
        <f>'Monthly Data'!BC12</f>
        <v>1</v>
      </c>
      <c r="I12" s="6">
        <f>'Monthly Data'!AQ12</f>
        <v>0</v>
      </c>
      <c r="J12" s="6">
        <f>'Monthly Data'!AZ12</f>
        <v>0</v>
      </c>
      <c r="L12" s="20">
        <f>'GS &lt; 50 OLS model'!$B$5</f>
        <v>-1088732.49289844</v>
      </c>
      <c r="M12" s="20">
        <f ca="1">'GS &lt; 50 OLS model'!$B$6*D12</f>
        <v>375493.59798331017</v>
      </c>
      <c r="N12" s="20">
        <f ca="1">'GS &lt; 50 OLS model'!$B$7*E12</f>
        <v>383.70307732353501</v>
      </c>
      <c r="O12" s="20">
        <f>'GS &lt; 50 OLS model'!$B$8*F12</f>
        <v>1712223.9379922939</v>
      </c>
      <c r="P12" s="20">
        <f>'GS &lt; 50 OLS model'!$B$9*G12</f>
        <v>4486051.0000674604</v>
      </c>
      <c r="Q12" s="20">
        <f>'GS &lt; 50 OLS model'!$B$10*H12</f>
        <v>-268302.989268562</v>
      </c>
      <c r="R12" s="20">
        <f>'GS &lt; 50 OLS model'!$B$11*I12</f>
        <v>0</v>
      </c>
      <c r="S12" s="20">
        <f>'GS &lt; 50 OLS model'!$B$12*J12</f>
        <v>0</v>
      </c>
      <c r="T12" s="20">
        <f t="shared" ca="1" si="1"/>
        <v>5217116.7569533866</v>
      </c>
    </row>
    <row r="13" spans="1:20" ht="14.4" x14ac:dyDescent="0.3">
      <c r="A13" s="22">
        <f>'Monthly Data'!A13</f>
        <v>40148</v>
      </c>
      <c r="B13" s="6">
        <f t="shared" si="2"/>
        <v>2009</v>
      </c>
      <c r="C13" s="20">
        <f ca="1">'Monthly Data'!J13</f>
        <v>5688515.449409673</v>
      </c>
      <c r="D13" s="6">
        <f ca="1">Weather!G80</f>
        <v>552.31000000000006</v>
      </c>
      <c r="E13" s="6">
        <f ca="1">Weather!H80</f>
        <v>0</v>
      </c>
      <c r="F13" s="6">
        <f>'Monthly Data'!AJ13</f>
        <v>150.19999999999999</v>
      </c>
      <c r="G13" s="6">
        <f>'Monthly Data'!AL13</f>
        <v>31</v>
      </c>
      <c r="H13" s="6">
        <f>'Monthly Data'!BC13</f>
        <v>0</v>
      </c>
      <c r="I13" s="6">
        <f>'Monthly Data'!AQ13</f>
        <v>0</v>
      </c>
      <c r="J13" s="6">
        <f>'Monthly Data'!AZ13</f>
        <v>1</v>
      </c>
      <c r="L13" s="20">
        <f>'GS &lt; 50 OLS model'!$B$5</f>
        <v>-1088732.49289844</v>
      </c>
      <c r="M13" s="20">
        <f ca="1">'GS &lt; 50 OLS model'!$B$6*D13</f>
        <v>569389.86108272825</v>
      </c>
      <c r="N13" s="20">
        <f ca="1">'GS &lt; 50 OLS model'!$B$7*E13</f>
        <v>0</v>
      </c>
      <c r="O13" s="20">
        <f>'GS &lt; 50 OLS model'!$B$8*F13</f>
        <v>1713364.6601361926</v>
      </c>
      <c r="P13" s="20">
        <f>'GS &lt; 50 OLS model'!$B$9*G13</f>
        <v>4635586.0334030418</v>
      </c>
      <c r="Q13" s="20">
        <f>'GS &lt; 50 OLS model'!$B$10*H13</f>
        <v>0</v>
      </c>
      <c r="R13" s="20">
        <f>'GS &lt; 50 OLS model'!$B$11*I13</f>
        <v>0</v>
      </c>
      <c r="S13" s="20">
        <f>'GS &lt; 50 OLS model'!$B$12*J13</f>
        <v>-197900.76217015099</v>
      </c>
      <c r="T13" s="20">
        <f t="shared" ca="1" si="1"/>
        <v>5631707.299553372</v>
      </c>
    </row>
    <row r="14" spans="1:20" ht="14.4" x14ac:dyDescent="0.3">
      <c r="A14" s="22">
        <f>'Monthly Data'!A14</f>
        <v>40179</v>
      </c>
      <c r="B14" s="6">
        <f t="shared" si="2"/>
        <v>2010</v>
      </c>
      <c r="C14" s="20">
        <f ca="1">'Monthly Data'!J14</f>
        <v>5896501.9011723185</v>
      </c>
      <c r="D14" s="6">
        <f t="shared" ref="D14:E29" ca="1" si="3">D2</f>
        <v>661.18999999999994</v>
      </c>
      <c r="E14" s="6">
        <f t="shared" ca="1" si="3"/>
        <v>0</v>
      </c>
      <c r="F14" s="6">
        <f>'Monthly Data'!AJ14</f>
        <v>146.80000000000001</v>
      </c>
      <c r="G14" s="6">
        <f>'Monthly Data'!AL14</f>
        <v>31</v>
      </c>
      <c r="H14" s="6">
        <f>'Monthly Data'!BC14</f>
        <v>0</v>
      </c>
      <c r="I14" s="6">
        <f>'Monthly Data'!AQ14</f>
        <v>0</v>
      </c>
      <c r="J14" s="6">
        <f>'Monthly Data'!AZ14</f>
        <v>0</v>
      </c>
      <c r="L14" s="20">
        <f>'GS &lt; 50 OLS model'!$B$5</f>
        <v>-1088732.49289844</v>
      </c>
      <c r="M14" s="20">
        <f ca="1">'GS &lt; 50 OLS model'!$B$6*D14</f>
        <v>681636.91088209348</v>
      </c>
      <c r="N14" s="20">
        <f ca="1">'GS &lt; 50 OLS model'!$B$7*E14</f>
        <v>0</v>
      </c>
      <c r="O14" s="20">
        <f>'GS &lt; 50 OLS model'!$B$8*F14</f>
        <v>1674580.1072436294</v>
      </c>
      <c r="P14" s="20">
        <f>'GS &lt; 50 OLS model'!$B$9*G14</f>
        <v>4635586.0334030418</v>
      </c>
      <c r="Q14" s="20">
        <f>'GS &lt; 50 OLS model'!$B$10*H14</f>
        <v>0</v>
      </c>
      <c r="R14" s="20">
        <f>'GS &lt; 50 OLS model'!$B$11*I14</f>
        <v>0</v>
      </c>
      <c r="S14" s="20">
        <f>'GS &lt; 50 OLS model'!$B$12*J14</f>
        <v>0</v>
      </c>
      <c r="T14" s="20">
        <f t="shared" ca="1" si="1"/>
        <v>5903070.5586303249</v>
      </c>
    </row>
    <row r="15" spans="1:20" ht="14.4" x14ac:dyDescent="0.3">
      <c r="A15" s="22">
        <f>'Monthly Data'!A15</f>
        <v>40210</v>
      </c>
      <c r="B15" s="6">
        <f t="shared" si="2"/>
        <v>2010</v>
      </c>
      <c r="C15" s="20">
        <f ca="1">'Monthly Data'!J15</f>
        <v>5282460.4406652441</v>
      </c>
      <c r="D15" s="6">
        <f t="shared" ca="1" si="3"/>
        <v>598.16999999999985</v>
      </c>
      <c r="E15" s="6">
        <f t="shared" ca="1" si="3"/>
        <v>0</v>
      </c>
      <c r="F15" s="6">
        <f>'Monthly Data'!AJ15</f>
        <v>145.5</v>
      </c>
      <c r="G15" s="6">
        <f>'Monthly Data'!AL15</f>
        <v>28</v>
      </c>
      <c r="H15" s="6">
        <f>'Monthly Data'!BC15</f>
        <v>0</v>
      </c>
      <c r="I15" s="6">
        <f>'Monthly Data'!AQ15</f>
        <v>0</v>
      </c>
      <c r="J15" s="6">
        <f>'Monthly Data'!AZ15</f>
        <v>0</v>
      </c>
      <c r="L15" s="20">
        <f>'GS &lt; 50 OLS model'!$B$5</f>
        <v>-1088732.49289844</v>
      </c>
      <c r="M15" s="20">
        <f ca="1">'GS &lt; 50 OLS model'!$B$6*D15</f>
        <v>616668.05454157165</v>
      </c>
      <c r="N15" s="20">
        <f ca="1">'GS &lt; 50 OLS model'!$B$7*E15</f>
        <v>0</v>
      </c>
      <c r="O15" s="20">
        <f>'GS &lt; 50 OLS model'!$B$8*F15</f>
        <v>1659750.719372943</v>
      </c>
      <c r="P15" s="20">
        <f>'GS &lt; 50 OLS model'!$B$9*G15</f>
        <v>4186980.9333962961</v>
      </c>
      <c r="Q15" s="20">
        <f>'GS &lt; 50 OLS model'!$B$10*H15</f>
        <v>0</v>
      </c>
      <c r="R15" s="20">
        <f>'GS &lt; 50 OLS model'!$B$11*I15</f>
        <v>0</v>
      </c>
      <c r="S15" s="20">
        <f>'GS &lt; 50 OLS model'!$B$12*J15</f>
        <v>0</v>
      </c>
      <c r="T15" s="20">
        <f t="shared" ca="1" si="1"/>
        <v>5374667.2144123707</v>
      </c>
    </row>
    <row r="16" spans="1:20" ht="14.4" x14ac:dyDescent="0.3">
      <c r="A16" s="22">
        <f>'Monthly Data'!A16</f>
        <v>40238</v>
      </c>
      <c r="B16" s="6">
        <f t="shared" si="2"/>
        <v>2010</v>
      </c>
      <c r="C16" s="20">
        <f ca="1">'Monthly Data'!J16</f>
        <v>5367265.7782861628</v>
      </c>
      <c r="D16" s="6">
        <f t="shared" ca="1" si="3"/>
        <v>451.34</v>
      </c>
      <c r="E16" s="6">
        <f t="shared" ca="1" si="3"/>
        <v>0.88000000000000012</v>
      </c>
      <c r="F16" s="6">
        <f>'Monthly Data'!AJ16</f>
        <v>143.30000000000001</v>
      </c>
      <c r="G16" s="6">
        <f>'Monthly Data'!AL16</f>
        <v>31</v>
      </c>
      <c r="H16" s="6">
        <f>'Monthly Data'!BC16</f>
        <v>1</v>
      </c>
      <c r="I16" s="6">
        <f>'Monthly Data'!AQ16</f>
        <v>1</v>
      </c>
      <c r="J16" s="6">
        <f>'Monthly Data'!AZ16</f>
        <v>0</v>
      </c>
      <c r="L16" s="20">
        <f>'GS &lt; 50 OLS model'!$B$5</f>
        <v>-1088732.49289844</v>
      </c>
      <c r="M16" s="20">
        <f ca="1">'GS &lt; 50 OLS model'!$B$6*D16</f>
        <v>465297.42336926464</v>
      </c>
      <c r="N16" s="20">
        <f ca="1">'GS &lt; 50 OLS model'!$B$7*E16</f>
        <v>6753.1741608942166</v>
      </c>
      <c r="O16" s="20">
        <f>'GS &lt; 50 OLS model'!$B$8*F16</f>
        <v>1634654.8322071668</v>
      </c>
      <c r="P16" s="20">
        <f>'GS &lt; 50 OLS model'!$B$9*G16</f>
        <v>4635586.0334030418</v>
      </c>
      <c r="Q16" s="20">
        <f>'GS &lt; 50 OLS model'!$B$10*H16</f>
        <v>-268302.989268562</v>
      </c>
      <c r="R16" s="20">
        <f>'GS &lt; 50 OLS model'!$B$11*I16</f>
        <v>178696.970766832</v>
      </c>
      <c r="S16" s="20">
        <f>'GS &lt; 50 OLS model'!$B$12*J16</f>
        <v>0</v>
      </c>
      <c r="T16" s="20">
        <f t="shared" ca="1" si="1"/>
        <v>5563952.9517401978</v>
      </c>
    </row>
    <row r="17" spans="1:20" ht="14.4" x14ac:dyDescent="0.3">
      <c r="A17" s="22">
        <f>'Monthly Data'!A17</f>
        <v>40269</v>
      </c>
      <c r="B17" s="6">
        <f t="shared" si="2"/>
        <v>2010</v>
      </c>
      <c r="C17" s="20">
        <f ca="1">'Monthly Data'!J17</f>
        <v>5048654.5806024112</v>
      </c>
      <c r="D17" s="6">
        <f t="shared" ca="1" si="3"/>
        <v>259.5499999999999</v>
      </c>
      <c r="E17" s="6">
        <f t="shared" ca="1" si="3"/>
        <v>2.4500000000000002</v>
      </c>
      <c r="F17" s="6">
        <f>'Monthly Data'!AJ17</f>
        <v>146.6</v>
      </c>
      <c r="G17" s="6">
        <f>'Monthly Data'!AL17</f>
        <v>30</v>
      </c>
      <c r="H17" s="6">
        <f>'Monthly Data'!BC17</f>
        <v>1</v>
      </c>
      <c r="I17" s="6">
        <f>'Monthly Data'!AQ17</f>
        <v>0</v>
      </c>
      <c r="J17" s="6">
        <f>'Monthly Data'!AZ17</f>
        <v>0</v>
      </c>
      <c r="L17" s="20">
        <f>'GS &lt; 50 OLS model'!$B$5</f>
        <v>-1088732.49289844</v>
      </c>
      <c r="M17" s="20">
        <f ca="1">'GS &lt; 50 OLS model'!$B$6*D17</f>
        <v>267576.4307074325</v>
      </c>
      <c r="N17" s="20">
        <f ca="1">'GS &lt; 50 OLS model'!$B$7*E17</f>
        <v>18801.450788853217</v>
      </c>
      <c r="O17" s="20">
        <f>'GS &lt; 50 OLS model'!$B$8*F17</f>
        <v>1672298.6629558313</v>
      </c>
      <c r="P17" s="20">
        <f>'GS &lt; 50 OLS model'!$B$9*G17</f>
        <v>4486051.0000674604</v>
      </c>
      <c r="Q17" s="20">
        <f>'GS &lt; 50 OLS model'!$B$10*H17</f>
        <v>-268302.989268562</v>
      </c>
      <c r="R17" s="20">
        <f>'GS &lt; 50 OLS model'!$B$11*I17</f>
        <v>0</v>
      </c>
      <c r="S17" s="20">
        <f>'GS &lt; 50 OLS model'!$B$12*J17</f>
        <v>0</v>
      </c>
      <c r="T17" s="20">
        <f t="shared" ca="1" si="1"/>
        <v>5087692.0623525754</v>
      </c>
    </row>
    <row r="18" spans="1:20" ht="14.4" x14ac:dyDescent="0.3">
      <c r="A18" s="22">
        <f>'Monthly Data'!A18</f>
        <v>40299</v>
      </c>
      <c r="B18" s="6">
        <f t="shared" si="2"/>
        <v>2010</v>
      </c>
      <c r="C18" s="20">
        <f ca="1">'Monthly Data'!J18</f>
        <v>5629447.9636161011</v>
      </c>
      <c r="D18" s="6">
        <f t="shared" ca="1" si="3"/>
        <v>88.880000000000024</v>
      </c>
      <c r="E18" s="6">
        <f t="shared" ca="1" si="3"/>
        <v>43.79999999999999</v>
      </c>
      <c r="F18" s="6">
        <f>'Monthly Data'!AJ18</f>
        <v>147.80000000000001</v>
      </c>
      <c r="G18" s="6">
        <f>'Monthly Data'!AL18</f>
        <v>31</v>
      </c>
      <c r="H18" s="6">
        <f>'Monthly Data'!BC18</f>
        <v>1</v>
      </c>
      <c r="I18" s="6">
        <f>'Monthly Data'!AQ18</f>
        <v>0</v>
      </c>
      <c r="J18" s="6">
        <f>'Monthly Data'!AZ18</f>
        <v>0</v>
      </c>
      <c r="L18" s="20">
        <f>'GS &lt; 50 OLS model'!$B$5</f>
        <v>-1088732.49289844</v>
      </c>
      <c r="M18" s="20">
        <f ca="1">'GS &lt; 50 OLS model'!$B$6*D18</f>
        <v>91628.56159228133</v>
      </c>
      <c r="N18" s="20">
        <f ca="1">'GS &lt; 50 OLS model'!$B$7*E18</f>
        <v>336123.89573541656</v>
      </c>
      <c r="O18" s="20">
        <f>'GS &lt; 50 OLS model'!$B$8*F18</f>
        <v>1685987.3286826187</v>
      </c>
      <c r="P18" s="20">
        <f>'GS &lt; 50 OLS model'!$B$9*G18</f>
        <v>4635586.0334030418</v>
      </c>
      <c r="Q18" s="20">
        <f>'GS &lt; 50 OLS model'!$B$10*H18</f>
        <v>-268302.989268562</v>
      </c>
      <c r="R18" s="20">
        <f>'GS &lt; 50 OLS model'!$B$11*I18</f>
        <v>0</v>
      </c>
      <c r="S18" s="20">
        <f>'GS &lt; 50 OLS model'!$B$12*J18</f>
        <v>0</v>
      </c>
      <c r="T18" s="20">
        <f t="shared" ca="1" si="1"/>
        <v>5392290.3372463565</v>
      </c>
    </row>
    <row r="19" spans="1:20" ht="14.4" x14ac:dyDescent="0.3">
      <c r="A19" s="22">
        <f>'Monthly Data'!A19</f>
        <v>40330</v>
      </c>
      <c r="B19" s="6">
        <f t="shared" si="2"/>
        <v>2010</v>
      </c>
      <c r="C19" s="20">
        <f ca="1">'Monthly Data'!J19</f>
        <v>6292517.6784429774</v>
      </c>
      <c r="D19" s="6">
        <f t="shared" ca="1" si="3"/>
        <v>9.77</v>
      </c>
      <c r="E19" s="6">
        <f t="shared" ca="1" si="3"/>
        <v>117.38999999999999</v>
      </c>
      <c r="F19" s="6">
        <f>'Monthly Data'!AJ19</f>
        <v>149.9</v>
      </c>
      <c r="G19" s="6">
        <f>'Monthly Data'!AL19</f>
        <v>30</v>
      </c>
      <c r="H19" s="6">
        <f>'Monthly Data'!BC19</f>
        <v>0</v>
      </c>
      <c r="I19" s="6">
        <f>'Monthly Data'!AQ19</f>
        <v>0</v>
      </c>
      <c r="J19" s="6">
        <f>'Monthly Data'!AZ19</f>
        <v>0</v>
      </c>
      <c r="L19" s="20">
        <f>'GS &lt; 50 OLS model'!$B$5</f>
        <v>-1088732.49289844</v>
      </c>
      <c r="M19" s="20">
        <f ca="1">'GS &lt; 50 OLS model'!$B$6*D19</f>
        <v>10072.131489160534</v>
      </c>
      <c r="N19" s="20">
        <f ca="1">'GS &lt; 50 OLS model'!$B$7*E19</f>
        <v>900858.08494019532</v>
      </c>
      <c r="O19" s="20">
        <f>'GS &lt; 50 OLS model'!$B$8*F19</f>
        <v>1709942.4937044962</v>
      </c>
      <c r="P19" s="20">
        <f>'GS &lt; 50 OLS model'!$B$9*G19</f>
        <v>4486051.0000674604</v>
      </c>
      <c r="Q19" s="20">
        <f>'GS &lt; 50 OLS model'!$B$10*H19</f>
        <v>0</v>
      </c>
      <c r="R19" s="20">
        <f>'GS &lt; 50 OLS model'!$B$11*I19</f>
        <v>0</v>
      </c>
      <c r="S19" s="20">
        <f>'GS &lt; 50 OLS model'!$B$12*J19</f>
        <v>0</v>
      </c>
      <c r="T19" s="20">
        <f t="shared" ca="1" si="1"/>
        <v>6018191.2173028719</v>
      </c>
    </row>
    <row r="20" spans="1:20" ht="14.4" x14ac:dyDescent="0.3">
      <c r="A20" s="22">
        <f>'Monthly Data'!A20</f>
        <v>40360</v>
      </c>
      <c r="B20" s="6">
        <f t="shared" si="2"/>
        <v>2010</v>
      </c>
      <c r="C20" s="20">
        <f ca="1">'Monthly Data'!J20</f>
        <v>7051776.6779211387</v>
      </c>
      <c r="D20" s="6">
        <f t="shared" ca="1" si="3"/>
        <v>0.58000000000000007</v>
      </c>
      <c r="E20" s="6">
        <f t="shared" ca="1" si="3"/>
        <v>179.70999999999998</v>
      </c>
      <c r="F20" s="6">
        <f>'Monthly Data'!AJ20</f>
        <v>148.30000000000001</v>
      </c>
      <c r="G20" s="6">
        <f>'Monthly Data'!AL20</f>
        <v>31</v>
      </c>
      <c r="H20" s="6">
        <f>'Monthly Data'!BC20</f>
        <v>0</v>
      </c>
      <c r="I20" s="6">
        <f>'Monthly Data'!AQ20</f>
        <v>0</v>
      </c>
      <c r="J20" s="6">
        <f>'Monthly Data'!AZ20</f>
        <v>0</v>
      </c>
      <c r="L20" s="20">
        <f>'GS &lt; 50 OLS model'!$B$5</f>
        <v>-1088732.49289844</v>
      </c>
      <c r="M20" s="20">
        <f ca="1">'GS &lt; 50 OLS model'!$B$6*D20</f>
        <v>597.93615800543614</v>
      </c>
      <c r="N20" s="20">
        <f ca="1">'GS &lt; 50 OLS model'!$B$7*E20</f>
        <v>1379105.6005162492</v>
      </c>
      <c r="O20" s="20">
        <f>'GS &lt; 50 OLS model'!$B$8*F20</f>
        <v>1691690.9394021132</v>
      </c>
      <c r="P20" s="20">
        <f>'GS &lt; 50 OLS model'!$B$9*G20</f>
        <v>4635586.0334030418</v>
      </c>
      <c r="Q20" s="20">
        <f>'GS &lt; 50 OLS model'!$B$10*H20</f>
        <v>0</v>
      </c>
      <c r="R20" s="20">
        <f>'GS &lt; 50 OLS model'!$B$11*I20</f>
        <v>0</v>
      </c>
      <c r="S20" s="20">
        <f>'GS &lt; 50 OLS model'!$B$12*J20</f>
        <v>0</v>
      </c>
      <c r="T20" s="20">
        <f t="shared" ca="1" si="1"/>
        <v>6618248.0165809691</v>
      </c>
    </row>
    <row r="21" spans="1:20" ht="14.4" x14ac:dyDescent="0.3">
      <c r="A21" s="22">
        <f>'Monthly Data'!A21</f>
        <v>40391</v>
      </c>
      <c r="B21" s="6">
        <f t="shared" si="2"/>
        <v>2010</v>
      </c>
      <c r="C21" s="20">
        <f ca="1">'Monthly Data'!J21</f>
        <v>6891570.3434989201</v>
      </c>
      <c r="D21" s="6">
        <f t="shared" ca="1" si="3"/>
        <v>1.7099999999999997</v>
      </c>
      <c r="E21" s="6">
        <f t="shared" ca="1" si="3"/>
        <v>158.1</v>
      </c>
      <c r="F21" s="6">
        <f>'Monthly Data'!AJ21</f>
        <v>148.4</v>
      </c>
      <c r="G21" s="6">
        <f>'Monthly Data'!AL21</f>
        <v>31</v>
      </c>
      <c r="H21" s="6">
        <f>'Monthly Data'!BC21</f>
        <v>0</v>
      </c>
      <c r="I21" s="6">
        <f>'Monthly Data'!AQ21</f>
        <v>0</v>
      </c>
      <c r="J21" s="6">
        <f>'Monthly Data'!AZ21</f>
        <v>0</v>
      </c>
      <c r="L21" s="20">
        <f>'GS &lt; 50 OLS model'!$B$5</f>
        <v>-1088732.49289844</v>
      </c>
      <c r="M21" s="20">
        <f ca="1">'GS &lt; 50 OLS model'!$B$6*D21</f>
        <v>1762.8807417056819</v>
      </c>
      <c r="N21" s="20">
        <f ca="1">'GS &lt; 50 OLS model'!$B$7*E21</f>
        <v>1213269.1304970176</v>
      </c>
      <c r="O21" s="20">
        <f>'GS &lt; 50 OLS model'!$B$8*F21</f>
        <v>1692831.6615460122</v>
      </c>
      <c r="P21" s="20">
        <f>'GS &lt; 50 OLS model'!$B$9*G21</f>
        <v>4635586.0334030418</v>
      </c>
      <c r="Q21" s="20">
        <f>'GS &lt; 50 OLS model'!$B$10*H21</f>
        <v>0</v>
      </c>
      <c r="R21" s="20">
        <f>'GS &lt; 50 OLS model'!$B$11*I21</f>
        <v>0</v>
      </c>
      <c r="S21" s="20">
        <f>'GS &lt; 50 OLS model'!$B$12*J21</f>
        <v>0</v>
      </c>
      <c r="T21" s="20">
        <f t="shared" ca="1" si="1"/>
        <v>6454717.2132893372</v>
      </c>
    </row>
    <row r="22" spans="1:20" ht="14.4" x14ac:dyDescent="0.3">
      <c r="A22" s="22">
        <f>'Monthly Data'!A22</f>
        <v>40422</v>
      </c>
      <c r="B22" s="6">
        <f t="shared" si="2"/>
        <v>2010</v>
      </c>
      <c r="C22" s="20">
        <f ca="1">'Monthly Data'!J22</f>
        <v>5651782.3575958619</v>
      </c>
      <c r="D22" s="6">
        <f t="shared" ca="1" si="3"/>
        <v>32.68</v>
      </c>
      <c r="E22" s="6">
        <f t="shared" ca="1" si="3"/>
        <v>67.34</v>
      </c>
      <c r="F22" s="6">
        <f>'Monthly Data'!AJ22</f>
        <v>148.69999999999999</v>
      </c>
      <c r="G22" s="6">
        <f>'Monthly Data'!AL22</f>
        <v>30</v>
      </c>
      <c r="H22" s="6">
        <f>'Monthly Data'!BC22</f>
        <v>0</v>
      </c>
      <c r="I22" s="6">
        <f>'Monthly Data'!AQ22</f>
        <v>0</v>
      </c>
      <c r="J22" s="6">
        <f>'Monthly Data'!AZ22</f>
        <v>0</v>
      </c>
      <c r="L22" s="20">
        <f>'GS &lt; 50 OLS model'!$B$5</f>
        <v>-1088732.49289844</v>
      </c>
      <c r="M22" s="20">
        <f ca="1">'GS &lt; 50 OLS model'!$B$6*D22</f>
        <v>33690.609730375261</v>
      </c>
      <c r="N22" s="20">
        <f ca="1">'GS &lt; 50 OLS model'!$B$7*E22</f>
        <v>516771.30453933694</v>
      </c>
      <c r="O22" s="20">
        <f>'GS &lt; 50 OLS model'!$B$8*F22</f>
        <v>1696253.8279777088</v>
      </c>
      <c r="P22" s="20">
        <f>'GS &lt; 50 OLS model'!$B$9*G22</f>
        <v>4486051.0000674604</v>
      </c>
      <c r="Q22" s="20">
        <f>'GS &lt; 50 OLS model'!$B$10*H22</f>
        <v>0</v>
      </c>
      <c r="R22" s="20">
        <f>'GS &lt; 50 OLS model'!$B$11*I22</f>
        <v>0</v>
      </c>
      <c r="S22" s="20">
        <f>'GS &lt; 50 OLS model'!$B$12*J22</f>
        <v>0</v>
      </c>
      <c r="T22" s="20">
        <f t="shared" ca="1" si="1"/>
        <v>5644034.2494164407</v>
      </c>
    </row>
    <row r="23" spans="1:20" ht="14.4" x14ac:dyDescent="0.3">
      <c r="A23" s="22">
        <f>'Monthly Data'!A23</f>
        <v>40452</v>
      </c>
      <c r="B23" s="6">
        <f t="shared" si="2"/>
        <v>2010</v>
      </c>
      <c r="C23" s="20">
        <f ca="1">'Monthly Data'!J23</f>
        <v>5255156.9166128142</v>
      </c>
      <c r="D23" s="6">
        <f t="shared" ca="1" si="3"/>
        <v>176.42</v>
      </c>
      <c r="E23" s="6">
        <f t="shared" ca="1" si="3"/>
        <v>10.18</v>
      </c>
      <c r="F23" s="6">
        <f>'Monthly Data'!AJ23</f>
        <v>149.6</v>
      </c>
      <c r="G23" s="6">
        <f>'Monthly Data'!AL23</f>
        <v>31</v>
      </c>
      <c r="H23" s="6">
        <f>'Monthly Data'!BC23</f>
        <v>1</v>
      </c>
      <c r="I23" s="6">
        <f>'Monthly Data'!AQ23</f>
        <v>0</v>
      </c>
      <c r="J23" s="6">
        <f>'Monthly Data'!AZ23</f>
        <v>0</v>
      </c>
      <c r="L23" s="20">
        <f>'GS &lt; 50 OLS model'!$B$5</f>
        <v>-1088732.49289844</v>
      </c>
      <c r="M23" s="20">
        <f ca="1">'GS &lt; 50 OLS model'!$B$6*D23</f>
        <v>181875.68447468797</v>
      </c>
      <c r="N23" s="20">
        <f ca="1">'GS &lt; 50 OLS model'!$B$7*E23</f>
        <v>78121.946543071725</v>
      </c>
      <c r="O23" s="20">
        <f>'GS &lt; 50 OLS model'!$B$8*F23</f>
        <v>1706520.3272727991</v>
      </c>
      <c r="P23" s="20">
        <f>'GS &lt; 50 OLS model'!$B$9*G23</f>
        <v>4635586.0334030418</v>
      </c>
      <c r="Q23" s="20">
        <f>'GS &lt; 50 OLS model'!$B$10*H23</f>
        <v>-268302.989268562</v>
      </c>
      <c r="R23" s="20">
        <f>'GS &lt; 50 OLS model'!$B$11*I23</f>
        <v>0</v>
      </c>
      <c r="S23" s="20">
        <f>'GS &lt; 50 OLS model'!$B$12*J23</f>
        <v>0</v>
      </c>
      <c r="T23" s="20">
        <f t="shared" ca="1" si="1"/>
        <v>5245068.5095265992</v>
      </c>
    </row>
    <row r="24" spans="1:20" ht="14.4" x14ac:dyDescent="0.3">
      <c r="A24" s="22">
        <f>'Monthly Data'!A24</f>
        <v>40483</v>
      </c>
      <c r="B24" s="6">
        <f t="shared" si="2"/>
        <v>2010</v>
      </c>
      <c r="C24" s="20">
        <f ca="1">'Monthly Data'!J24</f>
        <v>5251525.9795399467</v>
      </c>
      <c r="D24" s="6">
        <f t="shared" ca="1" si="3"/>
        <v>364.2299999999999</v>
      </c>
      <c r="E24" s="6">
        <f t="shared" ca="1" si="3"/>
        <v>0.05</v>
      </c>
      <c r="F24" s="6">
        <f>'Monthly Data'!AJ24</f>
        <v>148.9</v>
      </c>
      <c r="G24" s="6">
        <f>'Monthly Data'!AL24</f>
        <v>30</v>
      </c>
      <c r="H24" s="6">
        <f>'Monthly Data'!BC24</f>
        <v>1</v>
      </c>
      <c r="I24" s="6">
        <f>'Monthly Data'!AQ24</f>
        <v>0</v>
      </c>
      <c r="J24" s="6">
        <f>'Monthly Data'!AZ24</f>
        <v>0</v>
      </c>
      <c r="L24" s="20">
        <f>'GS &lt; 50 OLS model'!$B$5</f>
        <v>-1088732.49289844</v>
      </c>
      <c r="M24" s="20">
        <f ca="1">'GS &lt; 50 OLS model'!$B$6*D24</f>
        <v>375493.59798331017</v>
      </c>
      <c r="N24" s="20">
        <f ca="1">'GS &lt; 50 OLS model'!$B$7*E24</f>
        <v>383.70307732353501</v>
      </c>
      <c r="O24" s="20">
        <f>'GS &lt; 50 OLS model'!$B$8*F24</f>
        <v>1698535.2722655069</v>
      </c>
      <c r="P24" s="20">
        <f>'GS &lt; 50 OLS model'!$B$9*G24</f>
        <v>4486051.0000674604</v>
      </c>
      <c r="Q24" s="20">
        <f>'GS &lt; 50 OLS model'!$B$10*H24</f>
        <v>-268302.989268562</v>
      </c>
      <c r="R24" s="20">
        <f>'GS &lt; 50 OLS model'!$B$11*I24</f>
        <v>0</v>
      </c>
      <c r="S24" s="20">
        <f>'GS &lt; 50 OLS model'!$B$12*J24</f>
        <v>0</v>
      </c>
      <c r="T24" s="20">
        <f t="shared" ca="1" si="1"/>
        <v>5203428.0912265992</v>
      </c>
    </row>
    <row r="25" spans="1:20" ht="14.4" x14ac:dyDescent="0.3">
      <c r="A25" s="22">
        <f>'Monthly Data'!A25</f>
        <v>40513</v>
      </c>
      <c r="B25" s="6">
        <f t="shared" si="2"/>
        <v>2010</v>
      </c>
      <c r="C25" s="20">
        <f ca="1">'Monthly Data'!J25</f>
        <v>5844905.3892598506</v>
      </c>
      <c r="D25" s="6">
        <f t="shared" ca="1" si="3"/>
        <v>552.31000000000006</v>
      </c>
      <c r="E25" s="6">
        <f t="shared" ca="1" si="3"/>
        <v>0</v>
      </c>
      <c r="F25" s="6">
        <f>'Monthly Data'!AJ25</f>
        <v>148.1</v>
      </c>
      <c r="G25" s="6">
        <f>'Monthly Data'!AL25</f>
        <v>31</v>
      </c>
      <c r="H25" s="6">
        <f>'Monthly Data'!BC25</f>
        <v>0</v>
      </c>
      <c r="I25" s="6">
        <f>'Monthly Data'!AQ25</f>
        <v>0</v>
      </c>
      <c r="J25" s="6">
        <f>'Monthly Data'!AZ25</f>
        <v>1</v>
      </c>
      <c r="L25" s="20">
        <f>'GS &lt; 50 OLS model'!$B$5</f>
        <v>-1088732.49289844</v>
      </c>
      <c r="M25" s="20">
        <f ca="1">'GS &lt; 50 OLS model'!$B$6*D25</f>
        <v>569389.86108272825</v>
      </c>
      <c r="N25" s="20">
        <f ca="1">'GS &lt; 50 OLS model'!$B$7*E25</f>
        <v>0</v>
      </c>
      <c r="O25" s="20">
        <f>'GS &lt; 50 OLS model'!$B$8*F25</f>
        <v>1689409.4951143153</v>
      </c>
      <c r="P25" s="20">
        <f>'GS &lt; 50 OLS model'!$B$9*G25</f>
        <v>4635586.0334030418</v>
      </c>
      <c r="Q25" s="20">
        <f>'GS &lt; 50 OLS model'!$B$10*H25</f>
        <v>0</v>
      </c>
      <c r="R25" s="20">
        <f>'GS &lt; 50 OLS model'!$B$11*I25</f>
        <v>0</v>
      </c>
      <c r="S25" s="20">
        <f>'GS &lt; 50 OLS model'!$B$12*J25</f>
        <v>-197900.76217015099</v>
      </c>
      <c r="T25" s="20">
        <f t="shared" ca="1" si="1"/>
        <v>5607752.1345314942</v>
      </c>
    </row>
    <row r="26" spans="1:20" ht="14.4" x14ac:dyDescent="0.3">
      <c r="A26" s="22">
        <f>'Monthly Data'!A26</f>
        <v>40544</v>
      </c>
      <c r="B26" s="6">
        <f t="shared" si="2"/>
        <v>2011</v>
      </c>
      <c r="C26" s="20">
        <f ca="1">'Monthly Data'!J26</f>
        <v>6026588.3635599045</v>
      </c>
      <c r="D26" s="6">
        <f t="shared" ca="1" si="3"/>
        <v>661.18999999999994</v>
      </c>
      <c r="E26" s="6">
        <f t="shared" ca="1" si="3"/>
        <v>0</v>
      </c>
      <c r="F26" s="6">
        <f>'Monthly Data'!AJ26</f>
        <v>148.69999999999999</v>
      </c>
      <c r="G26" s="6">
        <f>'Monthly Data'!AL26</f>
        <v>31</v>
      </c>
      <c r="H26" s="6">
        <f>'Monthly Data'!BC26</f>
        <v>0</v>
      </c>
      <c r="I26" s="6">
        <f>'Monthly Data'!AQ26</f>
        <v>0</v>
      </c>
      <c r="J26" s="6">
        <f>'Monthly Data'!AZ26</f>
        <v>0</v>
      </c>
      <c r="L26" s="20">
        <f>'GS &lt; 50 OLS model'!$B$5</f>
        <v>-1088732.49289844</v>
      </c>
      <c r="M26" s="20">
        <f ca="1">'GS &lt; 50 OLS model'!$B$6*D26</f>
        <v>681636.91088209348</v>
      </c>
      <c r="N26" s="20">
        <f ca="1">'GS &lt; 50 OLS model'!$B$7*E26</f>
        <v>0</v>
      </c>
      <c r="O26" s="20">
        <f>'GS &lt; 50 OLS model'!$B$8*F26</f>
        <v>1696253.8279777088</v>
      </c>
      <c r="P26" s="20">
        <f>'GS &lt; 50 OLS model'!$B$9*G26</f>
        <v>4635586.0334030418</v>
      </c>
      <c r="Q26" s="20">
        <f>'GS &lt; 50 OLS model'!$B$10*H26</f>
        <v>0</v>
      </c>
      <c r="R26" s="20">
        <f>'GS &lt; 50 OLS model'!$B$11*I26</f>
        <v>0</v>
      </c>
      <c r="S26" s="20">
        <f>'GS &lt; 50 OLS model'!$B$12*J26</f>
        <v>0</v>
      </c>
      <c r="T26" s="20">
        <f t="shared" ca="1" si="1"/>
        <v>5924744.2793644043</v>
      </c>
    </row>
    <row r="27" spans="1:20" ht="14.4" x14ac:dyDescent="0.3">
      <c r="A27" s="22">
        <f>'Monthly Data'!A27</f>
        <v>40575</v>
      </c>
      <c r="B27" s="6">
        <f t="shared" si="2"/>
        <v>2011</v>
      </c>
      <c r="C27" s="20">
        <f ca="1">'Monthly Data'!J27</f>
        <v>5362970.5444677435</v>
      </c>
      <c r="D27" s="6">
        <f t="shared" ca="1" si="3"/>
        <v>598.16999999999985</v>
      </c>
      <c r="E27" s="6">
        <f t="shared" ca="1" si="3"/>
        <v>0</v>
      </c>
      <c r="F27" s="6">
        <f>'Monthly Data'!AJ27</f>
        <v>146.69999999999999</v>
      </c>
      <c r="G27" s="6">
        <f>'Monthly Data'!AL27</f>
        <v>28</v>
      </c>
      <c r="H27" s="6">
        <f>'Monthly Data'!BC27</f>
        <v>0</v>
      </c>
      <c r="I27" s="6">
        <f>'Monthly Data'!AQ27</f>
        <v>0</v>
      </c>
      <c r="J27" s="6">
        <f>'Monthly Data'!AZ27</f>
        <v>0</v>
      </c>
      <c r="L27" s="20">
        <f>'GS &lt; 50 OLS model'!$B$5</f>
        <v>-1088732.49289844</v>
      </c>
      <c r="M27" s="20">
        <f ca="1">'GS &lt; 50 OLS model'!$B$6*D27</f>
        <v>616668.05454157165</v>
      </c>
      <c r="N27" s="20">
        <f ca="1">'GS &lt; 50 OLS model'!$B$7*E27</f>
        <v>0</v>
      </c>
      <c r="O27" s="20">
        <f>'GS &lt; 50 OLS model'!$B$8*F27</f>
        <v>1673439.3850997302</v>
      </c>
      <c r="P27" s="20">
        <f>'GS &lt; 50 OLS model'!$B$9*G27</f>
        <v>4186980.9333962961</v>
      </c>
      <c r="Q27" s="20">
        <f>'GS &lt; 50 OLS model'!$B$10*H27</f>
        <v>0</v>
      </c>
      <c r="R27" s="20">
        <f>'GS &lt; 50 OLS model'!$B$11*I27</f>
        <v>0</v>
      </c>
      <c r="S27" s="20">
        <f>'GS &lt; 50 OLS model'!$B$12*J27</f>
        <v>0</v>
      </c>
      <c r="T27" s="20">
        <f t="shared" ca="1" si="1"/>
        <v>5388355.8801391581</v>
      </c>
    </row>
    <row r="28" spans="1:20" ht="14.4" x14ac:dyDescent="0.3">
      <c r="A28" s="22">
        <f>'Monthly Data'!A28</f>
        <v>40603</v>
      </c>
      <c r="B28" s="6">
        <f t="shared" si="2"/>
        <v>2011</v>
      </c>
      <c r="C28" s="20">
        <f ca="1">'Monthly Data'!J28</f>
        <v>5630900.4388400922</v>
      </c>
      <c r="D28" s="6">
        <f t="shared" ca="1" si="3"/>
        <v>451.34</v>
      </c>
      <c r="E28" s="6">
        <f t="shared" ca="1" si="3"/>
        <v>0.88000000000000012</v>
      </c>
      <c r="F28" s="6">
        <f>'Monthly Data'!AJ28</f>
        <v>145.4</v>
      </c>
      <c r="G28" s="6">
        <f>'Monthly Data'!AL28</f>
        <v>31</v>
      </c>
      <c r="H28" s="6">
        <f>'Monthly Data'!BC28</f>
        <v>1</v>
      </c>
      <c r="I28" s="6">
        <f>'Monthly Data'!AQ28</f>
        <v>1</v>
      </c>
      <c r="J28" s="6">
        <f>'Monthly Data'!AZ28</f>
        <v>0</v>
      </c>
      <c r="L28" s="20">
        <f>'GS &lt; 50 OLS model'!$B$5</f>
        <v>-1088732.49289844</v>
      </c>
      <c r="M28" s="20">
        <f ca="1">'GS &lt; 50 OLS model'!$B$6*D28</f>
        <v>465297.42336926464</v>
      </c>
      <c r="N28" s="20">
        <f ca="1">'GS &lt; 50 OLS model'!$B$7*E28</f>
        <v>6753.1741608942166</v>
      </c>
      <c r="O28" s="20">
        <f>'GS &lt; 50 OLS model'!$B$8*F28</f>
        <v>1658609.9972290443</v>
      </c>
      <c r="P28" s="20">
        <f>'GS &lt; 50 OLS model'!$B$9*G28</f>
        <v>4635586.0334030418</v>
      </c>
      <c r="Q28" s="20">
        <f>'GS &lt; 50 OLS model'!$B$10*H28</f>
        <v>-268302.989268562</v>
      </c>
      <c r="R28" s="20">
        <f>'GS &lt; 50 OLS model'!$B$11*I28</f>
        <v>178696.970766832</v>
      </c>
      <c r="S28" s="20">
        <f>'GS &lt; 50 OLS model'!$B$12*J28</f>
        <v>0</v>
      </c>
      <c r="T28" s="20">
        <f t="shared" ca="1" si="1"/>
        <v>5587908.1167620756</v>
      </c>
    </row>
    <row r="29" spans="1:20" ht="14.4" x14ac:dyDescent="0.3">
      <c r="A29" s="22">
        <f>'Monthly Data'!A29</f>
        <v>40634</v>
      </c>
      <c r="B29" s="6">
        <f t="shared" si="2"/>
        <v>2011</v>
      </c>
      <c r="C29" s="20">
        <f ca="1">'Monthly Data'!J29</f>
        <v>5175082.1278635412</v>
      </c>
      <c r="D29" s="6">
        <f t="shared" ca="1" si="3"/>
        <v>259.5499999999999</v>
      </c>
      <c r="E29" s="6">
        <f t="shared" ca="1" si="3"/>
        <v>2.4500000000000002</v>
      </c>
      <c r="F29" s="6">
        <f>'Monthly Data'!AJ29</f>
        <v>144</v>
      </c>
      <c r="G29" s="6">
        <f>'Monthly Data'!AL29</f>
        <v>30</v>
      </c>
      <c r="H29" s="6">
        <f>'Monthly Data'!BC29</f>
        <v>1</v>
      </c>
      <c r="I29" s="6">
        <f>'Monthly Data'!AQ29</f>
        <v>0</v>
      </c>
      <c r="J29" s="6">
        <f>'Monthly Data'!AZ29</f>
        <v>0</v>
      </c>
      <c r="L29" s="20">
        <f>'GS &lt; 50 OLS model'!$B$5</f>
        <v>-1088732.49289844</v>
      </c>
      <c r="M29" s="20">
        <f ca="1">'GS &lt; 50 OLS model'!$B$6*D29</f>
        <v>267576.4307074325</v>
      </c>
      <c r="N29" s="20">
        <f ca="1">'GS &lt; 50 OLS model'!$B$7*E29</f>
        <v>18801.450788853217</v>
      </c>
      <c r="O29" s="20">
        <f>'GS &lt; 50 OLS model'!$B$8*F29</f>
        <v>1642639.8872144592</v>
      </c>
      <c r="P29" s="20">
        <f>'GS &lt; 50 OLS model'!$B$9*G29</f>
        <v>4486051.0000674604</v>
      </c>
      <c r="Q29" s="20">
        <f>'GS &lt; 50 OLS model'!$B$10*H29</f>
        <v>-268302.989268562</v>
      </c>
      <c r="R29" s="20">
        <f>'GS &lt; 50 OLS model'!$B$11*I29</f>
        <v>0</v>
      </c>
      <c r="S29" s="20">
        <f>'GS &lt; 50 OLS model'!$B$12*J29</f>
        <v>0</v>
      </c>
      <c r="T29" s="20">
        <f t="shared" ca="1" si="1"/>
        <v>5058033.2866112031</v>
      </c>
    </row>
    <row r="30" spans="1:20" ht="14.4" x14ac:dyDescent="0.3">
      <c r="A30" s="22">
        <f>'Monthly Data'!A30</f>
        <v>40664</v>
      </c>
      <c r="B30" s="6">
        <f t="shared" si="2"/>
        <v>2011</v>
      </c>
      <c r="C30" s="20">
        <f ca="1">'Monthly Data'!J30</f>
        <v>5463133.8059784928</v>
      </c>
      <c r="D30" s="6">
        <f t="shared" ref="D30:E45" ca="1" si="4">D18</f>
        <v>88.880000000000024</v>
      </c>
      <c r="E30" s="6">
        <f t="shared" ca="1" si="4"/>
        <v>43.79999999999999</v>
      </c>
      <c r="F30" s="6">
        <f>'Monthly Data'!AJ30</f>
        <v>144.6</v>
      </c>
      <c r="G30" s="6">
        <f>'Monthly Data'!AL30</f>
        <v>31</v>
      </c>
      <c r="H30" s="6">
        <f>'Monthly Data'!BC30</f>
        <v>1</v>
      </c>
      <c r="I30" s="6">
        <f>'Monthly Data'!AQ30</f>
        <v>0</v>
      </c>
      <c r="J30" s="6">
        <f>'Monthly Data'!AZ30</f>
        <v>0</v>
      </c>
      <c r="L30" s="20">
        <f>'GS &lt; 50 OLS model'!$B$5</f>
        <v>-1088732.49289844</v>
      </c>
      <c r="M30" s="20">
        <f ca="1">'GS &lt; 50 OLS model'!$B$6*D30</f>
        <v>91628.56159228133</v>
      </c>
      <c r="N30" s="20">
        <f ca="1">'GS &lt; 50 OLS model'!$B$7*E30</f>
        <v>336123.89573541656</v>
      </c>
      <c r="O30" s="20">
        <f>'GS &lt; 50 OLS model'!$B$8*F30</f>
        <v>1649484.2200778527</v>
      </c>
      <c r="P30" s="20">
        <f>'GS &lt; 50 OLS model'!$B$9*G30</f>
        <v>4635586.0334030418</v>
      </c>
      <c r="Q30" s="20">
        <f>'GS &lt; 50 OLS model'!$B$10*H30</f>
        <v>-268302.989268562</v>
      </c>
      <c r="R30" s="20">
        <f>'GS &lt; 50 OLS model'!$B$11*I30</f>
        <v>0</v>
      </c>
      <c r="S30" s="20">
        <f>'GS &lt; 50 OLS model'!$B$12*J30</f>
        <v>0</v>
      </c>
      <c r="T30" s="20">
        <f t="shared" ca="1" si="1"/>
        <v>5355787.2286415901</v>
      </c>
    </row>
    <row r="31" spans="1:20" ht="14.4" x14ac:dyDescent="0.3">
      <c r="A31" s="22">
        <f>'Monthly Data'!A31</f>
        <v>40695</v>
      </c>
      <c r="B31" s="6">
        <f t="shared" si="2"/>
        <v>2011</v>
      </c>
      <c r="C31" s="20">
        <f ca="1">'Monthly Data'!J31</f>
        <v>5976127.300790932</v>
      </c>
      <c r="D31" s="6">
        <f t="shared" ca="1" si="4"/>
        <v>9.77</v>
      </c>
      <c r="E31" s="6">
        <f t="shared" ca="1" si="4"/>
        <v>117.38999999999999</v>
      </c>
      <c r="F31" s="6">
        <f>'Monthly Data'!AJ31</f>
        <v>146</v>
      </c>
      <c r="G31" s="6">
        <f>'Monthly Data'!AL31</f>
        <v>30</v>
      </c>
      <c r="H31" s="6">
        <f>'Monthly Data'!BC31</f>
        <v>0</v>
      </c>
      <c r="I31" s="6">
        <f>'Monthly Data'!AQ31</f>
        <v>0</v>
      </c>
      <c r="J31" s="6">
        <f>'Monthly Data'!AZ31</f>
        <v>0</v>
      </c>
      <c r="L31" s="20">
        <f>'GS &lt; 50 OLS model'!$B$5</f>
        <v>-1088732.49289844</v>
      </c>
      <c r="M31" s="20">
        <f ca="1">'GS &lt; 50 OLS model'!$B$6*D31</f>
        <v>10072.131489160534</v>
      </c>
      <c r="N31" s="20">
        <f ca="1">'GS &lt; 50 OLS model'!$B$7*E31</f>
        <v>900858.08494019532</v>
      </c>
      <c r="O31" s="20">
        <f>'GS &lt; 50 OLS model'!$B$8*F31</f>
        <v>1665454.3300924378</v>
      </c>
      <c r="P31" s="20">
        <f>'GS &lt; 50 OLS model'!$B$9*G31</f>
        <v>4486051.0000674604</v>
      </c>
      <c r="Q31" s="20">
        <f>'GS &lt; 50 OLS model'!$B$10*H31</f>
        <v>0</v>
      </c>
      <c r="R31" s="20">
        <f>'GS &lt; 50 OLS model'!$B$11*I31</f>
        <v>0</v>
      </c>
      <c r="S31" s="20">
        <f>'GS &lt; 50 OLS model'!$B$12*J31</f>
        <v>0</v>
      </c>
      <c r="T31" s="20">
        <f t="shared" ca="1" si="1"/>
        <v>5973703.0536908135</v>
      </c>
    </row>
    <row r="32" spans="1:20" ht="14.4" x14ac:dyDescent="0.3">
      <c r="A32" s="22">
        <f>'Monthly Data'!A32</f>
        <v>40725</v>
      </c>
      <c r="B32" s="6">
        <f t="shared" si="2"/>
        <v>2011</v>
      </c>
      <c r="C32" s="20">
        <f ca="1">'Monthly Data'!J32</f>
        <v>6877540.0657793824</v>
      </c>
      <c r="D32" s="6">
        <f t="shared" ca="1" si="4"/>
        <v>0.58000000000000007</v>
      </c>
      <c r="E32" s="6">
        <f t="shared" ca="1" si="4"/>
        <v>179.70999999999998</v>
      </c>
      <c r="F32" s="6">
        <f>'Monthly Data'!AJ32</f>
        <v>147.6</v>
      </c>
      <c r="G32" s="6">
        <f>'Monthly Data'!AL32</f>
        <v>31</v>
      </c>
      <c r="H32" s="6">
        <f>'Monthly Data'!BC32</f>
        <v>0</v>
      </c>
      <c r="I32" s="6">
        <f>'Monthly Data'!AQ32</f>
        <v>0</v>
      </c>
      <c r="J32" s="6">
        <f>'Monthly Data'!AZ32</f>
        <v>0</v>
      </c>
      <c r="L32" s="20">
        <f>'GS &lt; 50 OLS model'!$B$5</f>
        <v>-1088732.49289844</v>
      </c>
      <c r="M32" s="20">
        <f ca="1">'GS &lt; 50 OLS model'!$B$6*D32</f>
        <v>597.93615800543614</v>
      </c>
      <c r="N32" s="20">
        <f ca="1">'GS &lt; 50 OLS model'!$B$7*E32</f>
        <v>1379105.6005162492</v>
      </c>
      <c r="O32" s="20">
        <f>'GS &lt; 50 OLS model'!$B$8*F32</f>
        <v>1683705.8843948205</v>
      </c>
      <c r="P32" s="20">
        <f>'GS &lt; 50 OLS model'!$B$9*G32</f>
        <v>4635586.0334030418</v>
      </c>
      <c r="Q32" s="20">
        <f>'GS &lt; 50 OLS model'!$B$10*H32</f>
        <v>0</v>
      </c>
      <c r="R32" s="20">
        <f>'GS &lt; 50 OLS model'!$B$11*I32</f>
        <v>0</v>
      </c>
      <c r="S32" s="20">
        <f>'GS &lt; 50 OLS model'!$B$12*J32</f>
        <v>0</v>
      </c>
      <c r="T32" s="20">
        <f t="shared" ca="1" si="1"/>
        <v>6610262.9615736771</v>
      </c>
    </row>
    <row r="33" spans="1:20" ht="14.4" x14ac:dyDescent="0.3">
      <c r="A33" s="22">
        <f>'Monthly Data'!A33</f>
        <v>40756</v>
      </c>
      <c r="B33" s="6">
        <f t="shared" si="2"/>
        <v>2011</v>
      </c>
      <c r="C33" s="20">
        <f ca="1">'Monthly Data'!J33</f>
        <v>6603628.8820340019</v>
      </c>
      <c r="D33" s="6">
        <f t="shared" ca="1" si="4"/>
        <v>1.7099999999999997</v>
      </c>
      <c r="E33" s="6">
        <f t="shared" ca="1" si="4"/>
        <v>158.1</v>
      </c>
      <c r="F33" s="6">
        <f>'Monthly Data'!AJ33</f>
        <v>148.69999999999999</v>
      </c>
      <c r="G33" s="6">
        <f>'Monthly Data'!AL33</f>
        <v>31</v>
      </c>
      <c r="H33" s="6">
        <f>'Monthly Data'!BC33</f>
        <v>0</v>
      </c>
      <c r="I33" s="6">
        <f>'Monthly Data'!AQ33</f>
        <v>0</v>
      </c>
      <c r="J33" s="6">
        <f>'Monthly Data'!AZ33</f>
        <v>0</v>
      </c>
      <c r="L33" s="20">
        <f>'GS &lt; 50 OLS model'!$B$5</f>
        <v>-1088732.49289844</v>
      </c>
      <c r="M33" s="20">
        <f ca="1">'GS &lt; 50 OLS model'!$B$6*D33</f>
        <v>1762.8807417056819</v>
      </c>
      <c r="N33" s="20">
        <f ca="1">'GS &lt; 50 OLS model'!$B$7*E33</f>
        <v>1213269.1304970176</v>
      </c>
      <c r="O33" s="20">
        <f>'GS &lt; 50 OLS model'!$B$8*F33</f>
        <v>1696253.8279777088</v>
      </c>
      <c r="P33" s="20">
        <f>'GS &lt; 50 OLS model'!$B$9*G33</f>
        <v>4635586.0334030418</v>
      </c>
      <c r="Q33" s="20">
        <f>'GS &lt; 50 OLS model'!$B$10*H33</f>
        <v>0</v>
      </c>
      <c r="R33" s="20">
        <f>'GS &lt; 50 OLS model'!$B$11*I33</f>
        <v>0</v>
      </c>
      <c r="S33" s="20">
        <f>'GS &lt; 50 OLS model'!$B$12*J33</f>
        <v>0</v>
      </c>
      <c r="T33" s="20">
        <f t="shared" ca="1" si="1"/>
        <v>6458139.3797210343</v>
      </c>
    </row>
    <row r="34" spans="1:20" ht="14.4" x14ac:dyDescent="0.3">
      <c r="A34" s="22">
        <f>'Monthly Data'!A34</f>
        <v>40787</v>
      </c>
      <c r="B34" s="6">
        <f t="shared" si="2"/>
        <v>2011</v>
      </c>
      <c r="C34" s="20">
        <f ca="1">'Monthly Data'!J34</f>
        <v>5618306.5975156222</v>
      </c>
      <c r="D34" s="6">
        <f t="shared" ca="1" si="4"/>
        <v>32.68</v>
      </c>
      <c r="E34" s="6">
        <f t="shared" ca="1" si="4"/>
        <v>67.34</v>
      </c>
      <c r="F34" s="6">
        <f>'Monthly Data'!AJ34</f>
        <v>148.1</v>
      </c>
      <c r="G34" s="6">
        <f>'Monthly Data'!AL34</f>
        <v>30</v>
      </c>
      <c r="H34" s="6">
        <f>'Monthly Data'!BC34</f>
        <v>0</v>
      </c>
      <c r="I34" s="6">
        <f>'Monthly Data'!AQ34</f>
        <v>0</v>
      </c>
      <c r="J34" s="6">
        <f>'Monthly Data'!AZ34</f>
        <v>0</v>
      </c>
      <c r="L34" s="20">
        <f>'GS &lt; 50 OLS model'!$B$5</f>
        <v>-1088732.49289844</v>
      </c>
      <c r="M34" s="20">
        <f ca="1">'GS &lt; 50 OLS model'!$B$6*D34</f>
        <v>33690.609730375261</v>
      </c>
      <c r="N34" s="20">
        <f ca="1">'GS &lt; 50 OLS model'!$B$7*E34</f>
        <v>516771.30453933694</v>
      </c>
      <c r="O34" s="20">
        <f>'GS &lt; 50 OLS model'!$B$8*F34</f>
        <v>1689409.4951143153</v>
      </c>
      <c r="P34" s="20">
        <f>'GS &lt; 50 OLS model'!$B$9*G34</f>
        <v>4486051.0000674604</v>
      </c>
      <c r="Q34" s="20">
        <f>'GS &lt; 50 OLS model'!$B$10*H34</f>
        <v>0</v>
      </c>
      <c r="R34" s="20">
        <f>'GS &lt; 50 OLS model'!$B$11*I34</f>
        <v>0</v>
      </c>
      <c r="S34" s="20">
        <f>'GS &lt; 50 OLS model'!$B$12*J34</f>
        <v>0</v>
      </c>
      <c r="T34" s="20">
        <f t="shared" ref="T34:T65" ca="1" si="5">SUM(L34:S34)</f>
        <v>5637189.9165530484</v>
      </c>
    </row>
    <row r="35" spans="1:20" ht="14.4" x14ac:dyDescent="0.3">
      <c r="A35" s="22">
        <f>'Monthly Data'!A35</f>
        <v>40817</v>
      </c>
      <c r="B35" s="6">
        <f t="shared" si="2"/>
        <v>2011</v>
      </c>
      <c r="C35" s="20">
        <f ca="1">'Monthly Data'!J35</f>
        <v>5113557.1313079717</v>
      </c>
      <c r="D35" s="6">
        <f t="shared" ca="1" si="4"/>
        <v>176.42</v>
      </c>
      <c r="E35" s="6">
        <f t="shared" ca="1" si="4"/>
        <v>10.18</v>
      </c>
      <c r="F35" s="6">
        <f>'Monthly Data'!AJ35</f>
        <v>149.1</v>
      </c>
      <c r="G35" s="6">
        <f>'Monthly Data'!AL35</f>
        <v>31</v>
      </c>
      <c r="H35" s="6">
        <f>'Monthly Data'!BC35</f>
        <v>1</v>
      </c>
      <c r="I35" s="6">
        <f>'Monthly Data'!AQ35</f>
        <v>0</v>
      </c>
      <c r="J35" s="6">
        <f>'Monthly Data'!AZ35</f>
        <v>0</v>
      </c>
      <c r="L35" s="20">
        <f>'GS &lt; 50 OLS model'!$B$5</f>
        <v>-1088732.49289844</v>
      </c>
      <c r="M35" s="20">
        <f ca="1">'GS &lt; 50 OLS model'!$B$6*D35</f>
        <v>181875.68447468797</v>
      </c>
      <c r="N35" s="20">
        <f ca="1">'GS &lt; 50 OLS model'!$B$7*E35</f>
        <v>78121.946543071725</v>
      </c>
      <c r="O35" s="20">
        <f>'GS &lt; 50 OLS model'!$B$8*F35</f>
        <v>1700816.7165533046</v>
      </c>
      <c r="P35" s="20">
        <f>'GS &lt; 50 OLS model'!$B$9*G35</f>
        <v>4635586.0334030418</v>
      </c>
      <c r="Q35" s="20">
        <f>'GS &lt; 50 OLS model'!$B$10*H35</f>
        <v>-268302.989268562</v>
      </c>
      <c r="R35" s="20">
        <f>'GS &lt; 50 OLS model'!$B$11*I35</f>
        <v>0</v>
      </c>
      <c r="S35" s="20">
        <f>'GS &lt; 50 OLS model'!$B$12*J35</f>
        <v>0</v>
      </c>
      <c r="T35" s="20">
        <f t="shared" ca="1" si="5"/>
        <v>5239364.8988071047</v>
      </c>
    </row>
    <row r="36" spans="1:20" ht="14.4" x14ac:dyDescent="0.3">
      <c r="A36" s="22">
        <f>'Monthly Data'!A36</f>
        <v>40848</v>
      </c>
      <c r="B36" s="6">
        <f t="shared" si="2"/>
        <v>2011</v>
      </c>
      <c r="C36" s="20">
        <f ca="1">'Monthly Data'!J36</f>
        <v>5112407.7414213624</v>
      </c>
      <c r="D36" s="6">
        <f t="shared" ca="1" si="4"/>
        <v>364.2299999999999</v>
      </c>
      <c r="E36" s="6">
        <f t="shared" ca="1" si="4"/>
        <v>0.05</v>
      </c>
      <c r="F36" s="6">
        <f>'Monthly Data'!AJ36</f>
        <v>150.80000000000001</v>
      </c>
      <c r="G36" s="6">
        <f>'Monthly Data'!AL36</f>
        <v>30</v>
      </c>
      <c r="H36" s="6">
        <f>'Monthly Data'!BC36</f>
        <v>1</v>
      </c>
      <c r="I36" s="6">
        <f>'Monthly Data'!AQ36</f>
        <v>0</v>
      </c>
      <c r="J36" s="6">
        <f>'Monthly Data'!AZ36</f>
        <v>0</v>
      </c>
      <c r="L36" s="20">
        <f>'GS &lt; 50 OLS model'!$B$5</f>
        <v>-1088732.49289844</v>
      </c>
      <c r="M36" s="20">
        <f ca="1">'GS &lt; 50 OLS model'!$B$6*D36</f>
        <v>375493.59798331017</v>
      </c>
      <c r="N36" s="20">
        <f ca="1">'GS &lt; 50 OLS model'!$B$7*E36</f>
        <v>383.70307732353501</v>
      </c>
      <c r="O36" s="20">
        <f>'GS &lt; 50 OLS model'!$B$8*F36</f>
        <v>1720208.9929995865</v>
      </c>
      <c r="P36" s="20">
        <f>'GS &lt; 50 OLS model'!$B$9*G36</f>
        <v>4486051.0000674604</v>
      </c>
      <c r="Q36" s="20">
        <f>'GS &lt; 50 OLS model'!$B$10*H36</f>
        <v>-268302.989268562</v>
      </c>
      <c r="R36" s="20">
        <f>'GS &lt; 50 OLS model'!$B$11*I36</f>
        <v>0</v>
      </c>
      <c r="S36" s="20">
        <f>'GS &lt; 50 OLS model'!$B$12*J36</f>
        <v>0</v>
      </c>
      <c r="T36" s="20">
        <f t="shared" ca="1" si="5"/>
        <v>5225101.8119606785</v>
      </c>
    </row>
    <row r="37" spans="1:20" ht="14.4" x14ac:dyDescent="0.3">
      <c r="A37" s="22">
        <f>'Monthly Data'!A37</f>
        <v>40878</v>
      </c>
      <c r="B37" s="6">
        <f t="shared" si="2"/>
        <v>2011</v>
      </c>
      <c r="C37" s="20">
        <f ca="1">'Monthly Data'!J37</f>
        <v>5620143.3445212664</v>
      </c>
      <c r="D37" s="6">
        <f t="shared" ca="1" si="4"/>
        <v>552.31000000000006</v>
      </c>
      <c r="E37" s="6">
        <f t="shared" ca="1" si="4"/>
        <v>0</v>
      </c>
      <c r="F37" s="6">
        <f>'Monthly Data'!AJ37</f>
        <v>152.1</v>
      </c>
      <c r="G37" s="6">
        <f>'Monthly Data'!AL37</f>
        <v>31</v>
      </c>
      <c r="H37" s="6">
        <f>'Monthly Data'!BC37</f>
        <v>0</v>
      </c>
      <c r="I37" s="6">
        <f>'Monthly Data'!AQ37</f>
        <v>0</v>
      </c>
      <c r="J37" s="6">
        <f>'Monthly Data'!AZ37</f>
        <v>1</v>
      </c>
      <c r="L37" s="20">
        <f>'GS &lt; 50 OLS model'!$B$5</f>
        <v>-1088732.49289844</v>
      </c>
      <c r="M37" s="20">
        <f ca="1">'GS &lt; 50 OLS model'!$B$6*D37</f>
        <v>569389.86108272825</v>
      </c>
      <c r="N37" s="20">
        <f ca="1">'GS &lt; 50 OLS model'!$B$7*E37</f>
        <v>0</v>
      </c>
      <c r="O37" s="20">
        <f>'GS &lt; 50 OLS model'!$B$8*F37</f>
        <v>1735038.3808702724</v>
      </c>
      <c r="P37" s="20">
        <f>'GS &lt; 50 OLS model'!$B$9*G37</f>
        <v>4635586.0334030418</v>
      </c>
      <c r="Q37" s="20">
        <f>'GS &lt; 50 OLS model'!$B$10*H37</f>
        <v>0</v>
      </c>
      <c r="R37" s="20">
        <f>'GS &lt; 50 OLS model'!$B$11*I37</f>
        <v>0</v>
      </c>
      <c r="S37" s="20">
        <f>'GS &lt; 50 OLS model'!$B$12*J37</f>
        <v>-197900.76217015099</v>
      </c>
      <c r="T37" s="20">
        <f t="shared" ca="1" si="5"/>
        <v>5653381.0202874513</v>
      </c>
    </row>
    <row r="38" spans="1:20" ht="14.4" x14ac:dyDescent="0.3">
      <c r="A38" s="22">
        <f>'Monthly Data'!A38</f>
        <v>40909</v>
      </c>
      <c r="B38" s="6">
        <f t="shared" si="2"/>
        <v>2012</v>
      </c>
      <c r="C38" s="20">
        <f ca="1">'Monthly Data'!J38</f>
        <v>5678473.7393108159</v>
      </c>
      <c r="D38" s="6">
        <f t="shared" ca="1" si="4"/>
        <v>661.18999999999994</v>
      </c>
      <c r="E38" s="6">
        <f t="shared" ca="1" si="4"/>
        <v>0</v>
      </c>
      <c r="F38" s="6">
        <f>'Monthly Data'!AJ38</f>
        <v>149.5</v>
      </c>
      <c r="G38" s="6">
        <f>'Monthly Data'!AL38</f>
        <v>31</v>
      </c>
      <c r="H38" s="6">
        <f>'Monthly Data'!BC38</f>
        <v>0</v>
      </c>
      <c r="I38" s="6">
        <f>'Monthly Data'!AQ38</f>
        <v>0</v>
      </c>
      <c r="J38" s="6">
        <f>'Monthly Data'!AZ38</f>
        <v>0</v>
      </c>
      <c r="L38" s="20">
        <f>'GS &lt; 50 OLS model'!$B$5</f>
        <v>-1088732.49289844</v>
      </c>
      <c r="M38" s="20">
        <f ca="1">'GS &lt; 50 OLS model'!$B$6*D38</f>
        <v>681636.91088209348</v>
      </c>
      <c r="N38" s="20">
        <f ca="1">'GS &lt; 50 OLS model'!$B$7*E38</f>
        <v>0</v>
      </c>
      <c r="O38" s="20">
        <f>'GS &lt; 50 OLS model'!$B$8*F38</f>
        <v>1705379.6051289004</v>
      </c>
      <c r="P38" s="20">
        <f>'GS &lt; 50 OLS model'!$B$9*G38</f>
        <v>4635586.0334030418</v>
      </c>
      <c r="Q38" s="20">
        <f>'GS &lt; 50 OLS model'!$B$10*H38</f>
        <v>0</v>
      </c>
      <c r="R38" s="20">
        <f>'GS &lt; 50 OLS model'!$B$11*I38</f>
        <v>0</v>
      </c>
      <c r="S38" s="20">
        <f>'GS &lt; 50 OLS model'!$B$12*J38</f>
        <v>0</v>
      </c>
      <c r="T38" s="20">
        <f t="shared" ca="1" si="5"/>
        <v>5933870.0565155959</v>
      </c>
    </row>
    <row r="39" spans="1:20" ht="14.4" x14ac:dyDescent="0.3">
      <c r="A39" s="22">
        <f>'Monthly Data'!A39</f>
        <v>40940</v>
      </c>
      <c r="B39" s="6">
        <f t="shared" si="2"/>
        <v>2012</v>
      </c>
      <c r="C39" s="20">
        <f ca="1">'Monthly Data'!J39</f>
        <v>5379271.6074002506</v>
      </c>
      <c r="D39" s="6">
        <f t="shared" ca="1" si="4"/>
        <v>598.16999999999985</v>
      </c>
      <c r="E39" s="6">
        <f t="shared" ca="1" si="4"/>
        <v>0</v>
      </c>
      <c r="F39" s="6">
        <f>'Monthly Data'!AJ39</f>
        <v>148.4</v>
      </c>
      <c r="G39" s="6">
        <f>'Monthly Data'!AL39</f>
        <v>29</v>
      </c>
      <c r="H39" s="6">
        <f>'Monthly Data'!BC39</f>
        <v>0</v>
      </c>
      <c r="I39" s="6">
        <f>'Monthly Data'!AQ39</f>
        <v>0</v>
      </c>
      <c r="J39" s="6">
        <f>'Monthly Data'!AZ39</f>
        <v>0</v>
      </c>
      <c r="L39" s="20">
        <f>'GS &lt; 50 OLS model'!$B$5</f>
        <v>-1088732.49289844</v>
      </c>
      <c r="M39" s="20">
        <f ca="1">'GS &lt; 50 OLS model'!$B$6*D39</f>
        <v>616668.05454157165</v>
      </c>
      <c r="N39" s="20">
        <f ca="1">'GS &lt; 50 OLS model'!$B$7*E39</f>
        <v>0</v>
      </c>
      <c r="O39" s="20">
        <f>'GS &lt; 50 OLS model'!$B$8*F39</f>
        <v>1692831.6615460122</v>
      </c>
      <c r="P39" s="20">
        <f>'GS &lt; 50 OLS model'!$B$9*G39</f>
        <v>4336515.966731878</v>
      </c>
      <c r="Q39" s="20">
        <f>'GS &lt; 50 OLS model'!$B$10*H39</f>
        <v>0</v>
      </c>
      <c r="R39" s="20">
        <f>'GS &lt; 50 OLS model'!$B$11*I39</f>
        <v>0</v>
      </c>
      <c r="S39" s="20">
        <f>'GS &lt; 50 OLS model'!$B$12*J39</f>
        <v>0</v>
      </c>
      <c r="T39" s="20">
        <f t="shared" ca="1" si="5"/>
        <v>5557283.1899210215</v>
      </c>
    </row>
    <row r="40" spans="1:20" ht="14.4" x14ac:dyDescent="0.3">
      <c r="A40" s="22">
        <f>'Monthly Data'!A40</f>
        <v>40969</v>
      </c>
      <c r="B40" s="6">
        <f t="shared" si="2"/>
        <v>2012</v>
      </c>
      <c r="C40" s="20">
        <f ca="1">'Monthly Data'!J40</f>
        <v>5431638.8336107414</v>
      </c>
      <c r="D40" s="6">
        <f t="shared" ca="1" si="4"/>
        <v>451.34</v>
      </c>
      <c r="E40" s="6">
        <f t="shared" ca="1" si="4"/>
        <v>0.88000000000000012</v>
      </c>
      <c r="F40" s="6">
        <f>'Monthly Data'!AJ40</f>
        <v>148.5</v>
      </c>
      <c r="G40" s="6">
        <f>'Monthly Data'!AL40</f>
        <v>31</v>
      </c>
      <c r="H40" s="6">
        <f>'Monthly Data'!BC40</f>
        <v>1</v>
      </c>
      <c r="I40" s="6">
        <f>'Monthly Data'!AQ40</f>
        <v>1</v>
      </c>
      <c r="J40" s="6">
        <f>'Monthly Data'!AZ40</f>
        <v>0</v>
      </c>
      <c r="L40" s="20">
        <f>'GS &lt; 50 OLS model'!$B$5</f>
        <v>-1088732.49289844</v>
      </c>
      <c r="M40" s="20">
        <f ca="1">'GS &lt; 50 OLS model'!$B$6*D40</f>
        <v>465297.42336926464</v>
      </c>
      <c r="N40" s="20">
        <f ca="1">'GS &lt; 50 OLS model'!$B$7*E40</f>
        <v>6753.1741608942166</v>
      </c>
      <c r="O40" s="20">
        <f>'GS &lt; 50 OLS model'!$B$8*F40</f>
        <v>1693972.3836899111</v>
      </c>
      <c r="P40" s="20">
        <f>'GS &lt; 50 OLS model'!$B$9*G40</f>
        <v>4635586.0334030418</v>
      </c>
      <c r="Q40" s="20">
        <f>'GS &lt; 50 OLS model'!$B$10*H40</f>
        <v>-268302.989268562</v>
      </c>
      <c r="R40" s="20">
        <f>'GS &lt; 50 OLS model'!$B$11*I40</f>
        <v>178696.970766832</v>
      </c>
      <c r="S40" s="20">
        <f>'GS &lt; 50 OLS model'!$B$12*J40</f>
        <v>0</v>
      </c>
      <c r="T40" s="20">
        <f t="shared" ca="1" si="5"/>
        <v>5623270.5032229424</v>
      </c>
    </row>
    <row r="41" spans="1:20" ht="14.4" x14ac:dyDescent="0.3">
      <c r="A41" s="22">
        <f>'Monthly Data'!A41</f>
        <v>41000</v>
      </c>
      <c r="B41" s="6">
        <f t="shared" si="2"/>
        <v>2012</v>
      </c>
      <c r="C41" s="20">
        <f ca="1">'Monthly Data'!J41</f>
        <v>4996283.2985174851</v>
      </c>
      <c r="D41" s="6">
        <f t="shared" ca="1" si="4"/>
        <v>259.5499999999999</v>
      </c>
      <c r="E41" s="6">
        <f t="shared" ca="1" si="4"/>
        <v>2.4500000000000002</v>
      </c>
      <c r="F41" s="6">
        <f>'Monthly Data'!AJ41</f>
        <v>150.6</v>
      </c>
      <c r="G41" s="6">
        <f>'Monthly Data'!AL41</f>
        <v>30</v>
      </c>
      <c r="H41" s="6">
        <f>'Monthly Data'!BC41</f>
        <v>1</v>
      </c>
      <c r="I41" s="6">
        <f>'Monthly Data'!AQ41</f>
        <v>0</v>
      </c>
      <c r="J41" s="6">
        <f>'Monthly Data'!AZ41</f>
        <v>0</v>
      </c>
      <c r="L41" s="20">
        <f>'GS &lt; 50 OLS model'!$B$5</f>
        <v>-1088732.49289844</v>
      </c>
      <c r="M41" s="20">
        <f ca="1">'GS &lt; 50 OLS model'!$B$6*D41</f>
        <v>267576.4307074325</v>
      </c>
      <c r="N41" s="20">
        <f ca="1">'GS &lt; 50 OLS model'!$B$7*E41</f>
        <v>18801.450788853217</v>
      </c>
      <c r="O41" s="20">
        <f>'GS &lt; 50 OLS model'!$B$8*F41</f>
        <v>1717927.5487117884</v>
      </c>
      <c r="P41" s="20">
        <f>'GS &lt; 50 OLS model'!$B$9*G41</f>
        <v>4486051.0000674604</v>
      </c>
      <c r="Q41" s="20">
        <f>'GS &lt; 50 OLS model'!$B$10*H41</f>
        <v>-268302.989268562</v>
      </c>
      <c r="R41" s="20">
        <f>'GS &lt; 50 OLS model'!$B$11*I41</f>
        <v>0</v>
      </c>
      <c r="S41" s="20">
        <f>'GS &lt; 50 OLS model'!$B$12*J41</f>
        <v>0</v>
      </c>
      <c r="T41" s="20">
        <f t="shared" ca="1" si="5"/>
        <v>5133320.9481085325</v>
      </c>
    </row>
    <row r="42" spans="1:20" ht="14.4" x14ac:dyDescent="0.3">
      <c r="A42" s="22">
        <f>'Monthly Data'!A42</f>
        <v>41030</v>
      </c>
      <c r="B42" s="6">
        <f t="shared" si="2"/>
        <v>2012</v>
      </c>
      <c r="C42" s="20">
        <f ca="1">'Monthly Data'!J42</f>
        <v>5646499.9793941975</v>
      </c>
      <c r="D42" s="6">
        <f t="shared" ca="1" si="4"/>
        <v>88.880000000000024</v>
      </c>
      <c r="E42" s="6">
        <f t="shared" ca="1" si="4"/>
        <v>43.79999999999999</v>
      </c>
      <c r="F42" s="6">
        <f>'Monthly Data'!AJ42</f>
        <v>151.1</v>
      </c>
      <c r="G42" s="6">
        <f>'Monthly Data'!AL42</f>
        <v>31</v>
      </c>
      <c r="H42" s="6">
        <f>'Monthly Data'!BC42</f>
        <v>1</v>
      </c>
      <c r="I42" s="6">
        <f>'Monthly Data'!AQ42</f>
        <v>0</v>
      </c>
      <c r="J42" s="6">
        <f>'Monthly Data'!AZ42</f>
        <v>0</v>
      </c>
      <c r="L42" s="20">
        <f>'GS &lt; 50 OLS model'!$B$5</f>
        <v>-1088732.49289844</v>
      </c>
      <c r="M42" s="20">
        <f ca="1">'GS &lt; 50 OLS model'!$B$6*D42</f>
        <v>91628.56159228133</v>
      </c>
      <c r="N42" s="20">
        <f ca="1">'GS &lt; 50 OLS model'!$B$7*E42</f>
        <v>336123.89573541656</v>
      </c>
      <c r="O42" s="20">
        <f>'GS &lt; 50 OLS model'!$B$8*F42</f>
        <v>1723631.1594312831</v>
      </c>
      <c r="P42" s="20">
        <f>'GS &lt; 50 OLS model'!$B$9*G42</f>
        <v>4635586.0334030418</v>
      </c>
      <c r="Q42" s="20">
        <f>'GS &lt; 50 OLS model'!$B$10*H42</f>
        <v>-268302.989268562</v>
      </c>
      <c r="R42" s="20">
        <f>'GS &lt; 50 OLS model'!$B$11*I42</f>
        <v>0</v>
      </c>
      <c r="S42" s="20">
        <f>'GS &lt; 50 OLS model'!$B$12*J42</f>
        <v>0</v>
      </c>
      <c r="T42" s="20">
        <f t="shared" ca="1" si="5"/>
        <v>5429934.1679950207</v>
      </c>
    </row>
    <row r="43" spans="1:20" ht="14.4" x14ac:dyDescent="0.3">
      <c r="A43" s="22">
        <f>'Monthly Data'!A43</f>
        <v>41061</v>
      </c>
      <c r="B43" s="6">
        <f t="shared" si="2"/>
        <v>2012</v>
      </c>
      <c r="C43" s="20">
        <f ca="1">'Monthly Data'!J43</f>
        <v>6382835.9578270745</v>
      </c>
      <c r="D43" s="6">
        <f t="shared" ca="1" si="4"/>
        <v>9.77</v>
      </c>
      <c r="E43" s="6">
        <f t="shared" ca="1" si="4"/>
        <v>117.38999999999999</v>
      </c>
      <c r="F43" s="6">
        <f>'Monthly Data'!AJ43</f>
        <v>152.19999999999999</v>
      </c>
      <c r="G43" s="6">
        <f>'Monthly Data'!AL43</f>
        <v>30</v>
      </c>
      <c r="H43" s="6">
        <f>'Monthly Data'!BC43</f>
        <v>0</v>
      </c>
      <c r="I43" s="6">
        <f>'Monthly Data'!AQ43</f>
        <v>0</v>
      </c>
      <c r="J43" s="6">
        <f>'Monthly Data'!AZ43</f>
        <v>0</v>
      </c>
      <c r="L43" s="20">
        <f>'GS &lt; 50 OLS model'!$B$5</f>
        <v>-1088732.49289844</v>
      </c>
      <c r="M43" s="20">
        <f ca="1">'GS &lt; 50 OLS model'!$B$6*D43</f>
        <v>10072.131489160534</v>
      </c>
      <c r="N43" s="20">
        <f ca="1">'GS &lt; 50 OLS model'!$B$7*E43</f>
        <v>900858.08494019532</v>
      </c>
      <c r="O43" s="20">
        <f>'GS &lt; 50 OLS model'!$B$8*F43</f>
        <v>1736179.1030141714</v>
      </c>
      <c r="P43" s="20">
        <f>'GS &lt; 50 OLS model'!$B$9*G43</f>
        <v>4486051.0000674604</v>
      </c>
      <c r="Q43" s="20">
        <f>'GS &lt; 50 OLS model'!$B$10*H43</f>
        <v>0</v>
      </c>
      <c r="R43" s="20">
        <f>'GS &lt; 50 OLS model'!$B$11*I43</f>
        <v>0</v>
      </c>
      <c r="S43" s="20">
        <f>'GS &lt; 50 OLS model'!$B$12*J43</f>
        <v>0</v>
      </c>
      <c r="T43" s="20">
        <f t="shared" ca="1" si="5"/>
        <v>6044427.826612547</v>
      </c>
    </row>
    <row r="44" spans="1:20" ht="14.4" x14ac:dyDescent="0.3">
      <c r="A44" s="22">
        <f>'Monthly Data'!A44</f>
        <v>41091</v>
      </c>
      <c r="B44" s="6">
        <f t="shared" si="2"/>
        <v>2012</v>
      </c>
      <c r="C44" s="20">
        <f ca="1">'Monthly Data'!J44</f>
        <v>7118049.1198525634</v>
      </c>
      <c r="D44" s="6">
        <f t="shared" ca="1" si="4"/>
        <v>0.58000000000000007</v>
      </c>
      <c r="E44" s="6">
        <f t="shared" ca="1" si="4"/>
        <v>179.70999999999998</v>
      </c>
      <c r="F44" s="6">
        <f>'Monthly Data'!AJ44</f>
        <v>153.4</v>
      </c>
      <c r="G44" s="6">
        <f>'Monthly Data'!AL44</f>
        <v>31</v>
      </c>
      <c r="H44" s="6">
        <f>'Monthly Data'!BC44</f>
        <v>0</v>
      </c>
      <c r="I44" s="6">
        <f>'Monthly Data'!AQ44</f>
        <v>0</v>
      </c>
      <c r="J44" s="6">
        <f>'Monthly Data'!AZ44</f>
        <v>0</v>
      </c>
      <c r="L44" s="20">
        <f>'GS &lt; 50 OLS model'!$B$5</f>
        <v>-1088732.49289844</v>
      </c>
      <c r="M44" s="20">
        <f ca="1">'GS &lt; 50 OLS model'!$B$6*D44</f>
        <v>597.93615800543614</v>
      </c>
      <c r="N44" s="20">
        <f ca="1">'GS &lt; 50 OLS model'!$B$7*E44</f>
        <v>1379105.6005162492</v>
      </c>
      <c r="O44" s="20">
        <f>'GS &lt; 50 OLS model'!$B$8*F44</f>
        <v>1749867.7687409585</v>
      </c>
      <c r="P44" s="20">
        <f>'GS &lt; 50 OLS model'!$B$9*G44</f>
        <v>4635586.0334030418</v>
      </c>
      <c r="Q44" s="20">
        <f>'GS &lt; 50 OLS model'!$B$10*H44</f>
        <v>0</v>
      </c>
      <c r="R44" s="20">
        <f>'GS &lt; 50 OLS model'!$B$11*I44</f>
        <v>0</v>
      </c>
      <c r="S44" s="20">
        <f>'GS &lt; 50 OLS model'!$B$12*J44</f>
        <v>0</v>
      </c>
      <c r="T44" s="20">
        <f t="shared" ca="1" si="5"/>
        <v>6676424.8459198149</v>
      </c>
    </row>
    <row r="45" spans="1:20" ht="14.4" x14ac:dyDescent="0.3">
      <c r="A45" s="22">
        <f>'Monthly Data'!A45</f>
        <v>41122</v>
      </c>
      <c r="B45" s="6">
        <f t="shared" si="2"/>
        <v>2012</v>
      </c>
      <c r="C45" s="20">
        <f ca="1">'Monthly Data'!J45</f>
        <v>6559336.0869305413</v>
      </c>
      <c r="D45" s="6">
        <f t="shared" ca="1" si="4"/>
        <v>1.7099999999999997</v>
      </c>
      <c r="E45" s="6">
        <f t="shared" ca="1" si="4"/>
        <v>158.1</v>
      </c>
      <c r="F45" s="6">
        <f>'Monthly Data'!AJ45</f>
        <v>155</v>
      </c>
      <c r="G45" s="6">
        <f>'Monthly Data'!AL45</f>
        <v>31</v>
      </c>
      <c r="H45" s="6">
        <f>'Monthly Data'!BC45</f>
        <v>0</v>
      </c>
      <c r="I45" s="6">
        <f>'Monthly Data'!AQ45</f>
        <v>0</v>
      </c>
      <c r="J45" s="6">
        <f>'Monthly Data'!AZ45</f>
        <v>0</v>
      </c>
      <c r="L45" s="20">
        <f>'GS &lt; 50 OLS model'!$B$5</f>
        <v>-1088732.49289844</v>
      </c>
      <c r="M45" s="20">
        <f ca="1">'GS &lt; 50 OLS model'!$B$6*D45</f>
        <v>1762.8807417056819</v>
      </c>
      <c r="N45" s="20">
        <f ca="1">'GS &lt; 50 OLS model'!$B$7*E45</f>
        <v>1213269.1304970176</v>
      </c>
      <c r="O45" s="20">
        <f>'GS &lt; 50 OLS model'!$B$8*F45</f>
        <v>1768119.3230433415</v>
      </c>
      <c r="P45" s="20">
        <f>'GS &lt; 50 OLS model'!$B$9*G45</f>
        <v>4635586.0334030418</v>
      </c>
      <c r="Q45" s="20">
        <f>'GS &lt; 50 OLS model'!$B$10*H45</f>
        <v>0</v>
      </c>
      <c r="R45" s="20">
        <f>'GS &lt; 50 OLS model'!$B$11*I45</f>
        <v>0</v>
      </c>
      <c r="S45" s="20">
        <f>'GS &lt; 50 OLS model'!$B$12*J45</f>
        <v>0</v>
      </c>
      <c r="T45" s="20">
        <f t="shared" ca="1" si="5"/>
        <v>6530004.8747866666</v>
      </c>
    </row>
    <row r="46" spans="1:20" ht="14.4" x14ac:dyDescent="0.3">
      <c r="A46" s="22">
        <f>'Monthly Data'!A46</f>
        <v>41153</v>
      </c>
      <c r="B46" s="6">
        <f t="shared" si="2"/>
        <v>2012</v>
      </c>
      <c r="C46" s="20">
        <f ca="1">'Monthly Data'!J46</f>
        <v>5578962.0305964015</v>
      </c>
      <c r="D46" s="6">
        <f t="shared" ref="D46:E61" ca="1" si="6">D34</f>
        <v>32.68</v>
      </c>
      <c r="E46" s="6">
        <f t="shared" ca="1" si="6"/>
        <v>67.34</v>
      </c>
      <c r="F46" s="6">
        <f>'Monthly Data'!AJ46</f>
        <v>156.9</v>
      </c>
      <c r="G46" s="6">
        <f>'Monthly Data'!AL46</f>
        <v>30</v>
      </c>
      <c r="H46" s="6">
        <f>'Monthly Data'!BC46</f>
        <v>0</v>
      </c>
      <c r="I46" s="6">
        <f>'Monthly Data'!AQ46</f>
        <v>0</v>
      </c>
      <c r="J46" s="6">
        <f>'Monthly Data'!AZ46</f>
        <v>0</v>
      </c>
      <c r="L46" s="20">
        <f>'GS &lt; 50 OLS model'!$B$5</f>
        <v>-1088732.49289844</v>
      </c>
      <c r="M46" s="20">
        <f ca="1">'GS &lt; 50 OLS model'!$B$6*D46</f>
        <v>33690.609730375261</v>
      </c>
      <c r="N46" s="20">
        <f ca="1">'GS &lt; 50 OLS model'!$B$7*E46</f>
        <v>516771.30453933694</v>
      </c>
      <c r="O46" s="20">
        <f>'GS &lt; 50 OLS model'!$B$8*F46</f>
        <v>1789793.0437774211</v>
      </c>
      <c r="P46" s="20">
        <f>'GS &lt; 50 OLS model'!$B$9*G46</f>
        <v>4486051.0000674604</v>
      </c>
      <c r="Q46" s="20">
        <f>'GS &lt; 50 OLS model'!$B$10*H46</f>
        <v>0</v>
      </c>
      <c r="R46" s="20">
        <f>'GS &lt; 50 OLS model'!$B$11*I46</f>
        <v>0</v>
      </c>
      <c r="S46" s="20">
        <f>'GS &lt; 50 OLS model'!$B$12*J46</f>
        <v>0</v>
      </c>
      <c r="T46" s="20">
        <f t="shared" ca="1" si="5"/>
        <v>5737573.4652161542</v>
      </c>
    </row>
    <row r="47" spans="1:20" ht="14.4" x14ac:dyDescent="0.3">
      <c r="A47" s="22">
        <f>'Monthly Data'!A47</f>
        <v>41183</v>
      </c>
      <c r="B47" s="6">
        <f t="shared" si="2"/>
        <v>2012</v>
      </c>
      <c r="C47" s="20">
        <f ca="1">'Monthly Data'!J47</f>
        <v>5153415.156241239</v>
      </c>
      <c r="D47" s="6">
        <f t="shared" ca="1" si="6"/>
        <v>176.42</v>
      </c>
      <c r="E47" s="6">
        <f t="shared" ca="1" si="6"/>
        <v>10.18</v>
      </c>
      <c r="F47" s="6">
        <f>'Monthly Data'!AJ47</f>
        <v>157.5</v>
      </c>
      <c r="G47" s="6">
        <f>'Monthly Data'!AL47</f>
        <v>31</v>
      </c>
      <c r="H47" s="6">
        <f>'Monthly Data'!BC47</f>
        <v>1</v>
      </c>
      <c r="I47" s="6">
        <f>'Monthly Data'!AQ47</f>
        <v>0</v>
      </c>
      <c r="J47" s="6">
        <f>'Monthly Data'!AZ47</f>
        <v>0</v>
      </c>
      <c r="L47" s="20">
        <f>'GS &lt; 50 OLS model'!$B$5</f>
        <v>-1088732.49289844</v>
      </c>
      <c r="M47" s="20">
        <f ca="1">'GS &lt; 50 OLS model'!$B$6*D47</f>
        <v>181875.68447468797</v>
      </c>
      <c r="N47" s="20">
        <f ca="1">'GS &lt; 50 OLS model'!$B$7*E47</f>
        <v>78121.946543071725</v>
      </c>
      <c r="O47" s="20">
        <f>'GS &lt; 50 OLS model'!$B$8*F47</f>
        <v>1796637.3766408146</v>
      </c>
      <c r="P47" s="20">
        <f>'GS &lt; 50 OLS model'!$B$9*G47</f>
        <v>4635586.0334030418</v>
      </c>
      <c r="Q47" s="20">
        <f>'GS &lt; 50 OLS model'!$B$10*H47</f>
        <v>-268302.989268562</v>
      </c>
      <c r="R47" s="20">
        <f>'GS &lt; 50 OLS model'!$B$11*I47</f>
        <v>0</v>
      </c>
      <c r="S47" s="20">
        <f>'GS &lt; 50 OLS model'!$B$12*J47</f>
        <v>0</v>
      </c>
      <c r="T47" s="20">
        <f t="shared" ca="1" si="5"/>
        <v>5335185.5588946147</v>
      </c>
    </row>
    <row r="48" spans="1:20" ht="14.4" x14ac:dyDescent="0.3">
      <c r="A48" s="22">
        <f>'Monthly Data'!A48</f>
        <v>41214</v>
      </c>
      <c r="B48" s="6">
        <f t="shared" si="2"/>
        <v>2012</v>
      </c>
      <c r="C48" s="20">
        <f ca="1">'Monthly Data'!J48</f>
        <v>5140839.870752953</v>
      </c>
      <c r="D48" s="6">
        <f t="shared" ca="1" si="6"/>
        <v>364.2299999999999</v>
      </c>
      <c r="E48" s="6">
        <f t="shared" ca="1" si="6"/>
        <v>0.05</v>
      </c>
      <c r="F48" s="6">
        <f>'Monthly Data'!AJ48</f>
        <v>157.6</v>
      </c>
      <c r="G48" s="6">
        <f>'Monthly Data'!AL48</f>
        <v>30</v>
      </c>
      <c r="H48" s="6">
        <f>'Monthly Data'!BC48</f>
        <v>1</v>
      </c>
      <c r="I48" s="6">
        <f>'Monthly Data'!AQ48</f>
        <v>0</v>
      </c>
      <c r="J48" s="6">
        <f>'Monthly Data'!AZ48</f>
        <v>0</v>
      </c>
      <c r="L48" s="20">
        <f>'GS &lt; 50 OLS model'!$B$5</f>
        <v>-1088732.49289844</v>
      </c>
      <c r="M48" s="20">
        <f ca="1">'GS &lt; 50 OLS model'!$B$6*D48</f>
        <v>375493.59798331017</v>
      </c>
      <c r="N48" s="20">
        <f ca="1">'GS &lt; 50 OLS model'!$B$7*E48</f>
        <v>383.70307732353501</v>
      </c>
      <c r="O48" s="20">
        <f>'GS &lt; 50 OLS model'!$B$8*F48</f>
        <v>1797778.0987847135</v>
      </c>
      <c r="P48" s="20">
        <f>'GS &lt; 50 OLS model'!$B$9*G48</f>
        <v>4486051.0000674604</v>
      </c>
      <c r="Q48" s="20">
        <f>'GS &lt; 50 OLS model'!$B$10*H48</f>
        <v>-268302.989268562</v>
      </c>
      <c r="R48" s="20">
        <f>'GS &lt; 50 OLS model'!$B$11*I48</f>
        <v>0</v>
      </c>
      <c r="S48" s="20">
        <f>'GS &lt; 50 OLS model'!$B$12*J48</f>
        <v>0</v>
      </c>
      <c r="T48" s="20">
        <f t="shared" ca="1" si="5"/>
        <v>5302670.9177458063</v>
      </c>
    </row>
    <row r="49" spans="1:20" ht="14.4" x14ac:dyDescent="0.3">
      <c r="A49" s="22">
        <f>'Monthly Data'!A49</f>
        <v>41244</v>
      </c>
      <c r="B49" s="6">
        <f t="shared" si="2"/>
        <v>2012</v>
      </c>
      <c r="C49" s="20">
        <f ca="1">'Monthly Data'!J49</f>
        <v>5435911.5977635086</v>
      </c>
      <c r="D49" s="6">
        <f t="shared" ca="1" si="6"/>
        <v>552.31000000000006</v>
      </c>
      <c r="E49" s="6">
        <f t="shared" ca="1" si="6"/>
        <v>0</v>
      </c>
      <c r="F49" s="6">
        <f>'Monthly Data'!AJ49</f>
        <v>155.5</v>
      </c>
      <c r="G49" s="6">
        <f>'Monthly Data'!AL49</f>
        <v>31</v>
      </c>
      <c r="H49" s="6">
        <f>'Monthly Data'!BC49</f>
        <v>0</v>
      </c>
      <c r="I49" s="6">
        <f>'Monthly Data'!AQ49</f>
        <v>0</v>
      </c>
      <c r="J49" s="6">
        <f>'Monthly Data'!AZ49</f>
        <v>1</v>
      </c>
      <c r="L49" s="20">
        <f>'GS &lt; 50 OLS model'!$B$5</f>
        <v>-1088732.49289844</v>
      </c>
      <c r="M49" s="20">
        <f ca="1">'GS &lt; 50 OLS model'!$B$6*D49</f>
        <v>569389.86108272825</v>
      </c>
      <c r="N49" s="20">
        <f ca="1">'GS &lt; 50 OLS model'!$B$7*E49</f>
        <v>0</v>
      </c>
      <c r="O49" s="20">
        <f>'GS &lt; 50 OLS model'!$B$8*F49</f>
        <v>1773822.933762836</v>
      </c>
      <c r="P49" s="20">
        <f>'GS &lt; 50 OLS model'!$B$9*G49</f>
        <v>4635586.0334030418</v>
      </c>
      <c r="Q49" s="20">
        <f>'GS &lt; 50 OLS model'!$B$10*H49</f>
        <v>0</v>
      </c>
      <c r="R49" s="20">
        <f>'GS &lt; 50 OLS model'!$B$11*I49</f>
        <v>0</v>
      </c>
      <c r="S49" s="20">
        <f>'GS &lt; 50 OLS model'!$B$12*J49</f>
        <v>-197900.76217015099</v>
      </c>
      <c r="T49" s="20">
        <f t="shared" ca="1" si="5"/>
        <v>5692165.5731800152</v>
      </c>
    </row>
    <row r="50" spans="1:20" ht="14.4" x14ac:dyDescent="0.3">
      <c r="A50" s="22">
        <f>'Monthly Data'!A50</f>
        <v>41275</v>
      </c>
      <c r="B50" s="6">
        <f t="shared" si="2"/>
        <v>2013</v>
      </c>
      <c r="C50" s="20">
        <f ca="1">'Monthly Data'!J50</f>
        <v>5731939.4442237746</v>
      </c>
      <c r="D50" s="6">
        <f t="shared" ca="1" si="6"/>
        <v>661.18999999999994</v>
      </c>
      <c r="E50" s="6">
        <f t="shared" ca="1" si="6"/>
        <v>0</v>
      </c>
      <c r="F50" s="6">
        <f>'Monthly Data'!AJ50</f>
        <v>151.1</v>
      </c>
      <c r="G50" s="6">
        <f>'Monthly Data'!AL50</f>
        <v>31</v>
      </c>
      <c r="H50" s="6">
        <f>'Monthly Data'!BC50</f>
        <v>0</v>
      </c>
      <c r="I50" s="6">
        <f>'Monthly Data'!AQ50</f>
        <v>0</v>
      </c>
      <c r="J50" s="6">
        <f>'Monthly Data'!AZ50</f>
        <v>0</v>
      </c>
      <c r="L50" s="20">
        <f>'GS &lt; 50 OLS model'!$B$5</f>
        <v>-1088732.49289844</v>
      </c>
      <c r="M50" s="20">
        <f ca="1">'GS &lt; 50 OLS model'!$B$6*D50</f>
        <v>681636.91088209348</v>
      </c>
      <c r="N50" s="20">
        <f ca="1">'GS &lt; 50 OLS model'!$B$7*E50</f>
        <v>0</v>
      </c>
      <c r="O50" s="20">
        <f>'GS &lt; 50 OLS model'!$B$8*F50</f>
        <v>1723631.1594312831</v>
      </c>
      <c r="P50" s="20">
        <f>'GS &lt; 50 OLS model'!$B$9*G50</f>
        <v>4635586.0334030418</v>
      </c>
      <c r="Q50" s="20">
        <f>'GS &lt; 50 OLS model'!$B$10*H50</f>
        <v>0</v>
      </c>
      <c r="R50" s="20">
        <f>'GS &lt; 50 OLS model'!$B$11*I50</f>
        <v>0</v>
      </c>
      <c r="S50" s="20">
        <f>'GS &lt; 50 OLS model'!$B$12*J50</f>
        <v>0</v>
      </c>
      <c r="T50" s="20">
        <f t="shared" ca="1" si="5"/>
        <v>5952121.6108179782</v>
      </c>
    </row>
    <row r="51" spans="1:20" ht="14.4" x14ac:dyDescent="0.3">
      <c r="A51" s="22">
        <f>'Monthly Data'!A51</f>
        <v>41306</v>
      </c>
      <c r="B51" s="6">
        <f t="shared" si="2"/>
        <v>2013</v>
      </c>
      <c r="C51" s="20">
        <f ca="1">'Monthly Data'!J51</f>
        <v>5288814.8620550148</v>
      </c>
      <c r="D51" s="6">
        <f t="shared" ca="1" si="6"/>
        <v>598.16999999999985</v>
      </c>
      <c r="E51" s="6">
        <f t="shared" ca="1" si="6"/>
        <v>0</v>
      </c>
      <c r="F51" s="6">
        <f>'Monthly Data'!AJ51</f>
        <v>150.19999999999999</v>
      </c>
      <c r="G51" s="6">
        <f>'Monthly Data'!AL51</f>
        <v>28</v>
      </c>
      <c r="H51" s="6">
        <f>'Monthly Data'!BC51</f>
        <v>0</v>
      </c>
      <c r="I51" s="6">
        <f>'Monthly Data'!AQ51</f>
        <v>0</v>
      </c>
      <c r="J51" s="6">
        <f>'Monthly Data'!AZ51</f>
        <v>0</v>
      </c>
      <c r="L51" s="20">
        <f>'GS &lt; 50 OLS model'!$B$5</f>
        <v>-1088732.49289844</v>
      </c>
      <c r="M51" s="20">
        <f ca="1">'GS &lt; 50 OLS model'!$B$6*D51</f>
        <v>616668.05454157165</v>
      </c>
      <c r="N51" s="20">
        <f ca="1">'GS &lt; 50 OLS model'!$B$7*E51</f>
        <v>0</v>
      </c>
      <c r="O51" s="20">
        <f>'GS &lt; 50 OLS model'!$B$8*F51</f>
        <v>1713364.6601361926</v>
      </c>
      <c r="P51" s="20">
        <f>'GS &lt; 50 OLS model'!$B$9*G51</f>
        <v>4186980.9333962961</v>
      </c>
      <c r="Q51" s="20">
        <f>'GS &lt; 50 OLS model'!$B$10*H51</f>
        <v>0</v>
      </c>
      <c r="R51" s="20">
        <f>'GS &lt; 50 OLS model'!$B$11*I51</f>
        <v>0</v>
      </c>
      <c r="S51" s="20">
        <f>'GS &lt; 50 OLS model'!$B$12*J51</f>
        <v>0</v>
      </c>
      <c r="T51" s="20">
        <f t="shared" ca="1" si="5"/>
        <v>5428281.1551756207</v>
      </c>
    </row>
    <row r="52" spans="1:20" ht="14.4" x14ac:dyDescent="0.3">
      <c r="A52" s="22">
        <f>'Monthly Data'!A52</f>
        <v>41334</v>
      </c>
      <c r="B52" s="6">
        <f t="shared" si="2"/>
        <v>2013</v>
      </c>
      <c r="C52" s="20">
        <f ca="1">'Monthly Data'!J52</f>
        <v>5578008.3017610069</v>
      </c>
      <c r="D52" s="6">
        <f t="shared" ca="1" si="6"/>
        <v>451.34</v>
      </c>
      <c r="E52" s="6">
        <f t="shared" ca="1" si="6"/>
        <v>0.88000000000000012</v>
      </c>
      <c r="F52" s="6">
        <f>'Monthly Data'!AJ52</f>
        <v>149.4</v>
      </c>
      <c r="G52" s="6">
        <f>'Monthly Data'!AL52</f>
        <v>31</v>
      </c>
      <c r="H52" s="6">
        <f>'Monthly Data'!BC52</f>
        <v>1</v>
      </c>
      <c r="I52" s="6">
        <f>'Monthly Data'!AQ52</f>
        <v>1</v>
      </c>
      <c r="J52" s="6">
        <f>'Monthly Data'!AZ52</f>
        <v>0</v>
      </c>
      <c r="L52" s="20">
        <f>'GS &lt; 50 OLS model'!$B$5</f>
        <v>-1088732.49289844</v>
      </c>
      <c r="M52" s="20">
        <f ca="1">'GS &lt; 50 OLS model'!$B$6*D52</f>
        <v>465297.42336926464</v>
      </c>
      <c r="N52" s="20">
        <f ca="1">'GS &lt; 50 OLS model'!$B$7*E52</f>
        <v>6753.1741608942166</v>
      </c>
      <c r="O52" s="20">
        <f>'GS &lt; 50 OLS model'!$B$8*F52</f>
        <v>1704238.8829850014</v>
      </c>
      <c r="P52" s="20">
        <f>'GS &lt; 50 OLS model'!$B$9*G52</f>
        <v>4635586.0334030418</v>
      </c>
      <c r="Q52" s="20">
        <f>'GS &lt; 50 OLS model'!$B$10*H52</f>
        <v>-268302.989268562</v>
      </c>
      <c r="R52" s="20">
        <f>'GS &lt; 50 OLS model'!$B$11*I52</f>
        <v>178696.970766832</v>
      </c>
      <c r="S52" s="20">
        <f>'GS &lt; 50 OLS model'!$B$12*J52</f>
        <v>0</v>
      </c>
      <c r="T52" s="20">
        <f t="shared" ca="1" si="5"/>
        <v>5633537.0025180327</v>
      </c>
    </row>
    <row r="53" spans="1:20" ht="14.4" x14ac:dyDescent="0.3">
      <c r="A53" s="22">
        <f>'Monthly Data'!A53</f>
        <v>41365</v>
      </c>
      <c r="B53" s="6">
        <f t="shared" si="2"/>
        <v>2013</v>
      </c>
      <c r="C53" s="20">
        <f ca="1">'Monthly Data'!J53</f>
        <v>5151120.774575416</v>
      </c>
      <c r="D53" s="6">
        <f t="shared" ca="1" si="6"/>
        <v>259.5499999999999</v>
      </c>
      <c r="E53" s="6">
        <f t="shared" ca="1" si="6"/>
        <v>2.4500000000000002</v>
      </c>
      <c r="F53" s="6">
        <f>'Monthly Data'!AJ53</f>
        <v>152.6</v>
      </c>
      <c r="G53" s="6">
        <f>'Monthly Data'!AL53</f>
        <v>30</v>
      </c>
      <c r="H53" s="6">
        <f>'Monthly Data'!BC53</f>
        <v>1</v>
      </c>
      <c r="I53" s="6">
        <f>'Monthly Data'!AQ53</f>
        <v>0</v>
      </c>
      <c r="J53" s="6">
        <f>'Monthly Data'!AZ53</f>
        <v>0</v>
      </c>
      <c r="L53" s="20">
        <f>'GS &lt; 50 OLS model'!$B$5</f>
        <v>-1088732.49289844</v>
      </c>
      <c r="M53" s="20">
        <f ca="1">'GS &lt; 50 OLS model'!$B$6*D53</f>
        <v>267576.4307074325</v>
      </c>
      <c r="N53" s="20">
        <f ca="1">'GS &lt; 50 OLS model'!$B$7*E53</f>
        <v>18801.450788853217</v>
      </c>
      <c r="O53" s="20">
        <f>'GS &lt; 50 OLS model'!$B$8*F53</f>
        <v>1740741.9915897672</v>
      </c>
      <c r="P53" s="20">
        <f>'GS &lt; 50 OLS model'!$B$9*G53</f>
        <v>4486051.0000674604</v>
      </c>
      <c r="Q53" s="20">
        <f>'GS &lt; 50 OLS model'!$B$10*H53</f>
        <v>-268302.989268562</v>
      </c>
      <c r="R53" s="20">
        <f>'GS &lt; 50 OLS model'!$B$11*I53</f>
        <v>0</v>
      </c>
      <c r="S53" s="20">
        <f>'GS &lt; 50 OLS model'!$B$12*J53</f>
        <v>0</v>
      </c>
      <c r="T53" s="20">
        <f t="shared" ca="1" si="5"/>
        <v>5156135.3909865115</v>
      </c>
    </row>
    <row r="54" spans="1:20" ht="14.4" x14ac:dyDescent="0.3">
      <c r="A54" s="22">
        <f>'Monthly Data'!A54</f>
        <v>41395</v>
      </c>
      <c r="B54" s="6">
        <f t="shared" si="2"/>
        <v>2013</v>
      </c>
      <c r="C54" s="20">
        <f ca="1">'Monthly Data'!J54</f>
        <v>5423795.7144559138</v>
      </c>
      <c r="D54" s="6">
        <f t="shared" ca="1" si="6"/>
        <v>88.880000000000024</v>
      </c>
      <c r="E54" s="6">
        <f t="shared" ca="1" si="6"/>
        <v>43.79999999999999</v>
      </c>
      <c r="F54" s="6">
        <f>'Monthly Data'!AJ54</f>
        <v>154</v>
      </c>
      <c r="G54" s="6">
        <f>'Monthly Data'!AL54</f>
        <v>31</v>
      </c>
      <c r="H54" s="6">
        <f>'Monthly Data'!BC54</f>
        <v>1</v>
      </c>
      <c r="I54" s="6">
        <f>'Monthly Data'!AQ54</f>
        <v>0</v>
      </c>
      <c r="J54" s="6">
        <f>'Monthly Data'!AZ54</f>
        <v>0</v>
      </c>
      <c r="L54" s="20">
        <f>'GS &lt; 50 OLS model'!$B$5</f>
        <v>-1088732.49289844</v>
      </c>
      <c r="M54" s="20">
        <f ca="1">'GS &lt; 50 OLS model'!$B$6*D54</f>
        <v>91628.56159228133</v>
      </c>
      <c r="N54" s="20">
        <f ca="1">'GS &lt; 50 OLS model'!$B$7*E54</f>
        <v>336123.89573541656</v>
      </c>
      <c r="O54" s="20">
        <f>'GS &lt; 50 OLS model'!$B$8*F54</f>
        <v>1756712.1016043522</v>
      </c>
      <c r="P54" s="20">
        <f>'GS &lt; 50 OLS model'!$B$9*G54</f>
        <v>4635586.0334030418</v>
      </c>
      <c r="Q54" s="20">
        <f>'GS &lt; 50 OLS model'!$B$10*H54</f>
        <v>-268302.989268562</v>
      </c>
      <c r="R54" s="20">
        <f>'GS &lt; 50 OLS model'!$B$11*I54</f>
        <v>0</v>
      </c>
      <c r="S54" s="20">
        <f>'GS &lt; 50 OLS model'!$B$12*J54</f>
        <v>0</v>
      </c>
      <c r="T54" s="20">
        <f t="shared" ca="1" si="5"/>
        <v>5463015.1101680901</v>
      </c>
    </row>
    <row r="55" spans="1:20" ht="14.4" x14ac:dyDescent="0.3">
      <c r="A55" s="22">
        <f>'Monthly Data'!A55</f>
        <v>41426</v>
      </c>
      <c r="B55" s="6">
        <f t="shared" si="2"/>
        <v>2013</v>
      </c>
      <c r="C55" s="20">
        <f ca="1">'Monthly Data'!J55</f>
        <v>5819129.7356781708</v>
      </c>
      <c r="D55" s="6">
        <f t="shared" ca="1" si="6"/>
        <v>9.77</v>
      </c>
      <c r="E55" s="6">
        <f t="shared" ca="1" si="6"/>
        <v>117.38999999999999</v>
      </c>
      <c r="F55" s="6">
        <f>'Monthly Data'!AJ55</f>
        <v>155.9</v>
      </c>
      <c r="G55" s="6">
        <f>'Monthly Data'!AL55</f>
        <v>30</v>
      </c>
      <c r="H55" s="6">
        <f>'Monthly Data'!BC55</f>
        <v>0</v>
      </c>
      <c r="I55" s="6">
        <f>'Monthly Data'!AQ55</f>
        <v>0</v>
      </c>
      <c r="J55" s="6">
        <f>'Monthly Data'!AZ55</f>
        <v>0</v>
      </c>
      <c r="L55" s="20">
        <f>'GS &lt; 50 OLS model'!$B$5</f>
        <v>-1088732.49289844</v>
      </c>
      <c r="M55" s="20">
        <f ca="1">'GS &lt; 50 OLS model'!$B$6*D55</f>
        <v>10072.131489160534</v>
      </c>
      <c r="N55" s="20">
        <f ca="1">'GS &lt; 50 OLS model'!$B$7*E55</f>
        <v>900858.08494019532</v>
      </c>
      <c r="O55" s="20">
        <f>'GS &lt; 50 OLS model'!$B$8*F55</f>
        <v>1778385.8223384318</v>
      </c>
      <c r="P55" s="20">
        <f>'GS &lt; 50 OLS model'!$B$9*G55</f>
        <v>4486051.0000674604</v>
      </c>
      <c r="Q55" s="20">
        <f>'GS &lt; 50 OLS model'!$B$10*H55</f>
        <v>0</v>
      </c>
      <c r="R55" s="20">
        <f>'GS &lt; 50 OLS model'!$B$11*I55</f>
        <v>0</v>
      </c>
      <c r="S55" s="20">
        <f>'GS &lt; 50 OLS model'!$B$12*J55</f>
        <v>0</v>
      </c>
      <c r="T55" s="20">
        <f t="shared" ca="1" si="5"/>
        <v>6086634.545936808</v>
      </c>
    </row>
    <row r="56" spans="1:20" ht="14.4" x14ac:dyDescent="0.3">
      <c r="A56" s="22">
        <f>'Monthly Data'!A56</f>
        <v>41456</v>
      </c>
      <c r="B56" s="6">
        <f t="shared" si="2"/>
        <v>2013</v>
      </c>
      <c r="C56" s="20">
        <f ca="1">'Monthly Data'!J56</f>
        <v>6365784.4325457644</v>
      </c>
      <c r="D56" s="6">
        <f t="shared" ca="1" si="6"/>
        <v>0.58000000000000007</v>
      </c>
      <c r="E56" s="6">
        <f t="shared" ca="1" si="6"/>
        <v>179.70999999999998</v>
      </c>
      <c r="F56" s="6">
        <f>'Monthly Data'!AJ56</f>
        <v>156.6</v>
      </c>
      <c r="G56" s="6">
        <f>'Monthly Data'!AL56</f>
        <v>31</v>
      </c>
      <c r="H56" s="6">
        <f>'Monthly Data'!BC56</f>
        <v>0</v>
      </c>
      <c r="I56" s="6">
        <f>'Monthly Data'!AQ56</f>
        <v>0</v>
      </c>
      <c r="J56" s="6">
        <f>'Monthly Data'!AZ56</f>
        <v>0</v>
      </c>
      <c r="L56" s="20">
        <f>'GS &lt; 50 OLS model'!$B$5</f>
        <v>-1088732.49289844</v>
      </c>
      <c r="M56" s="20">
        <f ca="1">'GS &lt; 50 OLS model'!$B$6*D56</f>
        <v>597.93615800543614</v>
      </c>
      <c r="N56" s="20">
        <f ca="1">'GS &lt; 50 OLS model'!$B$7*E56</f>
        <v>1379105.6005162492</v>
      </c>
      <c r="O56" s="20">
        <f>'GS &lt; 50 OLS model'!$B$8*F56</f>
        <v>1786370.8773457243</v>
      </c>
      <c r="P56" s="20">
        <f>'GS &lt; 50 OLS model'!$B$9*G56</f>
        <v>4635586.0334030418</v>
      </c>
      <c r="Q56" s="20">
        <f>'GS &lt; 50 OLS model'!$B$10*H56</f>
        <v>0</v>
      </c>
      <c r="R56" s="20">
        <f>'GS &lt; 50 OLS model'!$B$11*I56</f>
        <v>0</v>
      </c>
      <c r="S56" s="20">
        <f>'GS &lt; 50 OLS model'!$B$12*J56</f>
        <v>0</v>
      </c>
      <c r="T56" s="20">
        <f t="shared" ca="1" si="5"/>
        <v>6712927.9545245804</v>
      </c>
    </row>
    <row r="57" spans="1:20" ht="14.4" x14ac:dyDescent="0.3">
      <c r="A57" s="22">
        <f>'Monthly Data'!A57</f>
        <v>41487</v>
      </c>
      <c r="B57" s="6">
        <f t="shared" si="2"/>
        <v>2013</v>
      </c>
      <c r="C57" s="20">
        <f ca="1">'Monthly Data'!J57</f>
        <v>6212999.889886952</v>
      </c>
      <c r="D57" s="6">
        <f t="shared" ca="1" si="6"/>
        <v>1.7099999999999997</v>
      </c>
      <c r="E57" s="6">
        <f t="shared" ca="1" si="6"/>
        <v>158.1</v>
      </c>
      <c r="F57" s="6">
        <f>'Monthly Data'!AJ57</f>
        <v>156.5</v>
      </c>
      <c r="G57" s="6">
        <f>'Monthly Data'!AL57</f>
        <v>31</v>
      </c>
      <c r="H57" s="6">
        <f>'Monthly Data'!BC57</f>
        <v>0</v>
      </c>
      <c r="I57" s="6">
        <f>'Monthly Data'!AQ57</f>
        <v>0</v>
      </c>
      <c r="J57" s="6">
        <f>'Monthly Data'!AZ57</f>
        <v>0</v>
      </c>
      <c r="L57" s="20">
        <f>'GS &lt; 50 OLS model'!$B$5</f>
        <v>-1088732.49289844</v>
      </c>
      <c r="M57" s="20">
        <f ca="1">'GS &lt; 50 OLS model'!$B$6*D57</f>
        <v>1762.8807417056819</v>
      </c>
      <c r="N57" s="20">
        <f ca="1">'GS &lt; 50 OLS model'!$B$7*E57</f>
        <v>1213269.1304970176</v>
      </c>
      <c r="O57" s="20">
        <f>'GS &lt; 50 OLS model'!$B$8*F57</f>
        <v>1785230.1552018253</v>
      </c>
      <c r="P57" s="20">
        <f>'GS &lt; 50 OLS model'!$B$9*G57</f>
        <v>4635586.0334030418</v>
      </c>
      <c r="Q57" s="20">
        <f>'GS &lt; 50 OLS model'!$B$10*H57</f>
        <v>0</v>
      </c>
      <c r="R57" s="20">
        <f>'GS &lt; 50 OLS model'!$B$11*I57</f>
        <v>0</v>
      </c>
      <c r="S57" s="20">
        <f>'GS &lt; 50 OLS model'!$B$12*J57</f>
        <v>0</v>
      </c>
      <c r="T57" s="20">
        <f t="shared" ca="1" si="5"/>
        <v>6547115.7069451502</v>
      </c>
    </row>
    <row r="58" spans="1:20" ht="14.4" x14ac:dyDescent="0.3">
      <c r="A58" s="22">
        <f>'Monthly Data'!A58</f>
        <v>41518</v>
      </c>
      <c r="B58" s="6">
        <f t="shared" si="2"/>
        <v>2013</v>
      </c>
      <c r="C58" s="20">
        <f ca="1">'Monthly Data'!J58</f>
        <v>5635233.8218801301</v>
      </c>
      <c r="D58" s="6">
        <f t="shared" ca="1" si="6"/>
        <v>32.68</v>
      </c>
      <c r="E58" s="6">
        <f t="shared" ca="1" si="6"/>
        <v>67.34</v>
      </c>
      <c r="F58" s="6">
        <f>'Monthly Data'!AJ58</f>
        <v>154.6</v>
      </c>
      <c r="G58" s="6">
        <f>'Monthly Data'!AL58</f>
        <v>30</v>
      </c>
      <c r="H58" s="6">
        <f>'Monthly Data'!BC58</f>
        <v>0</v>
      </c>
      <c r="I58" s="6">
        <f>'Monthly Data'!AQ58</f>
        <v>0</v>
      </c>
      <c r="J58" s="6">
        <f>'Monthly Data'!AZ58</f>
        <v>0</v>
      </c>
      <c r="L58" s="20">
        <f>'GS &lt; 50 OLS model'!$B$5</f>
        <v>-1088732.49289844</v>
      </c>
      <c r="M58" s="20">
        <f ca="1">'GS &lt; 50 OLS model'!$B$6*D58</f>
        <v>33690.609730375261</v>
      </c>
      <c r="N58" s="20">
        <f ca="1">'GS &lt; 50 OLS model'!$B$7*E58</f>
        <v>516771.30453933694</v>
      </c>
      <c r="O58" s="20">
        <f>'GS &lt; 50 OLS model'!$B$8*F58</f>
        <v>1763556.4344677457</v>
      </c>
      <c r="P58" s="20">
        <f>'GS &lt; 50 OLS model'!$B$9*G58</f>
        <v>4486051.0000674604</v>
      </c>
      <c r="Q58" s="20">
        <f>'GS &lt; 50 OLS model'!$B$10*H58</f>
        <v>0</v>
      </c>
      <c r="R58" s="20">
        <f>'GS &lt; 50 OLS model'!$B$11*I58</f>
        <v>0</v>
      </c>
      <c r="S58" s="20">
        <f>'GS &lt; 50 OLS model'!$B$12*J58</f>
        <v>0</v>
      </c>
      <c r="T58" s="20">
        <f t="shared" ca="1" si="5"/>
        <v>5711336.8559064781</v>
      </c>
    </row>
    <row r="59" spans="1:20" ht="14.4" x14ac:dyDescent="0.3">
      <c r="A59" s="22">
        <f>'Monthly Data'!A59</f>
        <v>41548</v>
      </c>
      <c r="B59" s="6">
        <f t="shared" si="2"/>
        <v>2013</v>
      </c>
      <c r="C59" s="20">
        <f ca="1">'Monthly Data'!J59</f>
        <v>5244110.3430482503</v>
      </c>
      <c r="D59" s="6">
        <f t="shared" ca="1" si="6"/>
        <v>176.42</v>
      </c>
      <c r="E59" s="6">
        <f t="shared" ca="1" si="6"/>
        <v>10.18</v>
      </c>
      <c r="F59" s="6">
        <f>'Monthly Data'!AJ59</f>
        <v>155.80000000000001</v>
      </c>
      <c r="G59" s="6">
        <f>'Monthly Data'!AL59</f>
        <v>31</v>
      </c>
      <c r="H59" s="6">
        <f>'Monthly Data'!BC59</f>
        <v>1</v>
      </c>
      <c r="I59" s="6">
        <f>'Monthly Data'!AQ59</f>
        <v>0</v>
      </c>
      <c r="J59" s="6">
        <f>'Monthly Data'!AZ59</f>
        <v>0</v>
      </c>
      <c r="L59" s="20">
        <f>'GS &lt; 50 OLS model'!$B$5</f>
        <v>-1088732.49289844</v>
      </c>
      <c r="M59" s="20">
        <f ca="1">'GS &lt; 50 OLS model'!$B$6*D59</f>
        <v>181875.68447468797</v>
      </c>
      <c r="N59" s="20">
        <f ca="1">'GS &lt; 50 OLS model'!$B$7*E59</f>
        <v>78121.946543071725</v>
      </c>
      <c r="O59" s="20">
        <f>'GS &lt; 50 OLS model'!$B$8*F59</f>
        <v>1777245.1001945331</v>
      </c>
      <c r="P59" s="20">
        <f>'GS &lt; 50 OLS model'!$B$9*G59</f>
        <v>4635586.0334030418</v>
      </c>
      <c r="Q59" s="20">
        <f>'GS &lt; 50 OLS model'!$B$10*H59</f>
        <v>-268302.989268562</v>
      </c>
      <c r="R59" s="20">
        <f>'GS &lt; 50 OLS model'!$B$11*I59</f>
        <v>0</v>
      </c>
      <c r="S59" s="20">
        <f>'GS &lt; 50 OLS model'!$B$12*J59</f>
        <v>0</v>
      </c>
      <c r="T59" s="20">
        <f t="shared" ca="1" si="5"/>
        <v>5315793.2824483328</v>
      </c>
    </row>
    <row r="60" spans="1:20" ht="14.4" x14ac:dyDescent="0.3">
      <c r="A60" s="22">
        <f>'Monthly Data'!A60</f>
        <v>41579</v>
      </c>
      <c r="B60" s="6">
        <f t="shared" si="2"/>
        <v>2013</v>
      </c>
      <c r="C60" s="20">
        <f ca="1">'Monthly Data'!J60</f>
        <v>5278519.5614520842</v>
      </c>
      <c r="D60" s="6">
        <f t="shared" ca="1" si="6"/>
        <v>364.2299999999999</v>
      </c>
      <c r="E60" s="6">
        <f t="shared" ca="1" si="6"/>
        <v>0.05</v>
      </c>
      <c r="F60" s="6">
        <f>'Monthly Data'!AJ60</f>
        <v>156.69999999999999</v>
      </c>
      <c r="G60" s="6">
        <f>'Monthly Data'!AL60</f>
        <v>30</v>
      </c>
      <c r="H60" s="6">
        <f>'Monthly Data'!BC60</f>
        <v>1</v>
      </c>
      <c r="I60" s="6">
        <f>'Monthly Data'!AQ60</f>
        <v>0</v>
      </c>
      <c r="J60" s="6">
        <f>'Monthly Data'!AZ60</f>
        <v>0</v>
      </c>
      <c r="L60" s="20">
        <f>'GS &lt; 50 OLS model'!$B$5</f>
        <v>-1088732.49289844</v>
      </c>
      <c r="M60" s="20">
        <f ca="1">'GS &lt; 50 OLS model'!$B$6*D60</f>
        <v>375493.59798331017</v>
      </c>
      <c r="N60" s="20">
        <f ca="1">'GS &lt; 50 OLS model'!$B$7*E60</f>
        <v>383.70307732353501</v>
      </c>
      <c r="O60" s="20">
        <f>'GS &lt; 50 OLS model'!$B$8*F60</f>
        <v>1787511.5994896232</v>
      </c>
      <c r="P60" s="20">
        <f>'GS &lt; 50 OLS model'!$B$9*G60</f>
        <v>4486051.0000674604</v>
      </c>
      <c r="Q60" s="20">
        <f>'GS &lt; 50 OLS model'!$B$10*H60</f>
        <v>-268302.989268562</v>
      </c>
      <c r="R60" s="20">
        <f>'GS &lt; 50 OLS model'!$B$11*I60</f>
        <v>0</v>
      </c>
      <c r="S60" s="20">
        <f>'GS &lt; 50 OLS model'!$B$12*J60</f>
        <v>0</v>
      </c>
      <c r="T60" s="20">
        <f t="shared" ca="1" si="5"/>
        <v>5292404.418450715</v>
      </c>
    </row>
    <row r="61" spans="1:20" ht="14.4" x14ac:dyDescent="0.3">
      <c r="A61" s="22">
        <f>'Monthly Data'!A61</f>
        <v>41609</v>
      </c>
      <c r="B61" s="6">
        <f t="shared" si="2"/>
        <v>2013</v>
      </c>
      <c r="C61" s="20">
        <f ca="1">'Monthly Data'!J61</f>
        <v>5836114.3315690635</v>
      </c>
      <c r="D61" s="6">
        <f t="shared" ca="1" si="6"/>
        <v>552.31000000000006</v>
      </c>
      <c r="E61" s="6">
        <f t="shared" ca="1" si="6"/>
        <v>0</v>
      </c>
      <c r="F61" s="6">
        <f>'Monthly Data'!AJ61</f>
        <v>159.19999999999999</v>
      </c>
      <c r="G61" s="6">
        <f>'Monthly Data'!AL61</f>
        <v>31</v>
      </c>
      <c r="H61" s="6">
        <f>'Monthly Data'!BC61</f>
        <v>0</v>
      </c>
      <c r="I61" s="6">
        <f>'Monthly Data'!AQ61</f>
        <v>0</v>
      </c>
      <c r="J61" s="6">
        <f>'Monthly Data'!AZ61</f>
        <v>1</v>
      </c>
      <c r="L61" s="20">
        <f>'GS &lt; 50 OLS model'!$B$5</f>
        <v>-1088732.49289844</v>
      </c>
      <c r="M61" s="20">
        <f ca="1">'GS &lt; 50 OLS model'!$B$6*D61</f>
        <v>569389.86108272825</v>
      </c>
      <c r="N61" s="20">
        <f ca="1">'GS &lt; 50 OLS model'!$B$7*E61</f>
        <v>0</v>
      </c>
      <c r="O61" s="20">
        <f>'GS &lt; 50 OLS model'!$B$8*F61</f>
        <v>1816029.6530870963</v>
      </c>
      <c r="P61" s="20">
        <f>'GS &lt; 50 OLS model'!$B$9*G61</f>
        <v>4635586.0334030418</v>
      </c>
      <c r="Q61" s="20">
        <f>'GS &lt; 50 OLS model'!$B$10*H61</f>
        <v>0</v>
      </c>
      <c r="R61" s="20">
        <f>'GS &lt; 50 OLS model'!$B$11*I61</f>
        <v>0</v>
      </c>
      <c r="S61" s="20">
        <f>'GS &lt; 50 OLS model'!$B$12*J61</f>
        <v>-197900.76217015099</v>
      </c>
      <c r="T61" s="20">
        <f t="shared" ca="1" si="5"/>
        <v>5734372.2925042752</v>
      </c>
    </row>
    <row r="62" spans="1:20" ht="14.4" x14ac:dyDescent="0.3">
      <c r="A62" s="22">
        <v>41640</v>
      </c>
      <c r="B62" s="6">
        <f t="shared" si="2"/>
        <v>2014</v>
      </c>
      <c r="C62" s="20">
        <f ca="1">'Monthly Data'!J62</f>
        <v>6160076.9121971037</v>
      </c>
      <c r="D62" s="6">
        <f t="shared" ref="D62:E77" ca="1" si="7">D50</f>
        <v>661.18999999999994</v>
      </c>
      <c r="E62" s="6">
        <f t="shared" ca="1" si="7"/>
        <v>0</v>
      </c>
      <c r="F62" s="6">
        <f>'Monthly Data'!AJ62</f>
        <v>157.1</v>
      </c>
      <c r="G62" s="6">
        <f>'Monthly Data'!AL62</f>
        <v>31</v>
      </c>
      <c r="H62" s="6">
        <f>'Monthly Data'!BC62</f>
        <v>0</v>
      </c>
      <c r="I62" s="6">
        <f>'Monthly Data'!AQ62</f>
        <v>0</v>
      </c>
      <c r="J62" s="6">
        <f>'Monthly Data'!AZ62</f>
        <v>0</v>
      </c>
      <c r="L62" s="20">
        <f>'GS &lt; 50 OLS model'!$B$5</f>
        <v>-1088732.49289844</v>
      </c>
      <c r="M62" s="20">
        <f ca="1">'GS &lt; 50 OLS model'!$B$6*D62</f>
        <v>681636.91088209348</v>
      </c>
      <c r="N62" s="20">
        <f ca="1">'GS &lt; 50 OLS model'!$B$7*E62</f>
        <v>0</v>
      </c>
      <c r="O62" s="20">
        <f>'GS &lt; 50 OLS model'!$B$8*F62</f>
        <v>1792074.488065219</v>
      </c>
      <c r="P62" s="20">
        <f>'GS &lt; 50 OLS model'!$B$9*G62</f>
        <v>4635586.0334030418</v>
      </c>
      <c r="Q62" s="20">
        <f>'GS &lt; 50 OLS model'!$B$10*H62</f>
        <v>0</v>
      </c>
      <c r="R62" s="20">
        <f>'GS &lt; 50 OLS model'!$B$11*I62</f>
        <v>0</v>
      </c>
      <c r="S62" s="20">
        <f>'GS &lt; 50 OLS model'!$B$12*J62</f>
        <v>0</v>
      </c>
      <c r="T62" s="20">
        <f t="shared" ca="1" si="5"/>
        <v>6020564.9394519143</v>
      </c>
    </row>
    <row r="63" spans="1:20" ht="14.4" x14ac:dyDescent="0.3">
      <c r="A63" s="22">
        <v>41671</v>
      </c>
      <c r="B63" s="6">
        <f t="shared" si="2"/>
        <v>2014</v>
      </c>
      <c r="C63" s="20">
        <f ca="1">'Monthly Data'!J63</f>
        <v>5583527.4099679338</v>
      </c>
      <c r="D63" s="6">
        <f t="shared" ca="1" si="7"/>
        <v>598.16999999999985</v>
      </c>
      <c r="E63" s="6">
        <f t="shared" ca="1" si="7"/>
        <v>0</v>
      </c>
      <c r="F63" s="6">
        <f>'Monthly Data'!AJ63</f>
        <v>154.69999999999999</v>
      </c>
      <c r="G63" s="6">
        <f>'Monthly Data'!AL63</f>
        <v>28</v>
      </c>
      <c r="H63" s="6">
        <f>'Monthly Data'!BC63</f>
        <v>0</v>
      </c>
      <c r="I63" s="6">
        <f>'Monthly Data'!AQ63</f>
        <v>0</v>
      </c>
      <c r="J63" s="6">
        <f>'Monthly Data'!AZ63</f>
        <v>0</v>
      </c>
      <c r="L63" s="20">
        <f>'GS &lt; 50 OLS model'!$B$5</f>
        <v>-1088732.49289844</v>
      </c>
      <c r="M63" s="20">
        <f ca="1">'GS &lt; 50 OLS model'!$B$6*D63</f>
        <v>616668.05454157165</v>
      </c>
      <c r="N63" s="20">
        <f ca="1">'GS &lt; 50 OLS model'!$B$7*E63</f>
        <v>0</v>
      </c>
      <c r="O63" s="20">
        <f>'GS &lt; 50 OLS model'!$B$8*F63</f>
        <v>1764697.1566116444</v>
      </c>
      <c r="P63" s="20">
        <f>'GS &lt; 50 OLS model'!$B$9*G63</f>
        <v>4186980.9333962961</v>
      </c>
      <c r="Q63" s="20">
        <f>'GS &lt; 50 OLS model'!$B$10*H63</f>
        <v>0</v>
      </c>
      <c r="R63" s="20">
        <f>'GS &lt; 50 OLS model'!$B$11*I63</f>
        <v>0</v>
      </c>
      <c r="S63" s="20">
        <f>'GS &lt; 50 OLS model'!$B$12*J63</f>
        <v>0</v>
      </c>
      <c r="T63" s="20">
        <f t="shared" ca="1" si="5"/>
        <v>5479613.6516510723</v>
      </c>
    </row>
    <row r="64" spans="1:20" ht="14.4" x14ac:dyDescent="0.3">
      <c r="A64" s="22">
        <v>41699</v>
      </c>
      <c r="B64" s="6">
        <f t="shared" si="2"/>
        <v>2014</v>
      </c>
      <c r="C64" s="20">
        <f ca="1">'Monthly Data'!J64</f>
        <v>5765002.1393458238</v>
      </c>
      <c r="D64" s="6">
        <f t="shared" ca="1" si="7"/>
        <v>451.34</v>
      </c>
      <c r="E64" s="6">
        <f t="shared" ca="1" si="7"/>
        <v>0.88000000000000012</v>
      </c>
      <c r="F64" s="6">
        <f>'Monthly Data'!AJ64</f>
        <v>152.4</v>
      </c>
      <c r="G64" s="6">
        <f>'Monthly Data'!AL64</f>
        <v>31</v>
      </c>
      <c r="H64" s="6">
        <f>'Monthly Data'!BC64</f>
        <v>1</v>
      </c>
      <c r="I64" s="6">
        <f>'Monthly Data'!AQ64</f>
        <v>1</v>
      </c>
      <c r="J64" s="6">
        <f>'Monthly Data'!AZ64</f>
        <v>0</v>
      </c>
      <c r="L64" s="20">
        <f>'GS &lt; 50 OLS model'!$B$5</f>
        <v>-1088732.49289844</v>
      </c>
      <c r="M64" s="20">
        <f ca="1">'GS &lt; 50 OLS model'!$B$6*D64</f>
        <v>465297.42336926464</v>
      </c>
      <c r="N64" s="20">
        <f ca="1">'GS &lt; 50 OLS model'!$B$7*E64</f>
        <v>6753.1741608942166</v>
      </c>
      <c r="O64" s="20">
        <f>'GS &lt; 50 OLS model'!$B$8*F64</f>
        <v>1738460.5473019693</v>
      </c>
      <c r="P64" s="20">
        <f>'GS &lt; 50 OLS model'!$B$9*G64</f>
        <v>4635586.0334030418</v>
      </c>
      <c r="Q64" s="20">
        <f>'GS &lt; 50 OLS model'!$B$10*H64</f>
        <v>-268302.989268562</v>
      </c>
      <c r="R64" s="20">
        <f>'GS &lt; 50 OLS model'!$B$11*I64</f>
        <v>178696.970766832</v>
      </c>
      <c r="S64" s="20">
        <f>'GS &lt; 50 OLS model'!$B$12*J64</f>
        <v>0</v>
      </c>
      <c r="T64" s="20">
        <f t="shared" ca="1" si="5"/>
        <v>5667758.6668349998</v>
      </c>
    </row>
    <row r="65" spans="1:20" ht="14.4" x14ac:dyDescent="0.3">
      <c r="A65" s="22">
        <v>41730</v>
      </c>
      <c r="B65" s="6">
        <f t="shared" si="2"/>
        <v>2014</v>
      </c>
      <c r="C65" s="20">
        <f ca="1">'Monthly Data'!J65</f>
        <v>5047184.9055247335</v>
      </c>
      <c r="D65" s="6">
        <f t="shared" ca="1" si="7"/>
        <v>259.5499999999999</v>
      </c>
      <c r="E65" s="6">
        <f t="shared" ca="1" si="7"/>
        <v>2.4500000000000002</v>
      </c>
      <c r="F65" s="6">
        <f>'Monthly Data'!AJ65</f>
        <v>151.1</v>
      </c>
      <c r="G65" s="6">
        <f>'Monthly Data'!AL65</f>
        <v>30</v>
      </c>
      <c r="H65" s="6">
        <f>'Monthly Data'!BC65</f>
        <v>1</v>
      </c>
      <c r="I65" s="6">
        <f>'Monthly Data'!AQ65</f>
        <v>0</v>
      </c>
      <c r="J65" s="6">
        <f>'Monthly Data'!AZ65</f>
        <v>0</v>
      </c>
      <c r="L65" s="20">
        <f>'GS &lt; 50 OLS model'!$B$5</f>
        <v>-1088732.49289844</v>
      </c>
      <c r="M65" s="20">
        <f ca="1">'GS &lt; 50 OLS model'!$B$6*D65</f>
        <v>267576.4307074325</v>
      </c>
      <c r="N65" s="20">
        <f ca="1">'GS &lt; 50 OLS model'!$B$7*E65</f>
        <v>18801.450788853217</v>
      </c>
      <c r="O65" s="20">
        <f>'GS &lt; 50 OLS model'!$B$8*F65</f>
        <v>1723631.1594312831</v>
      </c>
      <c r="P65" s="20">
        <f>'GS &lt; 50 OLS model'!$B$9*G65</f>
        <v>4486051.0000674604</v>
      </c>
      <c r="Q65" s="20">
        <f>'GS &lt; 50 OLS model'!$B$10*H65</f>
        <v>-268302.989268562</v>
      </c>
      <c r="R65" s="20">
        <f>'GS &lt; 50 OLS model'!$B$11*I65</f>
        <v>0</v>
      </c>
      <c r="S65" s="20">
        <f>'GS &lt; 50 OLS model'!$B$12*J65</f>
        <v>0</v>
      </c>
      <c r="T65" s="20">
        <f t="shared" ca="1" si="5"/>
        <v>5139024.5588280279</v>
      </c>
    </row>
    <row r="66" spans="1:20" ht="14.4" x14ac:dyDescent="0.3">
      <c r="A66" s="22">
        <v>41760</v>
      </c>
      <c r="B66" s="6">
        <f t="shared" si="2"/>
        <v>2014</v>
      </c>
      <c r="C66" s="20">
        <f ca="1">'Monthly Data'!J66</f>
        <v>5341469.543139304</v>
      </c>
      <c r="D66" s="6">
        <f t="shared" ca="1" si="7"/>
        <v>88.880000000000024</v>
      </c>
      <c r="E66" s="6">
        <f t="shared" ca="1" si="7"/>
        <v>43.79999999999999</v>
      </c>
      <c r="F66" s="6">
        <f>'Monthly Data'!AJ66</f>
        <v>151.19999999999999</v>
      </c>
      <c r="G66" s="6">
        <f>'Monthly Data'!AL66</f>
        <v>31</v>
      </c>
      <c r="H66" s="6">
        <f>'Monthly Data'!BC66</f>
        <v>1</v>
      </c>
      <c r="I66" s="6">
        <f>'Monthly Data'!AQ66</f>
        <v>0</v>
      </c>
      <c r="J66" s="6">
        <f>'Monthly Data'!AZ66</f>
        <v>0</v>
      </c>
      <c r="L66" s="20">
        <f>'GS &lt; 50 OLS model'!$B$5</f>
        <v>-1088732.49289844</v>
      </c>
      <c r="M66" s="20">
        <f ca="1">'GS &lt; 50 OLS model'!$B$6*D66</f>
        <v>91628.56159228133</v>
      </c>
      <c r="N66" s="20">
        <f ca="1">'GS &lt; 50 OLS model'!$B$7*E66</f>
        <v>336123.89573541656</v>
      </c>
      <c r="O66" s="20">
        <f>'GS &lt; 50 OLS model'!$B$8*F66</f>
        <v>1724771.8815751821</v>
      </c>
      <c r="P66" s="20">
        <f>'GS &lt; 50 OLS model'!$B$9*G66</f>
        <v>4635586.0334030418</v>
      </c>
      <c r="Q66" s="20">
        <f>'GS &lt; 50 OLS model'!$B$10*H66</f>
        <v>-268302.989268562</v>
      </c>
      <c r="R66" s="20">
        <f>'GS &lt; 50 OLS model'!$B$11*I66</f>
        <v>0</v>
      </c>
      <c r="S66" s="20">
        <f>'GS &lt; 50 OLS model'!$B$12*J66</f>
        <v>0</v>
      </c>
      <c r="T66" s="20">
        <f t="shared" ref="T66:T97" ca="1" si="8">SUM(L66:S66)</f>
        <v>5431074.8901389204</v>
      </c>
    </row>
    <row r="67" spans="1:20" ht="14.4" x14ac:dyDescent="0.3">
      <c r="A67" s="22">
        <v>41791</v>
      </c>
      <c r="B67" s="6">
        <f t="shared" ref="B67:B109" si="9">YEAR(A67)</f>
        <v>2014</v>
      </c>
      <c r="C67" s="20">
        <f ca="1">'Monthly Data'!J67</f>
        <v>5873777.4547528643</v>
      </c>
      <c r="D67" s="6">
        <f t="shared" ca="1" si="7"/>
        <v>9.77</v>
      </c>
      <c r="E67" s="6">
        <f t="shared" ca="1" si="7"/>
        <v>117.38999999999999</v>
      </c>
      <c r="F67" s="6">
        <f>'Monthly Data'!AJ67</f>
        <v>150.9</v>
      </c>
      <c r="G67" s="6">
        <f>'Monthly Data'!AL67</f>
        <v>30</v>
      </c>
      <c r="H67" s="6">
        <f>'Monthly Data'!BC67</f>
        <v>0</v>
      </c>
      <c r="I67" s="6">
        <f>'Monthly Data'!AQ67</f>
        <v>0</v>
      </c>
      <c r="J67" s="6">
        <f>'Monthly Data'!AZ67</f>
        <v>0</v>
      </c>
      <c r="L67" s="20">
        <f>'GS &lt; 50 OLS model'!$B$5</f>
        <v>-1088732.49289844</v>
      </c>
      <c r="M67" s="20">
        <f ca="1">'GS &lt; 50 OLS model'!$B$6*D67</f>
        <v>10072.131489160534</v>
      </c>
      <c r="N67" s="20">
        <f ca="1">'GS &lt; 50 OLS model'!$B$7*E67</f>
        <v>900858.08494019532</v>
      </c>
      <c r="O67" s="20">
        <f>'GS &lt; 50 OLS model'!$B$8*F67</f>
        <v>1721349.7151434855</v>
      </c>
      <c r="P67" s="20">
        <f>'GS &lt; 50 OLS model'!$B$9*G67</f>
        <v>4486051.0000674604</v>
      </c>
      <c r="Q67" s="20">
        <f>'GS &lt; 50 OLS model'!$B$10*H67</f>
        <v>0</v>
      </c>
      <c r="R67" s="20">
        <f>'GS &lt; 50 OLS model'!$B$11*I67</f>
        <v>0</v>
      </c>
      <c r="S67" s="20">
        <f>'GS &lt; 50 OLS model'!$B$12*J67</f>
        <v>0</v>
      </c>
      <c r="T67" s="20">
        <f t="shared" ca="1" si="8"/>
        <v>6029598.4387418618</v>
      </c>
    </row>
    <row r="68" spans="1:20" ht="14.4" x14ac:dyDescent="0.3">
      <c r="A68" s="22">
        <v>41821</v>
      </c>
      <c r="B68" s="6">
        <f t="shared" si="9"/>
        <v>2014</v>
      </c>
      <c r="C68" s="20">
        <f ca="1">'Monthly Data'!J68</f>
        <v>6167201.5336482739</v>
      </c>
      <c r="D68" s="6">
        <f t="shared" ca="1" si="7"/>
        <v>0.58000000000000007</v>
      </c>
      <c r="E68" s="6">
        <f t="shared" ca="1" si="7"/>
        <v>179.70999999999998</v>
      </c>
      <c r="F68" s="6">
        <f>'Monthly Data'!AJ68</f>
        <v>153.6</v>
      </c>
      <c r="G68" s="6">
        <f>'Monthly Data'!AL68</f>
        <v>31</v>
      </c>
      <c r="H68" s="6">
        <f>'Monthly Data'!BC68</f>
        <v>0</v>
      </c>
      <c r="I68" s="6">
        <f>'Monthly Data'!AQ68</f>
        <v>0</v>
      </c>
      <c r="J68" s="6">
        <f>'Monthly Data'!AZ68</f>
        <v>0</v>
      </c>
      <c r="L68" s="20">
        <f>'GS &lt; 50 OLS model'!$B$5</f>
        <v>-1088732.49289844</v>
      </c>
      <c r="M68" s="20">
        <f ca="1">'GS &lt; 50 OLS model'!$B$6*D68</f>
        <v>597.93615800543614</v>
      </c>
      <c r="N68" s="20">
        <f ca="1">'GS &lt; 50 OLS model'!$B$7*E68</f>
        <v>1379105.6005162492</v>
      </c>
      <c r="O68" s="20">
        <f>'GS &lt; 50 OLS model'!$B$8*F68</f>
        <v>1752149.2130287564</v>
      </c>
      <c r="P68" s="20">
        <f>'GS &lt; 50 OLS model'!$B$9*G68</f>
        <v>4635586.0334030418</v>
      </c>
      <c r="Q68" s="20">
        <f>'GS &lt; 50 OLS model'!$B$10*H68</f>
        <v>0</v>
      </c>
      <c r="R68" s="20">
        <f>'GS &lt; 50 OLS model'!$B$11*I68</f>
        <v>0</v>
      </c>
      <c r="S68" s="20">
        <f>'GS &lt; 50 OLS model'!$B$12*J68</f>
        <v>0</v>
      </c>
      <c r="T68" s="20">
        <f t="shared" ca="1" si="8"/>
        <v>6678706.2902076133</v>
      </c>
    </row>
    <row r="69" spans="1:20" ht="14.4" x14ac:dyDescent="0.3">
      <c r="A69" s="22">
        <v>41852</v>
      </c>
      <c r="B69" s="6">
        <f t="shared" si="9"/>
        <v>2014</v>
      </c>
      <c r="C69" s="20">
        <f ca="1">'Monthly Data'!J69</f>
        <v>6189372.2861325433</v>
      </c>
      <c r="D69" s="6">
        <f t="shared" ca="1" si="7"/>
        <v>1.7099999999999997</v>
      </c>
      <c r="E69" s="6">
        <f t="shared" ca="1" si="7"/>
        <v>158.1</v>
      </c>
      <c r="F69" s="6">
        <f>'Monthly Data'!AJ69</f>
        <v>154.5</v>
      </c>
      <c r="G69" s="6">
        <f>'Monthly Data'!AL69</f>
        <v>31</v>
      </c>
      <c r="H69" s="6">
        <f>'Monthly Data'!BC69</f>
        <v>0</v>
      </c>
      <c r="I69" s="6">
        <f>'Monthly Data'!AQ69</f>
        <v>0</v>
      </c>
      <c r="J69" s="6">
        <f>'Monthly Data'!AZ69</f>
        <v>0</v>
      </c>
      <c r="L69" s="20">
        <f>'GS &lt; 50 OLS model'!$B$5</f>
        <v>-1088732.49289844</v>
      </c>
      <c r="M69" s="20">
        <f ca="1">'GS &lt; 50 OLS model'!$B$6*D69</f>
        <v>1762.8807417056819</v>
      </c>
      <c r="N69" s="20">
        <f ca="1">'GS &lt; 50 OLS model'!$B$7*E69</f>
        <v>1213269.1304970176</v>
      </c>
      <c r="O69" s="20">
        <f>'GS &lt; 50 OLS model'!$B$8*F69</f>
        <v>1762415.7123238468</v>
      </c>
      <c r="P69" s="20">
        <f>'GS &lt; 50 OLS model'!$B$9*G69</f>
        <v>4635586.0334030418</v>
      </c>
      <c r="Q69" s="20">
        <f>'GS &lt; 50 OLS model'!$B$10*H69</f>
        <v>0</v>
      </c>
      <c r="R69" s="20">
        <f>'GS &lt; 50 OLS model'!$B$11*I69</f>
        <v>0</v>
      </c>
      <c r="S69" s="20">
        <f>'GS &lt; 50 OLS model'!$B$12*J69</f>
        <v>0</v>
      </c>
      <c r="T69" s="20">
        <f t="shared" ca="1" si="8"/>
        <v>6524301.2640671721</v>
      </c>
    </row>
    <row r="70" spans="1:20" ht="14.4" x14ac:dyDescent="0.3">
      <c r="A70" s="22">
        <v>41883</v>
      </c>
      <c r="B70" s="6">
        <f t="shared" si="9"/>
        <v>2014</v>
      </c>
      <c r="C70" s="20">
        <f ca="1">'Monthly Data'!J70</f>
        <v>5434281.2694790848</v>
      </c>
      <c r="D70" s="6">
        <f t="shared" ca="1" si="7"/>
        <v>32.68</v>
      </c>
      <c r="E70" s="6">
        <f t="shared" ca="1" si="7"/>
        <v>67.34</v>
      </c>
      <c r="F70" s="6">
        <f>'Monthly Data'!AJ70</f>
        <v>156.6</v>
      </c>
      <c r="G70" s="6">
        <f>'Monthly Data'!AL70</f>
        <v>30</v>
      </c>
      <c r="H70" s="6">
        <f>'Monthly Data'!BC70</f>
        <v>0</v>
      </c>
      <c r="I70" s="6">
        <f>'Monthly Data'!AQ70</f>
        <v>0</v>
      </c>
      <c r="J70" s="6">
        <f>'Monthly Data'!AZ70</f>
        <v>0</v>
      </c>
      <c r="L70" s="20">
        <f>'GS &lt; 50 OLS model'!$B$5</f>
        <v>-1088732.49289844</v>
      </c>
      <c r="M70" s="20">
        <f ca="1">'GS &lt; 50 OLS model'!$B$6*D70</f>
        <v>33690.609730375261</v>
      </c>
      <c r="N70" s="20">
        <f ca="1">'GS &lt; 50 OLS model'!$B$7*E70</f>
        <v>516771.30453933694</v>
      </c>
      <c r="O70" s="20">
        <f>'GS &lt; 50 OLS model'!$B$8*F70</f>
        <v>1786370.8773457243</v>
      </c>
      <c r="P70" s="20">
        <f>'GS &lt; 50 OLS model'!$B$9*G70</f>
        <v>4486051.0000674604</v>
      </c>
      <c r="Q70" s="20">
        <f>'GS &lt; 50 OLS model'!$B$10*H70</f>
        <v>0</v>
      </c>
      <c r="R70" s="20">
        <f>'GS &lt; 50 OLS model'!$B$11*I70</f>
        <v>0</v>
      </c>
      <c r="S70" s="20">
        <f>'GS &lt; 50 OLS model'!$B$12*J70</f>
        <v>0</v>
      </c>
      <c r="T70" s="20">
        <f t="shared" ca="1" si="8"/>
        <v>5734151.2987844571</v>
      </c>
    </row>
    <row r="71" spans="1:20" ht="14.4" x14ac:dyDescent="0.3">
      <c r="A71" s="22">
        <v>41913</v>
      </c>
      <c r="B71" s="6">
        <f t="shared" si="9"/>
        <v>2014</v>
      </c>
      <c r="C71" s="20">
        <f ca="1">'Monthly Data'!J71</f>
        <v>5094540.9732233444</v>
      </c>
      <c r="D71" s="6">
        <f t="shared" ca="1" si="7"/>
        <v>176.42</v>
      </c>
      <c r="E71" s="6">
        <f t="shared" ca="1" si="7"/>
        <v>10.18</v>
      </c>
      <c r="F71" s="6">
        <f>'Monthly Data'!AJ71</f>
        <v>158.30000000000001</v>
      </c>
      <c r="G71" s="6">
        <f>'Monthly Data'!AL71</f>
        <v>31</v>
      </c>
      <c r="H71" s="6">
        <f>'Monthly Data'!BC71</f>
        <v>1</v>
      </c>
      <c r="I71" s="6">
        <f>'Monthly Data'!AQ71</f>
        <v>0</v>
      </c>
      <c r="J71" s="6">
        <f>'Monthly Data'!AZ71</f>
        <v>0</v>
      </c>
      <c r="L71" s="20">
        <f>'GS &lt; 50 OLS model'!$B$5</f>
        <v>-1088732.49289844</v>
      </c>
      <c r="M71" s="20">
        <f ca="1">'GS &lt; 50 OLS model'!$B$6*D71</f>
        <v>181875.68447468797</v>
      </c>
      <c r="N71" s="20">
        <f ca="1">'GS &lt; 50 OLS model'!$B$7*E71</f>
        <v>78121.946543071725</v>
      </c>
      <c r="O71" s="20">
        <f>'GS &lt; 50 OLS model'!$B$8*F71</f>
        <v>1805763.1537920062</v>
      </c>
      <c r="P71" s="20">
        <f>'GS &lt; 50 OLS model'!$B$9*G71</f>
        <v>4635586.0334030418</v>
      </c>
      <c r="Q71" s="20">
        <f>'GS &lt; 50 OLS model'!$B$10*H71</f>
        <v>-268302.989268562</v>
      </c>
      <c r="R71" s="20">
        <f>'GS &lt; 50 OLS model'!$B$11*I71</f>
        <v>0</v>
      </c>
      <c r="S71" s="20">
        <f>'GS &lt; 50 OLS model'!$B$12*J71</f>
        <v>0</v>
      </c>
      <c r="T71" s="20">
        <f t="shared" ca="1" si="8"/>
        <v>5344311.3360458063</v>
      </c>
    </row>
    <row r="72" spans="1:20" ht="14.4" x14ac:dyDescent="0.3">
      <c r="A72" s="22">
        <v>41944</v>
      </c>
      <c r="B72" s="6">
        <f t="shared" si="9"/>
        <v>2014</v>
      </c>
      <c r="C72" s="20">
        <f ca="1">'Monthly Data'!J72</f>
        <v>5321955.4914958244</v>
      </c>
      <c r="D72" s="6">
        <f t="shared" ca="1" si="7"/>
        <v>364.2299999999999</v>
      </c>
      <c r="E72" s="6">
        <f t="shared" ca="1" si="7"/>
        <v>0.05</v>
      </c>
      <c r="F72" s="6">
        <f>'Monthly Data'!AJ72</f>
        <v>159.30000000000001</v>
      </c>
      <c r="G72" s="6">
        <f>'Monthly Data'!AL72</f>
        <v>30</v>
      </c>
      <c r="H72" s="6">
        <f>'Monthly Data'!BC72</f>
        <v>1</v>
      </c>
      <c r="I72" s="6">
        <f>'Monthly Data'!AQ72</f>
        <v>0</v>
      </c>
      <c r="J72" s="6">
        <f>'Monthly Data'!AZ72</f>
        <v>0</v>
      </c>
      <c r="L72" s="20">
        <f>'GS &lt; 50 OLS model'!$B$5</f>
        <v>-1088732.49289844</v>
      </c>
      <c r="M72" s="20">
        <f ca="1">'GS &lt; 50 OLS model'!$B$6*D72</f>
        <v>375493.59798331017</v>
      </c>
      <c r="N72" s="20">
        <f ca="1">'GS &lt; 50 OLS model'!$B$7*E72</f>
        <v>383.70307732353501</v>
      </c>
      <c r="O72" s="20">
        <f>'GS &lt; 50 OLS model'!$B$8*F72</f>
        <v>1817170.3752309955</v>
      </c>
      <c r="P72" s="20">
        <f>'GS &lt; 50 OLS model'!$B$9*G72</f>
        <v>4486051.0000674604</v>
      </c>
      <c r="Q72" s="20">
        <f>'GS &lt; 50 OLS model'!$B$10*H72</f>
        <v>-268302.989268562</v>
      </c>
      <c r="R72" s="20">
        <f>'GS &lt; 50 OLS model'!$B$11*I72</f>
        <v>0</v>
      </c>
      <c r="S72" s="20">
        <f>'GS &lt; 50 OLS model'!$B$12*J72</f>
        <v>0</v>
      </c>
      <c r="T72" s="20">
        <f t="shared" ca="1" si="8"/>
        <v>5322063.1941920873</v>
      </c>
    </row>
    <row r="73" spans="1:20" ht="14.4" x14ac:dyDescent="0.3">
      <c r="A73" s="22">
        <v>41974</v>
      </c>
      <c r="B73" s="6">
        <f t="shared" si="9"/>
        <v>2014</v>
      </c>
      <c r="C73" s="20">
        <f ca="1">'Monthly Data'!J73</f>
        <v>5607365.7681212937</v>
      </c>
      <c r="D73" s="6">
        <f t="shared" ca="1" si="7"/>
        <v>552.31000000000006</v>
      </c>
      <c r="E73" s="6">
        <f t="shared" ca="1" si="7"/>
        <v>0</v>
      </c>
      <c r="F73" s="6">
        <f>'Monthly Data'!AJ73</f>
        <v>161.1</v>
      </c>
      <c r="G73" s="6">
        <f>'Monthly Data'!AL73</f>
        <v>31</v>
      </c>
      <c r="H73" s="6">
        <f>'Monthly Data'!BC73</f>
        <v>0</v>
      </c>
      <c r="I73" s="6">
        <f>'Monthly Data'!AQ73</f>
        <v>0</v>
      </c>
      <c r="J73" s="6">
        <f>'Monthly Data'!AZ73</f>
        <v>1</v>
      </c>
      <c r="L73" s="20">
        <f>'GS &lt; 50 OLS model'!$B$5</f>
        <v>-1088732.49289844</v>
      </c>
      <c r="M73" s="20">
        <f ca="1">'GS &lt; 50 OLS model'!$B$6*D73</f>
        <v>569389.86108272825</v>
      </c>
      <c r="N73" s="20">
        <f ca="1">'GS &lt; 50 OLS model'!$B$7*E73</f>
        <v>0</v>
      </c>
      <c r="O73" s="20">
        <f>'GS &lt; 50 OLS model'!$B$8*F73</f>
        <v>1837703.3738211761</v>
      </c>
      <c r="P73" s="20">
        <f>'GS &lt; 50 OLS model'!$B$9*G73</f>
        <v>4635586.0334030418</v>
      </c>
      <c r="Q73" s="20">
        <f>'GS &lt; 50 OLS model'!$B$10*H73</f>
        <v>0</v>
      </c>
      <c r="R73" s="20">
        <f>'GS &lt; 50 OLS model'!$B$11*I73</f>
        <v>0</v>
      </c>
      <c r="S73" s="20">
        <f>'GS &lt; 50 OLS model'!$B$12*J73</f>
        <v>-197900.76217015099</v>
      </c>
      <c r="T73" s="20">
        <f t="shared" ca="1" si="8"/>
        <v>5756046.0132383555</v>
      </c>
    </row>
    <row r="74" spans="1:20" ht="14.4" x14ac:dyDescent="0.3">
      <c r="A74" s="22">
        <v>42005</v>
      </c>
      <c r="B74" s="6">
        <f t="shared" si="9"/>
        <v>2015</v>
      </c>
      <c r="C74" s="20">
        <f ca="1">'Monthly Data'!J74</f>
        <v>6138654.8951223567</v>
      </c>
      <c r="D74" s="6">
        <f t="shared" ca="1" si="7"/>
        <v>661.18999999999994</v>
      </c>
      <c r="E74" s="6">
        <f t="shared" ca="1" si="7"/>
        <v>0</v>
      </c>
      <c r="F74" s="6">
        <f>'Monthly Data'!AJ74</f>
        <v>159.30000000000001</v>
      </c>
      <c r="G74" s="6">
        <f>'Monthly Data'!AL74</f>
        <v>31</v>
      </c>
      <c r="H74" s="6">
        <f>'Monthly Data'!BC74</f>
        <v>0</v>
      </c>
      <c r="I74" s="6">
        <f>'Monthly Data'!AQ74</f>
        <v>0</v>
      </c>
      <c r="J74" s="6">
        <f>'Monthly Data'!AZ74</f>
        <v>0</v>
      </c>
      <c r="L74" s="20">
        <f>'GS &lt; 50 OLS model'!$B$5</f>
        <v>-1088732.49289844</v>
      </c>
      <c r="M74" s="20">
        <f ca="1">'GS &lt; 50 OLS model'!$B$6*D74</f>
        <v>681636.91088209348</v>
      </c>
      <c r="N74" s="20">
        <f ca="1">'GS &lt; 50 OLS model'!$B$7*E74</f>
        <v>0</v>
      </c>
      <c r="O74" s="20">
        <f>'GS &lt; 50 OLS model'!$B$8*F74</f>
        <v>1817170.3752309955</v>
      </c>
      <c r="P74" s="20">
        <f>'GS &lt; 50 OLS model'!$B$9*G74</f>
        <v>4635586.0334030418</v>
      </c>
      <c r="Q74" s="20">
        <f>'GS &lt; 50 OLS model'!$B$10*H74</f>
        <v>0</v>
      </c>
      <c r="R74" s="20">
        <f>'GS &lt; 50 OLS model'!$B$11*I74</f>
        <v>0</v>
      </c>
      <c r="S74" s="20">
        <f>'GS &lt; 50 OLS model'!$B$12*J74</f>
        <v>0</v>
      </c>
      <c r="T74" s="20">
        <f t="shared" ca="1" si="8"/>
        <v>6045660.8266176907</v>
      </c>
    </row>
    <row r="75" spans="1:20" ht="14.4" x14ac:dyDescent="0.3">
      <c r="A75" s="22">
        <v>42036</v>
      </c>
      <c r="B75" s="6">
        <f t="shared" si="9"/>
        <v>2015</v>
      </c>
      <c r="C75" s="20">
        <f ca="1">'Monthly Data'!J75</f>
        <v>5764948.0921516865</v>
      </c>
      <c r="D75" s="6">
        <f t="shared" ca="1" si="7"/>
        <v>598.16999999999985</v>
      </c>
      <c r="E75" s="6">
        <f t="shared" ca="1" si="7"/>
        <v>0</v>
      </c>
      <c r="F75" s="6">
        <f>'Monthly Data'!AJ75</f>
        <v>159.1</v>
      </c>
      <c r="G75" s="6">
        <f>'Monthly Data'!AL75</f>
        <v>28</v>
      </c>
      <c r="H75" s="6">
        <f>'Monthly Data'!BC75</f>
        <v>0</v>
      </c>
      <c r="I75" s="6">
        <f>'Monthly Data'!AQ75</f>
        <v>0</v>
      </c>
      <c r="J75" s="6">
        <f>'Monthly Data'!AZ75</f>
        <v>0</v>
      </c>
      <c r="L75" s="20">
        <f>'GS &lt; 50 OLS model'!$B$5</f>
        <v>-1088732.49289844</v>
      </c>
      <c r="M75" s="20">
        <f ca="1">'GS &lt; 50 OLS model'!$B$6*D75</f>
        <v>616668.05454157165</v>
      </c>
      <c r="N75" s="20">
        <f ca="1">'GS &lt; 50 OLS model'!$B$7*E75</f>
        <v>0</v>
      </c>
      <c r="O75" s="20">
        <f>'GS &lt; 50 OLS model'!$B$8*F75</f>
        <v>1814888.9309431976</v>
      </c>
      <c r="P75" s="20">
        <f>'GS &lt; 50 OLS model'!$B$9*G75</f>
        <v>4186980.9333962961</v>
      </c>
      <c r="Q75" s="20">
        <f>'GS &lt; 50 OLS model'!$B$10*H75</f>
        <v>0</v>
      </c>
      <c r="R75" s="20">
        <f>'GS &lt; 50 OLS model'!$B$11*I75</f>
        <v>0</v>
      </c>
      <c r="S75" s="20">
        <f>'GS &lt; 50 OLS model'!$B$12*J75</f>
        <v>0</v>
      </c>
      <c r="T75" s="20">
        <f t="shared" ca="1" si="8"/>
        <v>5529805.4259826252</v>
      </c>
    </row>
    <row r="76" spans="1:20" ht="14.4" x14ac:dyDescent="0.3">
      <c r="A76" s="22">
        <v>42064</v>
      </c>
      <c r="B76" s="6">
        <f t="shared" si="9"/>
        <v>2015</v>
      </c>
      <c r="C76" s="20">
        <f ca="1">'Monthly Data'!J76</f>
        <v>5877289.8461922556</v>
      </c>
      <c r="D76" s="6">
        <f t="shared" ca="1" si="7"/>
        <v>451.34</v>
      </c>
      <c r="E76" s="6">
        <f t="shared" ca="1" si="7"/>
        <v>0.88000000000000012</v>
      </c>
      <c r="F76" s="6">
        <f>'Monthly Data'!AJ76</f>
        <v>156.1</v>
      </c>
      <c r="G76" s="6">
        <f>'Monthly Data'!AL76</f>
        <v>31</v>
      </c>
      <c r="H76" s="6">
        <f>'Monthly Data'!BC76</f>
        <v>1</v>
      </c>
      <c r="I76" s="6">
        <f>'Monthly Data'!AQ76</f>
        <v>1</v>
      </c>
      <c r="J76" s="6">
        <f>'Monthly Data'!AZ76</f>
        <v>0</v>
      </c>
      <c r="L76" s="20">
        <f>'GS &lt; 50 OLS model'!$B$5</f>
        <v>-1088732.49289844</v>
      </c>
      <c r="M76" s="20">
        <f ca="1">'GS &lt; 50 OLS model'!$B$6*D76</f>
        <v>465297.42336926464</v>
      </c>
      <c r="N76" s="20">
        <f ca="1">'GS &lt; 50 OLS model'!$B$7*E76</f>
        <v>6753.1741608942166</v>
      </c>
      <c r="O76" s="20">
        <f>'GS &lt; 50 OLS model'!$B$8*F76</f>
        <v>1780667.2666262295</v>
      </c>
      <c r="P76" s="20">
        <f>'GS &lt; 50 OLS model'!$B$9*G76</f>
        <v>4635586.0334030418</v>
      </c>
      <c r="Q76" s="20">
        <f>'GS &lt; 50 OLS model'!$B$10*H76</f>
        <v>-268302.989268562</v>
      </c>
      <c r="R76" s="20">
        <f>'GS &lt; 50 OLS model'!$B$11*I76</f>
        <v>178696.970766832</v>
      </c>
      <c r="S76" s="20">
        <f>'GS &lt; 50 OLS model'!$B$12*J76</f>
        <v>0</v>
      </c>
      <c r="T76" s="20">
        <f t="shared" ca="1" si="8"/>
        <v>5709965.3861592608</v>
      </c>
    </row>
    <row r="77" spans="1:20" ht="14.4" x14ac:dyDescent="0.3">
      <c r="A77" s="22">
        <v>42095</v>
      </c>
      <c r="B77" s="6">
        <f t="shared" si="9"/>
        <v>2015</v>
      </c>
      <c r="C77" s="20">
        <f ca="1">'Monthly Data'!J77</f>
        <v>5256653.9320181254</v>
      </c>
      <c r="D77" s="6">
        <f t="shared" ca="1" si="7"/>
        <v>259.5499999999999</v>
      </c>
      <c r="E77" s="6">
        <f t="shared" ca="1" si="7"/>
        <v>2.4500000000000002</v>
      </c>
      <c r="F77" s="6">
        <f>'Monthly Data'!AJ77</f>
        <v>156.4</v>
      </c>
      <c r="G77" s="6">
        <f>'Monthly Data'!AL77</f>
        <v>30</v>
      </c>
      <c r="H77" s="6">
        <f>'Monthly Data'!BC77</f>
        <v>1</v>
      </c>
      <c r="I77" s="6">
        <f>'Monthly Data'!AQ77</f>
        <v>0</v>
      </c>
      <c r="J77" s="6">
        <f>'Monthly Data'!AZ77</f>
        <v>0</v>
      </c>
      <c r="L77" s="20">
        <f>'GS &lt; 50 OLS model'!$B$5</f>
        <v>-1088732.49289844</v>
      </c>
      <c r="M77" s="20">
        <f ca="1">'GS &lt; 50 OLS model'!$B$6*D77</f>
        <v>267576.4307074325</v>
      </c>
      <c r="N77" s="20">
        <f ca="1">'GS &lt; 50 OLS model'!$B$7*E77</f>
        <v>18801.450788853217</v>
      </c>
      <c r="O77" s="20">
        <f>'GS &lt; 50 OLS model'!$B$8*F77</f>
        <v>1784089.4330579266</v>
      </c>
      <c r="P77" s="20">
        <f>'GS &lt; 50 OLS model'!$B$9*G77</f>
        <v>4486051.0000674604</v>
      </c>
      <c r="Q77" s="20">
        <f>'GS &lt; 50 OLS model'!$B$10*H77</f>
        <v>-268302.989268562</v>
      </c>
      <c r="R77" s="20">
        <f>'GS &lt; 50 OLS model'!$B$11*I77</f>
        <v>0</v>
      </c>
      <c r="S77" s="20">
        <f>'GS &lt; 50 OLS model'!$B$12*J77</f>
        <v>0</v>
      </c>
      <c r="T77" s="20">
        <f t="shared" ca="1" si="8"/>
        <v>5199482.8324546712</v>
      </c>
    </row>
    <row r="78" spans="1:20" ht="14.4" x14ac:dyDescent="0.3">
      <c r="A78" s="22">
        <v>42125</v>
      </c>
      <c r="B78" s="6">
        <f t="shared" si="9"/>
        <v>2015</v>
      </c>
      <c r="C78" s="20">
        <f ca="1">'Monthly Data'!J78</f>
        <v>5523884.798593577</v>
      </c>
      <c r="D78" s="6">
        <f t="shared" ref="D78:E93" ca="1" si="10">D66</f>
        <v>88.880000000000024</v>
      </c>
      <c r="E78" s="6">
        <f t="shared" ca="1" si="10"/>
        <v>43.79999999999999</v>
      </c>
      <c r="F78" s="6">
        <f>'Monthly Data'!AJ78</f>
        <v>159.1</v>
      </c>
      <c r="G78" s="6">
        <f>'Monthly Data'!AL78</f>
        <v>31</v>
      </c>
      <c r="H78" s="6">
        <f>'Monthly Data'!BC78</f>
        <v>1</v>
      </c>
      <c r="I78" s="6">
        <f>'Monthly Data'!AQ78</f>
        <v>0</v>
      </c>
      <c r="J78" s="6">
        <f>'Monthly Data'!AZ78</f>
        <v>0</v>
      </c>
      <c r="L78" s="20">
        <f>'GS &lt; 50 OLS model'!$B$5</f>
        <v>-1088732.49289844</v>
      </c>
      <c r="M78" s="20">
        <f ca="1">'GS &lt; 50 OLS model'!$B$6*D78</f>
        <v>91628.56159228133</v>
      </c>
      <c r="N78" s="20">
        <f ca="1">'GS &lt; 50 OLS model'!$B$7*E78</f>
        <v>336123.89573541656</v>
      </c>
      <c r="O78" s="20">
        <f>'GS &lt; 50 OLS model'!$B$8*F78</f>
        <v>1814888.9309431976</v>
      </c>
      <c r="P78" s="20">
        <f>'GS &lt; 50 OLS model'!$B$9*G78</f>
        <v>4635586.0334030418</v>
      </c>
      <c r="Q78" s="20">
        <f>'GS &lt; 50 OLS model'!$B$10*H78</f>
        <v>-268302.989268562</v>
      </c>
      <c r="R78" s="20">
        <f>'GS &lt; 50 OLS model'!$B$11*I78</f>
        <v>0</v>
      </c>
      <c r="S78" s="20">
        <f>'GS &lt; 50 OLS model'!$B$12*J78</f>
        <v>0</v>
      </c>
      <c r="T78" s="20">
        <f t="shared" ca="1" si="8"/>
        <v>5521191.939506935</v>
      </c>
    </row>
    <row r="79" spans="1:20" ht="14.4" x14ac:dyDescent="0.3">
      <c r="A79" s="22">
        <v>42156</v>
      </c>
      <c r="B79" s="6">
        <f t="shared" si="9"/>
        <v>2015</v>
      </c>
      <c r="C79" s="20">
        <f ca="1">'Monthly Data'!J79</f>
        <v>5811463.5627860669</v>
      </c>
      <c r="D79" s="6">
        <f t="shared" ca="1" si="10"/>
        <v>9.77</v>
      </c>
      <c r="E79" s="6">
        <f t="shared" ca="1" si="10"/>
        <v>117.38999999999999</v>
      </c>
      <c r="F79" s="6">
        <f>'Monthly Data'!AJ79</f>
        <v>163.9</v>
      </c>
      <c r="G79" s="6">
        <f>'Monthly Data'!AL79</f>
        <v>30</v>
      </c>
      <c r="H79" s="6">
        <f>'Monthly Data'!BC79</f>
        <v>0</v>
      </c>
      <c r="I79" s="6">
        <f>'Monthly Data'!AQ79</f>
        <v>0</v>
      </c>
      <c r="J79" s="6">
        <f>'Monthly Data'!AZ79</f>
        <v>0</v>
      </c>
      <c r="L79" s="20">
        <f>'GS &lt; 50 OLS model'!$B$5</f>
        <v>-1088732.49289844</v>
      </c>
      <c r="M79" s="20">
        <f ca="1">'GS &lt; 50 OLS model'!$B$6*D79</f>
        <v>10072.131489160534</v>
      </c>
      <c r="N79" s="20">
        <f ca="1">'GS &lt; 50 OLS model'!$B$7*E79</f>
        <v>900858.08494019532</v>
      </c>
      <c r="O79" s="20">
        <f>'GS &lt; 50 OLS model'!$B$8*F79</f>
        <v>1869643.5938503463</v>
      </c>
      <c r="P79" s="20">
        <f>'GS &lt; 50 OLS model'!$B$9*G79</f>
        <v>4486051.0000674604</v>
      </c>
      <c r="Q79" s="20">
        <f>'GS &lt; 50 OLS model'!$B$10*H79</f>
        <v>0</v>
      </c>
      <c r="R79" s="20">
        <f>'GS &lt; 50 OLS model'!$B$11*I79</f>
        <v>0</v>
      </c>
      <c r="S79" s="20">
        <f>'GS &lt; 50 OLS model'!$B$12*J79</f>
        <v>0</v>
      </c>
      <c r="T79" s="20">
        <f t="shared" ca="1" si="8"/>
        <v>6177892.3174487222</v>
      </c>
    </row>
    <row r="80" spans="1:20" ht="14.4" x14ac:dyDescent="0.3">
      <c r="A80" s="22">
        <v>42186</v>
      </c>
      <c r="B80" s="6">
        <f t="shared" si="9"/>
        <v>2015</v>
      </c>
      <c r="C80" s="20">
        <f ca="1">'Monthly Data'!J80</f>
        <v>6564410.1322790775</v>
      </c>
      <c r="D80" s="6">
        <f t="shared" ca="1" si="10"/>
        <v>0.58000000000000007</v>
      </c>
      <c r="E80" s="6">
        <f t="shared" ca="1" si="10"/>
        <v>179.70999999999998</v>
      </c>
      <c r="F80" s="6">
        <f>'Monthly Data'!AJ80</f>
        <v>164.8</v>
      </c>
      <c r="G80" s="6">
        <f>'Monthly Data'!AL80</f>
        <v>31</v>
      </c>
      <c r="H80" s="6">
        <f>'Monthly Data'!BC80</f>
        <v>0</v>
      </c>
      <c r="I80" s="6">
        <f>'Monthly Data'!AQ80</f>
        <v>0</v>
      </c>
      <c r="J80" s="6">
        <f>'Monthly Data'!AZ80</f>
        <v>0</v>
      </c>
      <c r="L80" s="20">
        <f>'GS &lt; 50 OLS model'!$B$5</f>
        <v>-1088732.49289844</v>
      </c>
      <c r="M80" s="20">
        <f ca="1">'GS &lt; 50 OLS model'!$B$6*D80</f>
        <v>597.93615800543614</v>
      </c>
      <c r="N80" s="20">
        <f ca="1">'GS &lt; 50 OLS model'!$B$7*E80</f>
        <v>1379105.6005162492</v>
      </c>
      <c r="O80" s="20">
        <f>'GS &lt; 50 OLS model'!$B$8*F80</f>
        <v>1879910.0931454366</v>
      </c>
      <c r="P80" s="20">
        <f>'GS &lt; 50 OLS model'!$B$9*G80</f>
        <v>4635586.0334030418</v>
      </c>
      <c r="Q80" s="20">
        <f>'GS &lt; 50 OLS model'!$B$10*H80</f>
        <v>0</v>
      </c>
      <c r="R80" s="20">
        <f>'GS &lt; 50 OLS model'!$B$11*I80</f>
        <v>0</v>
      </c>
      <c r="S80" s="20">
        <f>'GS &lt; 50 OLS model'!$B$12*J80</f>
        <v>0</v>
      </c>
      <c r="T80" s="20">
        <f t="shared" ca="1" si="8"/>
        <v>6806467.170324293</v>
      </c>
    </row>
    <row r="81" spans="1:20" ht="14.4" x14ac:dyDescent="0.3">
      <c r="A81" s="22">
        <v>42217</v>
      </c>
      <c r="B81" s="6">
        <f t="shared" si="9"/>
        <v>2015</v>
      </c>
      <c r="C81" s="20">
        <f ca="1">'Monthly Data'!J81</f>
        <v>6616646.7096852958</v>
      </c>
      <c r="D81" s="6">
        <f t="shared" ca="1" si="10"/>
        <v>1.7099999999999997</v>
      </c>
      <c r="E81" s="6">
        <f t="shared" ca="1" si="10"/>
        <v>158.1</v>
      </c>
      <c r="F81" s="6">
        <f>'Monthly Data'!AJ81</f>
        <v>160.80000000000001</v>
      </c>
      <c r="G81" s="6">
        <f>'Monthly Data'!AL81</f>
        <v>31</v>
      </c>
      <c r="H81" s="6">
        <f>'Monthly Data'!BC81</f>
        <v>0</v>
      </c>
      <c r="I81" s="6">
        <f>'Monthly Data'!AQ81</f>
        <v>0</v>
      </c>
      <c r="J81" s="6">
        <f>'Monthly Data'!AZ81</f>
        <v>0</v>
      </c>
      <c r="L81" s="20">
        <f>'GS &lt; 50 OLS model'!$B$5</f>
        <v>-1088732.49289844</v>
      </c>
      <c r="M81" s="20">
        <f ca="1">'GS &lt; 50 OLS model'!$B$6*D81</f>
        <v>1762.8807417056819</v>
      </c>
      <c r="N81" s="20">
        <f ca="1">'GS &lt; 50 OLS model'!$B$7*E81</f>
        <v>1213269.1304970176</v>
      </c>
      <c r="O81" s="20">
        <f>'GS &lt; 50 OLS model'!$B$8*F81</f>
        <v>1834281.2073894795</v>
      </c>
      <c r="P81" s="20">
        <f>'GS &lt; 50 OLS model'!$B$9*G81</f>
        <v>4635586.0334030418</v>
      </c>
      <c r="Q81" s="20">
        <f>'GS &lt; 50 OLS model'!$B$10*H81</f>
        <v>0</v>
      </c>
      <c r="R81" s="20">
        <f>'GS &lt; 50 OLS model'!$B$11*I81</f>
        <v>0</v>
      </c>
      <c r="S81" s="20">
        <f>'GS &lt; 50 OLS model'!$B$12*J81</f>
        <v>0</v>
      </c>
      <c r="T81" s="20">
        <f t="shared" ca="1" si="8"/>
        <v>6596166.7591328043</v>
      </c>
    </row>
    <row r="82" spans="1:20" ht="14.4" x14ac:dyDescent="0.3">
      <c r="A82" s="22">
        <v>42248</v>
      </c>
      <c r="B82" s="6">
        <f t="shared" si="9"/>
        <v>2015</v>
      </c>
      <c r="C82" s="20">
        <f ca="1">'Monthly Data'!J82</f>
        <v>5977507.3728412967</v>
      </c>
      <c r="D82" s="6">
        <f t="shared" ca="1" si="10"/>
        <v>32.68</v>
      </c>
      <c r="E82" s="6">
        <f t="shared" ca="1" si="10"/>
        <v>67.34</v>
      </c>
      <c r="F82" s="6">
        <f>'Monthly Data'!AJ82</f>
        <v>156.69999999999999</v>
      </c>
      <c r="G82" s="6">
        <f>'Monthly Data'!AL82</f>
        <v>30</v>
      </c>
      <c r="H82" s="6">
        <f>'Monthly Data'!BC82</f>
        <v>0</v>
      </c>
      <c r="I82" s="6">
        <f>'Monthly Data'!AQ82</f>
        <v>0</v>
      </c>
      <c r="J82" s="6">
        <f>'Monthly Data'!AZ82</f>
        <v>0</v>
      </c>
      <c r="L82" s="20">
        <f>'GS &lt; 50 OLS model'!$B$5</f>
        <v>-1088732.49289844</v>
      </c>
      <c r="M82" s="20">
        <f ca="1">'GS &lt; 50 OLS model'!$B$6*D82</f>
        <v>33690.609730375261</v>
      </c>
      <c r="N82" s="20">
        <f ca="1">'GS &lt; 50 OLS model'!$B$7*E82</f>
        <v>516771.30453933694</v>
      </c>
      <c r="O82" s="20">
        <f>'GS &lt; 50 OLS model'!$B$8*F82</f>
        <v>1787511.5994896232</v>
      </c>
      <c r="P82" s="20">
        <f>'GS &lt; 50 OLS model'!$B$9*G82</f>
        <v>4486051.0000674604</v>
      </c>
      <c r="Q82" s="20">
        <f>'GS &lt; 50 OLS model'!$B$10*H82</f>
        <v>0</v>
      </c>
      <c r="R82" s="20">
        <f>'GS &lt; 50 OLS model'!$B$11*I82</f>
        <v>0</v>
      </c>
      <c r="S82" s="20">
        <f>'GS &lt; 50 OLS model'!$B$12*J82</f>
        <v>0</v>
      </c>
      <c r="T82" s="20">
        <f t="shared" ca="1" si="8"/>
        <v>5735292.0209283559</v>
      </c>
    </row>
    <row r="83" spans="1:20" ht="14.4" x14ac:dyDescent="0.3">
      <c r="A83" s="22">
        <v>42278</v>
      </c>
      <c r="B83" s="6">
        <f t="shared" si="9"/>
        <v>2015</v>
      </c>
      <c r="C83" s="20">
        <f ca="1">'Monthly Data'!J83</f>
        <v>5373712.4503277764</v>
      </c>
      <c r="D83" s="6">
        <f t="shared" ca="1" si="10"/>
        <v>176.42</v>
      </c>
      <c r="E83" s="6">
        <f t="shared" ca="1" si="10"/>
        <v>10.18</v>
      </c>
      <c r="F83" s="6">
        <f>'Monthly Data'!AJ83</f>
        <v>155.1</v>
      </c>
      <c r="G83" s="6">
        <f>'Monthly Data'!AL83</f>
        <v>31</v>
      </c>
      <c r="H83" s="6">
        <f>'Monthly Data'!BC83</f>
        <v>1</v>
      </c>
      <c r="I83" s="6">
        <f>'Monthly Data'!AQ83</f>
        <v>0</v>
      </c>
      <c r="J83" s="6">
        <f>'Monthly Data'!AZ83</f>
        <v>0</v>
      </c>
      <c r="L83" s="20">
        <f>'GS &lt; 50 OLS model'!$B$5</f>
        <v>-1088732.49289844</v>
      </c>
      <c r="M83" s="20">
        <f ca="1">'GS &lt; 50 OLS model'!$B$6*D83</f>
        <v>181875.68447468797</v>
      </c>
      <c r="N83" s="20">
        <f ca="1">'GS &lt; 50 OLS model'!$B$7*E83</f>
        <v>78121.946543071725</v>
      </c>
      <c r="O83" s="20">
        <f>'GS &lt; 50 OLS model'!$B$8*F83</f>
        <v>1769260.0451872402</v>
      </c>
      <c r="P83" s="20">
        <f>'GS &lt; 50 OLS model'!$B$9*G83</f>
        <v>4635586.0334030418</v>
      </c>
      <c r="Q83" s="20">
        <f>'GS &lt; 50 OLS model'!$B$10*H83</f>
        <v>-268302.989268562</v>
      </c>
      <c r="R83" s="20">
        <f>'GS &lt; 50 OLS model'!$B$11*I83</f>
        <v>0</v>
      </c>
      <c r="S83" s="20">
        <f>'GS &lt; 50 OLS model'!$B$12*J83</f>
        <v>0</v>
      </c>
      <c r="T83" s="20">
        <f t="shared" ca="1" si="8"/>
        <v>5307808.2274410399</v>
      </c>
    </row>
    <row r="84" spans="1:20" ht="14.4" x14ac:dyDescent="0.3">
      <c r="A84" s="22">
        <v>42309</v>
      </c>
      <c r="B84" s="6">
        <f t="shared" si="9"/>
        <v>2015</v>
      </c>
      <c r="C84" s="20">
        <f ca="1">'Monthly Data'!J84</f>
        <v>5197735.0653956272</v>
      </c>
      <c r="D84" s="6">
        <f t="shared" ca="1" si="10"/>
        <v>364.2299999999999</v>
      </c>
      <c r="E84" s="6">
        <f t="shared" ca="1" si="10"/>
        <v>0.05</v>
      </c>
      <c r="F84" s="6">
        <f>'Monthly Data'!AJ84</f>
        <v>155.19999999999999</v>
      </c>
      <c r="G84" s="6">
        <f>'Monthly Data'!AL84</f>
        <v>30</v>
      </c>
      <c r="H84" s="6">
        <f>'Monthly Data'!BC84</f>
        <v>1</v>
      </c>
      <c r="I84" s="6">
        <f>'Monthly Data'!AQ84</f>
        <v>0</v>
      </c>
      <c r="J84" s="6">
        <f>'Monthly Data'!AZ84</f>
        <v>0</v>
      </c>
      <c r="L84" s="20">
        <f>'GS &lt; 50 OLS model'!$B$5</f>
        <v>-1088732.49289844</v>
      </c>
      <c r="M84" s="20">
        <f ca="1">'GS &lt; 50 OLS model'!$B$6*D84</f>
        <v>375493.59798331017</v>
      </c>
      <c r="N84" s="20">
        <f ca="1">'GS &lt; 50 OLS model'!$B$7*E84</f>
        <v>383.70307732353501</v>
      </c>
      <c r="O84" s="20">
        <f>'GS &lt; 50 OLS model'!$B$8*F84</f>
        <v>1770400.7673311392</v>
      </c>
      <c r="P84" s="20">
        <f>'GS &lt; 50 OLS model'!$B$9*G84</f>
        <v>4486051.0000674604</v>
      </c>
      <c r="Q84" s="20">
        <f>'GS &lt; 50 OLS model'!$B$10*H84</f>
        <v>-268302.989268562</v>
      </c>
      <c r="R84" s="20">
        <f>'GS &lt; 50 OLS model'!$B$11*I84</f>
        <v>0</v>
      </c>
      <c r="S84" s="20">
        <f>'GS &lt; 50 OLS model'!$B$12*J84</f>
        <v>0</v>
      </c>
      <c r="T84" s="20">
        <f t="shared" ca="1" si="8"/>
        <v>5275293.5862922315</v>
      </c>
    </row>
    <row r="85" spans="1:20" ht="14.4" x14ac:dyDescent="0.3">
      <c r="A85" s="22">
        <v>42339</v>
      </c>
      <c r="B85" s="6">
        <f t="shared" si="9"/>
        <v>2015</v>
      </c>
      <c r="C85" s="20">
        <f ca="1">'Monthly Data'!J85</f>
        <v>5436965.1526454762</v>
      </c>
      <c r="D85" s="6">
        <f t="shared" ca="1" si="10"/>
        <v>552.31000000000006</v>
      </c>
      <c r="E85" s="6">
        <f t="shared" ca="1" si="10"/>
        <v>0</v>
      </c>
      <c r="F85" s="6">
        <f>'Monthly Data'!AJ85</f>
        <v>155.19999999999999</v>
      </c>
      <c r="G85" s="6">
        <f>'Monthly Data'!AL85</f>
        <v>31</v>
      </c>
      <c r="H85" s="6">
        <f>'Monthly Data'!BC85</f>
        <v>0</v>
      </c>
      <c r="I85" s="6">
        <f>'Monthly Data'!AQ85</f>
        <v>0</v>
      </c>
      <c r="J85" s="6">
        <f>'Monthly Data'!AZ85</f>
        <v>1</v>
      </c>
      <c r="L85" s="20">
        <f>'GS &lt; 50 OLS model'!$B$5</f>
        <v>-1088732.49289844</v>
      </c>
      <c r="M85" s="20">
        <f ca="1">'GS &lt; 50 OLS model'!$B$6*D85</f>
        <v>569389.86108272825</v>
      </c>
      <c r="N85" s="20">
        <f ca="1">'GS &lt; 50 OLS model'!$B$7*E85</f>
        <v>0</v>
      </c>
      <c r="O85" s="20">
        <f>'GS &lt; 50 OLS model'!$B$8*F85</f>
        <v>1770400.7673311392</v>
      </c>
      <c r="P85" s="20">
        <f>'GS &lt; 50 OLS model'!$B$9*G85</f>
        <v>4635586.0334030418</v>
      </c>
      <c r="Q85" s="20">
        <f>'GS &lt; 50 OLS model'!$B$10*H85</f>
        <v>0</v>
      </c>
      <c r="R85" s="20">
        <f>'GS &lt; 50 OLS model'!$B$11*I85</f>
        <v>0</v>
      </c>
      <c r="S85" s="20">
        <f>'GS &lt; 50 OLS model'!$B$12*J85</f>
        <v>-197900.76217015099</v>
      </c>
      <c r="T85" s="20">
        <f t="shared" ca="1" si="8"/>
        <v>5688743.4067483181</v>
      </c>
    </row>
    <row r="86" spans="1:20" ht="14.4" x14ac:dyDescent="0.3">
      <c r="A86" s="22">
        <v>42370</v>
      </c>
      <c r="B86" s="6">
        <f t="shared" si="9"/>
        <v>2016</v>
      </c>
      <c r="C86" s="20">
        <f ca="1">'Monthly Data'!J86</f>
        <v>5983744.549699422</v>
      </c>
      <c r="D86" s="6">
        <f t="shared" ca="1" si="10"/>
        <v>661.18999999999994</v>
      </c>
      <c r="E86" s="6">
        <f t="shared" ca="1" si="10"/>
        <v>0</v>
      </c>
      <c r="F86" s="6">
        <f>'Monthly Data'!AJ86</f>
        <v>155</v>
      </c>
      <c r="G86" s="6">
        <f>'Monthly Data'!AL86</f>
        <v>31</v>
      </c>
      <c r="H86" s="6">
        <f>'Monthly Data'!BC86</f>
        <v>0</v>
      </c>
      <c r="I86" s="6">
        <f>'Monthly Data'!AQ86</f>
        <v>0</v>
      </c>
      <c r="J86" s="6">
        <f>'Monthly Data'!AZ86</f>
        <v>0</v>
      </c>
      <c r="L86" s="20">
        <f>'GS &lt; 50 OLS model'!$B$5</f>
        <v>-1088732.49289844</v>
      </c>
      <c r="M86" s="20">
        <f ca="1">'GS &lt; 50 OLS model'!$B$6*D86</f>
        <v>681636.91088209348</v>
      </c>
      <c r="N86" s="20">
        <f ca="1">'GS &lt; 50 OLS model'!$B$7*E86</f>
        <v>0</v>
      </c>
      <c r="O86" s="20">
        <f>'GS &lt; 50 OLS model'!$B$8*F86</f>
        <v>1768119.3230433415</v>
      </c>
      <c r="P86" s="20">
        <f>'GS &lt; 50 OLS model'!$B$9*G86</f>
        <v>4635586.0334030418</v>
      </c>
      <c r="Q86" s="20">
        <f>'GS &lt; 50 OLS model'!$B$10*H86</f>
        <v>0</v>
      </c>
      <c r="R86" s="20">
        <f>'GS &lt; 50 OLS model'!$B$11*I86</f>
        <v>0</v>
      </c>
      <c r="S86" s="20">
        <f>'GS &lt; 50 OLS model'!$B$12*J86</f>
        <v>0</v>
      </c>
      <c r="T86" s="20">
        <f t="shared" ca="1" si="8"/>
        <v>5996609.7744300365</v>
      </c>
    </row>
    <row r="87" spans="1:20" ht="14.4" x14ac:dyDescent="0.3">
      <c r="A87" s="22">
        <v>42401</v>
      </c>
      <c r="B87" s="6">
        <f t="shared" si="9"/>
        <v>2016</v>
      </c>
      <c r="C87" s="20">
        <f ca="1">'Monthly Data'!J87</f>
        <v>5658701.1016067518</v>
      </c>
      <c r="D87" s="6">
        <f t="shared" ca="1" si="10"/>
        <v>598.16999999999985</v>
      </c>
      <c r="E87" s="6">
        <f t="shared" ca="1" si="10"/>
        <v>0</v>
      </c>
      <c r="F87" s="6">
        <f>'Monthly Data'!AJ87</f>
        <v>156</v>
      </c>
      <c r="G87" s="6">
        <f>'Monthly Data'!AL87</f>
        <v>29</v>
      </c>
      <c r="H87" s="6">
        <f>'Monthly Data'!BC87</f>
        <v>0</v>
      </c>
      <c r="I87" s="6">
        <f>'Monthly Data'!AQ87</f>
        <v>0</v>
      </c>
      <c r="J87" s="6">
        <f>'Monthly Data'!AZ87</f>
        <v>0</v>
      </c>
      <c r="L87" s="20">
        <f>'GS &lt; 50 OLS model'!$B$5</f>
        <v>-1088732.49289844</v>
      </c>
      <c r="M87" s="20">
        <f ca="1">'GS &lt; 50 OLS model'!$B$6*D87</f>
        <v>616668.05454157165</v>
      </c>
      <c r="N87" s="20">
        <f ca="1">'GS &lt; 50 OLS model'!$B$7*E87</f>
        <v>0</v>
      </c>
      <c r="O87" s="20">
        <f>'GS &lt; 50 OLS model'!$B$8*F87</f>
        <v>1779526.5444823308</v>
      </c>
      <c r="P87" s="20">
        <f>'GS &lt; 50 OLS model'!$B$9*G87</f>
        <v>4336515.966731878</v>
      </c>
      <c r="Q87" s="20">
        <f>'GS &lt; 50 OLS model'!$B$10*H87</f>
        <v>0</v>
      </c>
      <c r="R87" s="20">
        <f>'GS &lt; 50 OLS model'!$B$11*I87</f>
        <v>0</v>
      </c>
      <c r="S87" s="20">
        <f>'GS &lt; 50 OLS model'!$B$12*J87</f>
        <v>0</v>
      </c>
      <c r="T87" s="20">
        <f t="shared" ca="1" si="8"/>
        <v>5643978.0728573408</v>
      </c>
    </row>
    <row r="88" spans="1:20" ht="14.4" x14ac:dyDescent="0.3">
      <c r="A88" s="22">
        <v>42430</v>
      </c>
      <c r="B88" s="6">
        <f t="shared" si="9"/>
        <v>2016</v>
      </c>
      <c r="C88" s="20">
        <f ca="1">'Monthly Data'!J88</f>
        <v>5678484.0661395518</v>
      </c>
      <c r="D88" s="6">
        <f t="shared" ca="1" si="10"/>
        <v>451.34</v>
      </c>
      <c r="E88" s="6">
        <f t="shared" ca="1" si="10"/>
        <v>0.88000000000000012</v>
      </c>
      <c r="F88" s="6">
        <f>'Monthly Data'!AJ88</f>
        <v>156.80000000000001</v>
      </c>
      <c r="G88" s="6">
        <f>'Monthly Data'!AL88</f>
        <v>31</v>
      </c>
      <c r="H88" s="6">
        <f>'Monthly Data'!BC88</f>
        <v>1</v>
      </c>
      <c r="I88" s="6">
        <f>'Monthly Data'!AQ88</f>
        <v>1</v>
      </c>
      <c r="J88" s="6">
        <f>'Monthly Data'!AZ88</f>
        <v>0</v>
      </c>
      <c r="L88" s="20">
        <f>'GS &lt; 50 OLS model'!$B$5</f>
        <v>-1088732.49289844</v>
      </c>
      <c r="M88" s="20">
        <f ca="1">'GS &lt; 50 OLS model'!$B$6*D88</f>
        <v>465297.42336926464</v>
      </c>
      <c r="N88" s="20">
        <f ca="1">'GS &lt; 50 OLS model'!$B$7*E88</f>
        <v>6753.1741608942166</v>
      </c>
      <c r="O88" s="20">
        <f>'GS &lt; 50 OLS model'!$B$8*F88</f>
        <v>1788652.3216335224</v>
      </c>
      <c r="P88" s="20">
        <f>'GS &lt; 50 OLS model'!$B$9*G88</f>
        <v>4635586.0334030418</v>
      </c>
      <c r="Q88" s="20">
        <f>'GS &lt; 50 OLS model'!$B$10*H88</f>
        <v>-268302.989268562</v>
      </c>
      <c r="R88" s="20">
        <f>'GS &lt; 50 OLS model'!$B$11*I88</f>
        <v>178696.970766832</v>
      </c>
      <c r="S88" s="20">
        <f>'GS &lt; 50 OLS model'!$B$12*J88</f>
        <v>0</v>
      </c>
      <c r="T88" s="20">
        <f t="shared" ca="1" si="8"/>
        <v>5717950.4411665536</v>
      </c>
    </row>
    <row r="89" spans="1:20" ht="14.4" x14ac:dyDescent="0.3">
      <c r="A89" s="22">
        <v>42461</v>
      </c>
      <c r="B89" s="6">
        <f t="shared" si="9"/>
        <v>2016</v>
      </c>
      <c r="C89" s="20">
        <f ca="1">'Monthly Data'!J89</f>
        <v>5378274.8715852015</v>
      </c>
      <c r="D89" s="6">
        <f t="shared" ca="1" si="10"/>
        <v>259.5499999999999</v>
      </c>
      <c r="E89" s="6">
        <f t="shared" ca="1" si="10"/>
        <v>2.4500000000000002</v>
      </c>
      <c r="F89" s="6">
        <f>'Monthly Data'!AJ89</f>
        <v>159.30000000000001</v>
      </c>
      <c r="G89" s="6">
        <f>'Monthly Data'!AL89</f>
        <v>30</v>
      </c>
      <c r="H89" s="6">
        <f>'Monthly Data'!BC89</f>
        <v>1</v>
      </c>
      <c r="I89" s="6">
        <f>'Monthly Data'!AQ89</f>
        <v>0</v>
      </c>
      <c r="J89" s="6">
        <f>'Monthly Data'!AZ89</f>
        <v>0</v>
      </c>
      <c r="L89" s="20">
        <f>'GS &lt; 50 OLS model'!$B$5</f>
        <v>-1088732.49289844</v>
      </c>
      <c r="M89" s="20">
        <f ca="1">'GS &lt; 50 OLS model'!$B$6*D89</f>
        <v>267576.4307074325</v>
      </c>
      <c r="N89" s="20">
        <f ca="1">'GS &lt; 50 OLS model'!$B$7*E89</f>
        <v>18801.450788853217</v>
      </c>
      <c r="O89" s="20">
        <f>'GS &lt; 50 OLS model'!$B$8*F89</f>
        <v>1817170.3752309955</v>
      </c>
      <c r="P89" s="20">
        <f>'GS &lt; 50 OLS model'!$B$9*G89</f>
        <v>4486051.0000674604</v>
      </c>
      <c r="Q89" s="20">
        <f>'GS &lt; 50 OLS model'!$B$10*H89</f>
        <v>-268302.989268562</v>
      </c>
      <c r="R89" s="20">
        <f>'GS &lt; 50 OLS model'!$B$11*I89</f>
        <v>0</v>
      </c>
      <c r="S89" s="20">
        <f>'GS &lt; 50 OLS model'!$B$12*J89</f>
        <v>0</v>
      </c>
      <c r="T89" s="20">
        <f t="shared" ca="1" si="8"/>
        <v>5232563.7746277396</v>
      </c>
    </row>
    <row r="90" spans="1:20" ht="14.4" x14ac:dyDescent="0.3">
      <c r="A90" s="22">
        <v>42491</v>
      </c>
      <c r="B90" s="6">
        <f t="shared" si="9"/>
        <v>2016</v>
      </c>
      <c r="C90" s="20">
        <f ca="1">'Monthly Data'!J90</f>
        <v>5803384.3939025514</v>
      </c>
      <c r="D90" s="6">
        <f t="shared" ca="1" si="10"/>
        <v>88.880000000000024</v>
      </c>
      <c r="E90" s="6">
        <f t="shared" ca="1" si="10"/>
        <v>43.79999999999999</v>
      </c>
      <c r="F90" s="6">
        <f>'Monthly Data'!AJ90</f>
        <v>162.1</v>
      </c>
      <c r="G90" s="6">
        <f>'Monthly Data'!AL90</f>
        <v>31</v>
      </c>
      <c r="H90" s="6">
        <f>'Monthly Data'!BC90</f>
        <v>1</v>
      </c>
      <c r="I90" s="6">
        <f>'Monthly Data'!AQ90</f>
        <v>0</v>
      </c>
      <c r="J90" s="6">
        <f>'Monthly Data'!AZ90</f>
        <v>0</v>
      </c>
      <c r="L90" s="20">
        <f>'GS &lt; 50 OLS model'!$B$5</f>
        <v>-1088732.49289844</v>
      </c>
      <c r="M90" s="20">
        <f ca="1">'GS &lt; 50 OLS model'!$B$6*D90</f>
        <v>91628.56159228133</v>
      </c>
      <c r="N90" s="20">
        <f ca="1">'GS &lt; 50 OLS model'!$B$7*E90</f>
        <v>336123.89573541656</v>
      </c>
      <c r="O90" s="20">
        <f>'GS &lt; 50 OLS model'!$B$8*F90</f>
        <v>1849110.5952601654</v>
      </c>
      <c r="P90" s="20">
        <f>'GS &lt; 50 OLS model'!$B$9*G90</f>
        <v>4635586.0334030418</v>
      </c>
      <c r="Q90" s="20">
        <f>'GS &lt; 50 OLS model'!$B$10*H90</f>
        <v>-268302.989268562</v>
      </c>
      <c r="R90" s="20">
        <f>'GS &lt; 50 OLS model'!$B$11*I90</f>
        <v>0</v>
      </c>
      <c r="S90" s="20">
        <f>'GS &lt; 50 OLS model'!$B$12*J90</f>
        <v>0</v>
      </c>
      <c r="T90" s="20">
        <f t="shared" ca="1" si="8"/>
        <v>5555413.603823903</v>
      </c>
    </row>
    <row r="91" spans="1:20" ht="14.4" x14ac:dyDescent="0.3">
      <c r="A91" s="22">
        <v>42522</v>
      </c>
      <c r="B91" s="6">
        <f t="shared" si="9"/>
        <v>2016</v>
      </c>
      <c r="C91" s="20">
        <f ca="1">'Monthly Data'!J91</f>
        <v>6352911.127959162</v>
      </c>
      <c r="D91" s="6">
        <f t="shared" ca="1" si="10"/>
        <v>9.77</v>
      </c>
      <c r="E91" s="6">
        <f t="shared" ca="1" si="10"/>
        <v>117.38999999999999</v>
      </c>
      <c r="F91" s="6">
        <f>'Monthly Data'!AJ91</f>
        <v>166.7</v>
      </c>
      <c r="G91" s="6">
        <f>'Monthly Data'!AL91</f>
        <v>30</v>
      </c>
      <c r="H91" s="6">
        <f>'Monthly Data'!BC91</f>
        <v>0</v>
      </c>
      <c r="I91" s="6">
        <f>'Monthly Data'!AQ91</f>
        <v>0</v>
      </c>
      <c r="J91" s="6">
        <f>'Monthly Data'!AZ91</f>
        <v>0</v>
      </c>
      <c r="L91" s="20">
        <f>'GS &lt; 50 OLS model'!$B$5</f>
        <v>-1088732.49289844</v>
      </c>
      <c r="M91" s="20">
        <f ca="1">'GS &lt; 50 OLS model'!$B$6*D91</f>
        <v>10072.131489160534</v>
      </c>
      <c r="N91" s="20">
        <f ca="1">'GS &lt; 50 OLS model'!$B$7*E91</f>
        <v>900858.08494019532</v>
      </c>
      <c r="O91" s="20">
        <f>'GS &lt; 50 OLS model'!$B$8*F91</f>
        <v>1901583.8138795162</v>
      </c>
      <c r="P91" s="20">
        <f>'GS &lt; 50 OLS model'!$B$9*G91</f>
        <v>4486051.0000674604</v>
      </c>
      <c r="Q91" s="20">
        <f>'GS &lt; 50 OLS model'!$B$10*H91</f>
        <v>0</v>
      </c>
      <c r="R91" s="20">
        <f>'GS &lt; 50 OLS model'!$B$11*I91</f>
        <v>0</v>
      </c>
      <c r="S91" s="20">
        <f>'GS &lt; 50 OLS model'!$B$12*J91</f>
        <v>0</v>
      </c>
      <c r="T91" s="20">
        <f t="shared" ca="1" si="8"/>
        <v>6209832.5374778919</v>
      </c>
    </row>
    <row r="92" spans="1:20" ht="14.4" x14ac:dyDescent="0.3">
      <c r="A92" s="22">
        <v>42552</v>
      </c>
      <c r="B92" s="6">
        <f t="shared" si="9"/>
        <v>2016</v>
      </c>
      <c r="C92" s="20">
        <f ca="1">'Monthly Data'!J92</f>
        <v>7269290.879378682</v>
      </c>
      <c r="D92" s="6">
        <f t="shared" ca="1" si="10"/>
        <v>0.58000000000000007</v>
      </c>
      <c r="E92" s="6">
        <f t="shared" ca="1" si="10"/>
        <v>179.70999999999998</v>
      </c>
      <c r="F92" s="6">
        <f>'Monthly Data'!AJ92</f>
        <v>169.9</v>
      </c>
      <c r="G92" s="6">
        <f>'Monthly Data'!AL92</f>
        <v>31</v>
      </c>
      <c r="H92" s="6">
        <f>'Monthly Data'!BC92</f>
        <v>0</v>
      </c>
      <c r="I92" s="6">
        <f>'Monthly Data'!AQ92</f>
        <v>0</v>
      </c>
      <c r="J92" s="6">
        <f>'Monthly Data'!AZ92</f>
        <v>0</v>
      </c>
      <c r="L92" s="20">
        <f>'GS &lt; 50 OLS model'!$B$5</f>
        <v>-1088732.49289844</v>
      </c>
      <c r="M92" s="20">
        <f ca="1">'GS &lt; 50 OLS model'!$B$6*D92</f>
        <v>597.93615800543614</v>
      </c>
      <c r="N92" s="20">
        <f ca="1">'GS &lt; 50 OLS model'!$B$7*E92</f>
        <v>1379105.6005162492</v>
      </c>
      <c r="O92" s="20">
        <f>'GS &lt; 50 OLS model'!$B$8*F92</f>
        <v>1938086.9224842822</v>
      </c>
      <c r="P92" s="20">
        <f>'GS &lt; 50 OLS model'!$B$9*G92</f>
        <v>4635586.0334030418</v>
      </c>
      <c r="Q92" s="20">
        <f>'GS &lt; 50 OLS model'!$B$10*H92</f>
        <v>0</v>
      </c>
      <c r="R92" s="20">
        <f>'GS &lt; 50 OLS model'!$B$11*I92</f>
        <v>0</v>
      </c>
      <c r="S92" s="20">
        <f>'GS &lt; 50 OLS model'!$B$12*J92</f>
        <v>0</v>
      </c>
      <c r="T92" s="20">
        <f t="shared" ca="1" si="8"/>
        <v>6864643.9996631388</v>
      </c>
    </row>
    <row r="93" spans="1:20" ht="14.4" x14ac:dyDescent="0.3">
      <c r="A93" s="22">
        <v>42583</v>
      </c>
      <c r="B93" s="6">
        <f t="shared" si="9"/>
        <v>2016</v>
      </c>
      <c r="C93" s="20">
        <f ca="1">'Monthly Data'!J93</f>
        <v>7280187.7522718124</v>
      </c>
      <c r="D93" s="6">
        <f t="shared" ca="1" si="10"/>
        <v>1.7099999999999997</v>
      </c>
      <c r="E93" s="6">
        <f t="shared" ca="1" si="10"/>
        <v>158.1</v>
      </c>
      <c r="F93" s="6">
        <f>'Monthly Data'!AJ93</f>
        <v>171.7</v>
      </c>
      <c r="G93" s="6">
        <f>'Monthly Data'!AL93</f>
        <v>31</v>
      </c>
      <c r="H93" s="6">
        <f>'Monthly Data'!BC93</f>
        <v>0</v>
      </c>
      <c r="I93" s="6">
        <f>'Monthly Data'!AQ93</f>
        <v>0</v>
      </c>
      <c r="J93" s="6">
        <f>'Monthly Data'!AZ93</f>
        <v>0</v>
      </c>
      <c r="L93" s="20">
        <f>'GS &lt; 50 OLS model'!$B$5</f>
        <v>-1088732.49289844</v>
      </c>
      <c r="M93" s="20">
        <f ca="1">'GS &lt; 50 OLS model'!$B$6*D93</f>
        <v>1762.8807417056819</v>
      </c>
      <c r="N93" s="20">
        <f ca="1">'GS &lt; 50 OLS model'!$B$7*E93</f>
        <v>1213269.1304970176</v>
      </c>
      <c r="O93" s="20">
        <f>'GS &lt; 50 OLS model'!$B$8*F93</f>
        <v>1958619.9210744626</v>
      </c>
      <c r="P93" s="20">
        <f>'GS &lt; 50 OLS model'!$B$9*G93</f>
        <v>4635586.0334030418</v>
      </c>
      <c r="Q93" s="20">
        <f>'GS &lt; 50 OLS model'!$B$10*H93</f>
        <v>0</v>
      </c>
      <c r="R93" s="20">
        <f>'GS &lt; 50 OLS model'!$B$11*I93</f>
        <v>0</v>
      </c>
      <c r="S93" s="20">
        <f>'GS &lt; 50 OLS model'!$B$12*J93</f>
        <v>0</v>
      </c>
      <c r="T93" s="20">
        <f t="shared" ca="1" si="8"/>
        <v>6720505.4728177879</v>
      </c>
    </row>
    <row r="94" spans="1:20" ht="14.4" x14ac:dyDescent="0.3">
      <c r="A94" s="22">
        <v>42614</v>
      </c>
      <c r="B94" s="6">
        <f t="shared" si="9"/>
        <v>2016</v>
      </c>
      <c r="C94" s="20">
        <f ca="1">'Monthly Data'!J94</f>
        <v>6265768.1113566319</v>
      </c>
      <c r="D94" s="6">
        <f t="shared" ref="D94:E109" ca="1" si="11">D82</f>
        <v>32.68</v>
      </c>
      <c r="E94" s="6">
        <f t="shared" ca="1" si="11"/>
        <v>67.34</v>
      </c>
      <c r="F94" s="6">
        <f>'Monthly Data'!AJ94</f>
        <v>170.5</v>
      </c>
      <c r="G94" s="6">
        <f>'Monthly Data'!AL94</f>
        <v>30</v>
      </c>
      <c r="H94" s="6">
        <f>'Monthly Data'!BC94</f>
        <v>0</v>
      </c>
      <c r="I94" s="6">
        <f>'Monthly Data'!AQ94</f>
        <v>0</v>
      </c>
      <c r="J94" s="6">
        <f>'Monthly Data'!AZ94</f>
        <v>0</v>
      </c>
      <c r="L94" s="20">
        <f>'GS &lt; 50 OLS model'!$B$5</f>
        <v>-1088732.49289844</v>
      </c>
      <c r="M94" s="20">
        <f ca="1">'GS &lt; 50 OLS model'!$B$6*D94</f>
        <v>33690.609730375261</v>
      </c>
      <c r="N94" s="20">
        <f ca="1">'GS &lt; 50 OLS model'!$B$7*E94</f>
        <v>516771.30453933694</v>
      </c>
      <c r="O94" s="20">
        <f>'GS &lt; 50 OLS model'!$B$8*F94</f>
        <v>1944931.2553476756</v>
      </c>
      <c r="P94" s="20">
        <f>'GS &lt; 50 OLS model'!$B$9*G94</f>
        <v>4486051.0000674604</v>
      </c>
      <c r="Q94" s="20">
        <f>'GS &lt; 50 OLS model'!$B$10*H94</f>
        <v>0</v>
      </c>
      <c r="R94" s="20">
        <f>'GS &lt; 50 OLS model'!$B$11*I94</f>
        <v>0</v>
      </c>
      <c r="S94" s="20">
        <f>'GS &lt; 50 OLS model'!$B$12*J94</f>
        <v>0</v>
      </c>
      <c r="T94" s="20">
        <f t="shared" ca="1" si="8"/>
        <v>5892711.6767864078</v>
      </c>
    </row>
    <row r="95" spans="1:20" ht="14.4" x14ac:dyDescent="0.3">
      <c r="A95" s="22">
        <v>42644</v>
      </c>
      <c r="B95" s="6">
        <f t="shared" si="9"/>
        <v>2016</v>
      </c>
      <c r="C95" s="20">
        <f ca="1">'Monthly Data'!J95</f>
        <v>5606718.2255126815</v>
      </c>
      <c r="D95" s="6">
        <f t="shared" ca="1" si="11"/>
        <v>176.42</v>
      </c>
      <c r="E95" s="6">
        <f t="shared" ca="1" si="11"/>
        <v>10.18</v>
      </c>
      <c r="F95" s="6">
        <f>'Monthly Data'!AJ95</f>
        <v>169.2</v>
      </c>
      <c r="G95" s="6">
        <f>'Monthly Data'!AL95</f>
        <v>31</v>
      </c>
      <c r="H95" s="6">
        <f>'Monthly Data'!BC95</f>
        <v>1</v>
      </c>
      <c r="I95" s="6">
        <f>'Monthly Data'!AQ95</f>
        <v>0</v>
      </c>
      <c r="J95" s="6">
        <f>'Monthly Data'!AZ95</f>
        <v>0</v>
      </c>
      <c r="L95" s="20">
        <f>'GS &lt; 50 OLS model'!$B$5</f>
        <v>-1088732.49289844</v>
      </c>
      <c r="M95" s="20">
        <f ca="1">'GS &lt; 50 OLS model'!$B$6*D95</f>
        <v>181875.68447468797</v>
      </c>
      <c r="N95" s="20">
        <f ca="1">'GS &lt; 50 OLS model'!$B$7*E95</f>
        <v>78121.946543071725</v>
      </c>
      <c r="O95" s="20">
        <f>'GS &lt; 50 OLS model'!$B$8*F95</f>
        <v>1930101.8674769893</v>
      </c>
      <c r="P95" s="20">
        <f>'GS &lt; 50 OLS model'!$B$9*G95</f>
        <v>4635586.0334030418</v>
      </c>
      <c r="Q95" s="20">
        <f>'GS &lt; 50 OLS model'!$B$10*H95</f>
        <v>-268302.989268562</v>
      </c>
      <c r="R95" s="20">
        <f>'GS &lt; 50 OLS model'!$B$11*I95</f>
        <v>0</v>
      </c>
      <c r="S95" s="20">
        <f>'GS &lt; 50 OLS model'!$B$12*J95</f>
        <v>0</v>
      </c>
      <c r="T95" s="20">
        <f t="shared" ca="1" si="8"/>
        <v>5468650.0497307889</v>
      </c>
    </row>
    <row r="96" spans="1:20" ht="14.4" x14ac:dyDescent="0.3">
      <c r="A96" s="22">
        <v>42675</v>
      </c>
      <c r="B96" s="6">
        <f t="shared" si="9"/>
        <v>2016</v>
      </c>
      <c r="C96" s="20">
        <f ca="1">'Monthly Data'!J96</f>
        <v>5380493.1643636916</v>
      </c>
      <c r="D96" s="6">
        <f t="shared" ca="1" si="11"/>
        <v>364.2299999999999</v>
      </c>
      <c r="E96" s="6">
        <f t="shared" ca="1" si="11"/>
        <v>0.05</v>
      </c>
      <c r="F96" s="6">
        <f>'Monthly Data'!AJ96</f>
        <v>165.5</v>
      </c>
      <c r="G96" s="6">
        <f>'Monthly Data'!AL96</f>
        <v>30</v>
      </c>
      <c r="H96" s="6">
        <f>'Monthly Data'!BC96</f>
        <v>1</v>
      </c>
      <c r="I96" s="6">
        <f>'Monthly Data'!AQ96</f>
        <v>0</v>
      </c>
      <c r="J96" s="6">
        <f>'Monthly Data'!AZ96</f>
        <v>0</v>
      </c>
      <c r="L96" s="20">
        <f>'GS &lt; 50 OLS model'!$B$5</f>
        <v>-1088732.49289844</v>
      </c>
      <c r="M96" s="20">
        <f ca="1">'GS &lt; 50 OLS model'!$B$6*D96</f>
        <v>375493.59798331017</v>
      </c>
      <c r="N96" s="20">
        <f ca="1">'GS &lt; 50 OLS model'!$B$7*E96</f>
        <v>383.70307732353501</v>
      </c>
      <c r="O96" s="20">
        <f>'GS &lt; 50 OLS model'!$B$8*F96</f>
        <v>1887895.148152729</v>
      </c>
      <c r="P96" s="20">
        <f>'GS &lt; 50 OLS model'!$B$9*G96</f>
        <v>4486051.0000674604</v>
      </c>
      <c r="Q96" s="20">
        <f>'GS &lt; 50 OLS model'!$B$10*H96</f>
        <v>-268302.989268562</v>
      </c>
      <c r="R96" s="20">
        <f>'GS &lt; 50 OLS model'!$B$11*I96</f>
        <v>0</v>
      </c>
      <c r="S96" s="20">
        <f>'GS &lt; 50 OLS model'!$B$12*J96</f>
        <v>0</v>
      </c>
      <c r="T96" s="20">
        <f t="shared" ca="1" si="8"/>
        <v>5392787.9671138208</v>
      </c>
    </row>
    <row r="97" spans="1:20" ht="14.4" x14ac:dyDescent="0.3">
      <c r="A97" s="22">
        <v>42705</v>
      </c>
      <c r="B97" s="6">
        <f t="shared" si="9"/>
        <v>2016</v>
      </c>
      <c r="C97" s="20">
        <f ca="1">'Monthly Data'!J97</f>
        <v>5942778.7041338421</v>
      </c>
      <c r="D97" s="6">
        <f t="shared" ca="1" si="11"/>
        <v>552.31000000000006</v>
      </c>
      <c r="E97" s="6">
        <f t="shared" ca="1" si="11"/>
        <v>0</v>
      </c>
      <c r="F97" s="6">
        <f>'Monthly Data'!AJ97</f>
        <v>162.5</v>
      </c>
      <c r="G97" s="6">
        <f>'Monthly Data'!AL97</f>
        <v>31</v>
      </c>
      <c r="H97" s="6">
        <f>'Monthly Data'!BC97</f>
        <v>0</v>
      </c>
      <c r="I97" s="6">
        <f>'Monthly Data'!AQ97</f>
        <v>0</v>
      </c>
      <c r="J97" s="6">
        <f>'Monthly Data'!AZ97</f>
        <v>1</v>
      </c>
      <c r="L97" s="20">
        <f>'GS &lt; 50 OLS model'!$B$5</f>
        <v>-1088732.49289844</v>
      </c>
      <c r="M97" s="20">
        <f ca="1">'GS &lt; 50 OLS model'!$B$6*D97</f>
        <v>569389.86108272825</v>
      </c>
      <c r="N97" s="20">
        <f ca="1">'GS &lt; 50 OLS model'!$B$7*E97</f>
        <v>0</v>
      </c>
      <c r="O97" s="20">
        <f>'GS &lt; 50 OLS model'!$B$8*F97</f>
        <v>1853673.4838357612</v>
      </c>
      <c r="P97" s="20">
        <f>'GS &lt; 50 OLS model'!$B$9*G97</f>
        <v>4635586.0334030418</v>
      </c>
      <c r="Q97" s="20">
        <f>'GS &lt; 50 OLS model'!$B$10*H97</f>
        <v>0</v>
      </c>
      <c r="R97" s="20">
        <f>'GS &lt; 50 OLS model'!$B$11*I97</f>
        <v>0</v>
      </c>
      <c r="S97" s="20">
        <f>'GS &lt; 50 OLS model'!$B$12*J97</f>
        <v>-197900.76217015099</v>
      </c>
      <c r="T97" s="20">
        <f t="shared" ca="1" si="8"/>
        <v>5772016.1232529404</v>
      </c>
    </row>
    <row r="98" spans="1:20" ht="14.4" x14ac:dyDescent="0.3">
      <c r="A98" s="22">
        <v>42736</v>
      </c>
      <c r="B98" s="6">
        <f t="shared" si="9"/>
        <v>2017</v>
      </c>
      <c r="D98" s="6">
        <f t="shared" ca="1" si="11"/>
        <v>661.18999999999994</v>
      </c>
      <c r="E98" s="6">
        <f t="shared" ca="1" si="11"/>
        <v>0</v>
      </c>
      <c r="F98" s="6">
        <f>F86*(1+Employment!$J$3)</f>
        <v>157.0925</v>
      </c>
      <c r="G98" s="6">
        <f t="shared" ref="G98:J121" si="12">G50</f>
        <v>31</v>
      </c>
      <c r="H98" s="6">
        <f t="shared" si="12"/>
        <v>0</v>
      </c>
      <c r="I98" s="6">
        <f t="shared" si="12"/>
        <v>0</v>
      </c>
      <c r="J98" s="6">
        <f t="shared" si="12"/>
        <v>0</v>
      </c>
      <c r="L98" s="20">
        <f>'GS &lt; 50 OLS model'!$B$5</f>
        <v>-1088732.49289844</v>
      </c>
      <c r="M98" s="20">
        <f ca="1">'GS &lt; 50 OLS model'!$B$6*D98</f>
        <v>681636.91088209348</v>
      </c>
      <c r="N98" s="20">
        <f ca="1">'GS &lt; 50 OLS model'!$B$7*E98</f>
        <v>0</v>
      </c>
      <c r="O98" s="20">
        <f>'GS &lt; 50 OLS model'!$B$8*F98</f>
        <v>1791988.9339044266</v>
      </c>
      <c r="P98" s="20">
        <f>'GS &lt; 50 OLS model'!$B$9*G98</f>
        <v>4635586.0334030418</v>
      </c>
      <c r="Q98" s="20">
        <f>'GS &lt; 50 OLS model'!$B$10*H98</f>
        <v>0</v>
      </c>
      <c r="R98" s="20">
        <f>'GS &lt; 50 OLS model'!$B$11*I98</f>
        <v>0</v>
      </c>
      <c r="S98" s="20">
        <f>'GS &lt; 50 OLS model'!$B$12*J98</f>
        <v>0</v>
      </c>
      <c r="T98" s="20">
        <f t="shared" ref="T98:T109" ca="1" si="13">SUM(L98:S98)</f>
        <v>6020479.3852911219</v>
      </c>
    </row>
    <row r="99" spans="1:20" ht="14.4" x14ac:dyDescent="0.3">
      <c r="A99" s="22">
        <v>42767</v>
      </c>
      <c r="B99" s="6">
        <f t="shared" si="9"/>
        <v>2017</v>
      </c>
      <c r="D99" s="6">
        <f t="shared" ca="1" si="11"/>
        <v>598.16999999999985</v>
      </c>
      <c r="E99" s="6">
        <f t="shared" ca="1" si="11"/>
        <v>0</v>
      </c>
      <c r="F99" s="6">
        <f>F87*(1+Employment!$J$3)</f>
        <v>158.10600000000002</v>
      </c>
      <c r="G99" s="6">
        <f t="shared" si="12"/>
        <v>28</v>
      </c>
      <c r="H99" s="6">
        <f t="shared" si="12"/>
        <v>0</v>
      </c>
      <c r="I99" s="6">
        <f t="shared" si="12"/>
        <v>0</v>
      </c>
      <c r="J99" s="6">
        <f t="shared" si="12"/>
        <v>0</v>
      </c>
      <c r="L99" s="20">
        <f>'GS &lt; 50 OLS model'!$B$5</f>
        <v>-1088732.49289844</v>
      </c>
      <c r="M99" s="20">
        <f ca="1">'GS &lt; 50 OLS model'!$B$6*D99</f>
        <v>616668.05454157165</v>
      </c>
      <c r="N99" s="20">
        <f ca="1">'GS &lt; 50 OLS model'!$B$7*E99</f>
        <v>0</v>
      </c>
      <c r="O99" s="20">
        <f>'GS &lt; 50 OLS model'!$B$8*F99</f>
        <v>1803550.1528328424</v>
      </c>
      <c r="P99" s="20">
        <f>'GS &lt; 50 OLS model'!$B$9*G99</f>
        <v>4186980.9333962961</v>
      </c>
      <c r="Q99" s="20">
        <f>'GS &lt; 50 OLS model'!$B$10*H99</f>
        <v>0</v>
      </c>
      <c r="R99" s="20">
        <f>'GS &lt; 50 OLS model'!$B$11*I99</f>
        <v>0</v>
      </c>
      <c r="S99" s="20">
        <f>'GS &lt; 50 OLS model'!$B$12*J99</f>
        <v>0</v>
      </c>
      <c r="T99" s="20">
        <f t="shared" ca="1" si="13"/>
        <v>5518466.6478722701</v>
      </c>
    </row>
    <row r="100" spans="1:20" ht="14.4" x14ac:dyDescent="0.3">
      <c r="A100" s="22">
        <v>42795</v>
      </c>
      <c r="B100" s="6">
        <f t="shared" si="9"/>
        <v>2017</v>
      </c>
      <c r="D100" s="6">
        <f t="shared" ca="1" si="11"/>
        <v>451.34</v>
      </c>
      <c r="E100" s="6">
        <f t="shared" ca="1" si="11"/>
        <v>0.88000000000000012</v>
      </c>
      <c r="F100" s="6">
        <f>F88*(1+Employment!$J$3)</f>
        <v>158.91680000000002</v>
      </c>
      <c r="G100" s="6">
        <f t="shared" si="12"/>
        <v>31</v>
      </c>
      <c r="H100" s="6">
        <f t="shared" si="12"/>
        <v>1</v>
      </c>
      <c r="I100" s="6">
        <f t="shared" si="12"/>
        <v>1</v>
      </c>
      <c r="J100" s="6">
        <f t="shared" si="12"/>
        <v>0</v>
      </c>
      <c r="L100" s="20">
        <f>'GS &lt; 50 OLS model'!$B$5</f>
        <v>-1088732.49289844</v>
      </c>
      <c r="M100" s="20">
        <f ca="1">'GS &lt; 50 OLS model'!$B$6*D100</f>
        <v>465297.42336926464</v>
      </c>
      <c r="N100" s="20">
        <f ca="1">'GS &lt; 50 OLS model'!$B$7*E100</f>
        <v>6753.1741608942166</v>
      </c>
      <c r="O100" s="20">
        <f>'GS &lt; 50 OLS model'!$B$8*F100</f>
        <v>1812799.1279755749</v>
      </c>
      <c r="P100" s="20">
        <f>'GS &lt; 50 OLS model'!$B$9*G100</f>
        <v>4635586.0334030418</v>
      </c>
      <c r="Q100" s="20">
        <f>'GS &lt; 50 OLS model'!$B$10*H100</f>
        <v>-268302.989268562</v>
      </c>
      <c r="R100" s="20">
        <f>'GS &lt; 50 OLS model'!$B$11*I100</f>
        <v>178696.970766832</v>
      </c>
      <c r="S100" s="20">
        <f>'GS &lt; 50 OLS model'!$B$12*J100</f>
        <v>0</v>
      </c>
      <c r="T100" s="20">
        <f t="shared" ca="1" si="13"/>
        <v>5742097.2475086059</v>
      </c>
    </row>
    <row r="101" spans="1:20" ht="14.4" x14ac:dyDescent="0.3">
      <c r="A101" s="22">
        <v>42826</v>
      </c>
      <c r="B101" s="6">
        <f t="shared" si="9"/>
        <v>2017</v>
      </c>
      <c r="D101" s="6">
        <f t="shared" ca="1" si="11"/>
        <v>259.5499999999999</v>
      </c>
      <c r="E101" s="6">
        <f t="shared" ca="1" si="11"/>
        <v>2.4500000000000002</v>
      </c>
      <c r="F101" s="6">
        <f>F89*(1+Employment!$J$3)</f>
        <v>161.45055000000002</v>
      </c>
      <c r="G101" s="6">
        <f t="shared" si="12"/>
        <v>30</v>
      </c>
      <c r="H101" s="6">
        <f t="shared" si="12"/>
        <v>1</v>
      </c>
      <c r="I101" s="6">
        <f t="shared" si="12"/>
        <v>0</v>
      </c>
      <c r="J101" s="6">
        <f t="shared" si="12"/>
        <v>0</v>
      </c>
      <c r="L101" s="20">
        <f>'GS &lt; 50 OLS model'!$B$5</f>
        <v>-1088732.49289844</v>
      </c>
      <c r="M101" s="20">
        <f ca="1">'GS &lt; 50 OLS model'!$B$6*D101</f>
        <v>267576.4307074325</v>
      </c>
      <c r="N101" s="20">
        <f ca="1">'GS &lt; 50 OLS model'!$B$7*E101</f>
        <v>18801.450788853217</v>
      </c>
      <c r="O101" s="20">
        <f>'GS &lt; 50 OLS model'!$B$8*F101</f>
        <v>1841702.1752966142</v>
      </c>
      <c r="P101" s="20">
        <f>'GS &lt; 50 OLS model'!$B$9*G101</f>
        <v>4486051.0000674604</v>
      </c>
      <c r="Q101" s="20">
        <f>'GS &lt; 50 OLS model'!$B$10*H101</f>
        <v>-268302.989268562</v>
      </c>
      <c r="R101" s="20">
        <f>'GS &lt; 50 OLS model'!$B$11*I101</f>
        <v>0</v>
      </c>
      <c r="S101" s="20">
        <f>'GS &lt; 50 OLS model'!$B$12*J101</f>
        <v>0</v>
      </c>
      <c r="T101" s="20">
        <f t="shared" ca="1" si="13"/>
        <v>5257095.5746933585</v>
      </c>
    </row>
    <row r="102" spans="1:20" ht="14.4" x14ac:dyDescent="0.3">
      <c r="A102" s="22">
        <v>42856</v>
      </c>
      <c r="B102" s="6">
        <f t="shared" si="9"/>
        <v>2017</v>
      </c>
      <c r="D102" s="6">
        <f t="shared" ca="1" si="11"/>
        <v>88.880000000000024</v>
      </c>
      <c r="E102" s="6">
        <f t="shared" ca="1" si="11"/>
        <v>43.79999999999999</v>
      </c>
      <c r="F102" s="6">
        <f>F90*(1+Employment!$J$3)</f>
        <v>164.28835000000001</v>
      </c>
      <c r="G102" s="6">
        <f t="shared" si="12"/>
        <v>31</v>
      </c>
      <c r="H102" s="6">
        <f t="shared" si="12"/>
        <v>1</v>
      </c>
      <c r="I102" s="6">
        <f t="shared" si="12"/>
        <v>0</v>
      </c>
      <c r="J102" s="6">
        <f t="shared" si="12"/>
        <v>0</v>
      </c>
      <c r="L102" s="20">
        <f>'GS &lt; 50 OLS model'!$B$5</f>
        <v>-1088732.49289844</v>
      </c>
      <c r="M102" s="20">
        <f ca="1">'GS &lt; 50 OLS model'!$B$6*D102</f>
        <v>91628.56159228133</v>
      </c>
      <c r="N102" s="20">
        <f ca="1">'GS &lt; 50 OLS model'!$B$7*E102</f>
        <v>336123.89573541656</v>
      </c>
      <c r="O102" s="20">
        <f>'GS &lt; 50 OLS model'!$B$8*F102</f>
        <v>1874073.5882961778</v>
      </c>
      <c r="P102" s="20">
        <f>'GS &lt; 50 OLS model'!$B$9*G102</f>
        <v>4635586.0334030418</v>
      </c>
      <c r="Q102" s="20">
        <f>'GS &lt; 50 OLS model'!$B$10*H102</f>
        <v>-268302.989268562</v>
      </c>
      <c r="R102" s="20">
        <f>'GS &lt; 50 OLS model'!$B$11*I102</f>
        <v>0</v>
      </c>
      <c r="S102" s="20">
        <f>'GS &lt; 50 OLS model'!$B$12*J102</f>
        <v>0</v>
      </c>
      <c r="T102" s="20">
        <f t="shared" ca="1" si="13"/>
        <v>5580376.5968599152</v>
      </c>
    </row>
    <row r="103" spans="1:20" ht="14.4" x14ac:dyDescent="0.3">
      <c r="A103" s="22">
        <v>42887</v>
      </c>
      <c r="B103" s="6">
        <f t="shared" si="9"/>
        <v>2017</v>
      </c>
      <c r="D103" s="6">
        <f t="shared" ca="1" si="11"/>
        <v>9.77</v>
      </c>
      <c r="E103" s="6">
        <f t="shared" ca="1" si="11"/>
        <v>117.38999999999999</v>
      </c>
      <c r="F103" s="6">
        <f>F91*(1+Employment!$J$3)</f>
        <v>168.95044999999999</v>
      </c>
      <c r="G103" s="6">
        <f t="shared" si="12"/>
        <v>30</v>
      </c>
      <c r="H103" s="6">
        <f t="shared" si="12"/>
        <v>0</v>
      </c>
      <c r="I103" s="6">
        <f t="shared" si="12"/>
        <v>0</v>
      </c>
      <c r="J103" s="6">
        <f t="shared" si="12"/>
        <v>0</v>
      </c>
      <c r="L103" s="20">
        <f>'GS &lt; 50 OLS model'!$B$5</f>
        <v>-1088732.49289844</v>
      </c>
      <c r="M103" s="20">
        <f ca="1">'GS &lt; 50 OLS model'!$B$6*D103</f>
        <v>10072.131489160534</v>
      </c>
      <c r="N103" s="20">
        <f ca="1">'GS &lt; 50 OLS model'!$B$7*E103</f>
        <v>900858.08494019532</v>
      </c>
      <c r="O103" s="20">
        <f>'GS &lt; 50 OLS model'!$B$8*F103</f>
        <v>1927255.1953668897</v>
      </c>
      <c r="P103" s="20">
        <f>'GS &lt; 50 OLS model'!$B$9*G103</f>
        <v>4486051.0000674604</v>
      </c>
      <c r="Q103" s="20">
        <f>'GS &lt; 50 OLS model'!$B$10*H103</f>
        <v>0</v>
      </c>
      <c r="R103" s="20">
        <f>'GS &lt; 50 OLS model'!$B$11*I103</f>
        <v>0</v>
      </c>
      <c r="S103" s="20">
        <f>'GS &lt; 50 OLS model'!$B$12*J103</f>
        <v>0</v>
      </c>
      <c r="T103" s="20">
        <f t="shared" ca="1" si="13"/>
        <v>6235503.9189652661</v>
      </c>
    </row>
    <row r="104" spans="1:20" ht="14.4" x14ac:dyDescent="0.3">
      <c r="A104" s="22">
        <v>42917</v>
      </c>
      <c r="B104" s="6">
        <f t="shared" si="9"/>
        <v>2017</v>
      </c>
      <c r="D104" s="6">
        <f t="shared" ca="1" si="11"/>
        <v>0.58000000000000007</v>
      </c>
      <c r="E104" s="6">
        <f t="shared" ca="1" si="11"/>
        <v>179.70999999999998</v>
      </c>
      <c r="F104" s="6">
        <f>F92*(1+Employment!$J$3)</f>
        <v>172.19365000000002</v>
      </c>
      <c r="G104" s="6">
        <f t="shared" si="12"/>
        <v>31</v>
      </c>
      <c r="H104" s="6">
        <f t="shared" si="12"/>
        <v>0</v>
      </c>
      <c r="I104" s="6">
        <f t="shared" si="12"/>
        <v>0</v>
      </c>
      <c r="J104" s="6">
        <f t="shared" si="12"/>
        <v>0</v>
      </c>
      <c r="L104" s="20">
        <f>'GS &lt; 50 OLS model'!$B$5</f>
        <v>-1088732.49289844</v>
      </c>
      <c r="M104" s="20">
        <f ca="1">'GS &lt; 50 OLS model'!$B$6*D104</f>
        <v>597.93615800543614</v>
      </c>
      <c r="N104" s="20">
        <f ca="1">'GS &lt; 50 OLS model'!$B$7*E104</f>
        <v>1379105.6005162492</v>
      </c>
      <c r="O104" s="20">
        <f>'GS &lt; 50 OLS model'!$B$8*F104</f>
        <v>1964251.0959378202</v>
      </c>
      <c r="P104" s="20">
        <f>'GS &lt; 50 OLS model'!$B$9*G104</f>
        <v>4635586.0334030418</v>
      </c>
      <c r="Q104" s="20">
        <f>'GS &lt; 50 OLS model'!$B$10*H104</f>
        <v>0</v>
      </c>
      <c r="R104" s="20">
        <f>'GS &lt; 50 OLS model'!$B$11*I104</f>
        <v>0</v>
      </c>
      <c r="S104" s="20">
        <f>'GS &lt; 50 OLS model'!$B$12*J104</f>
        <v>0</v>
      </c>
      <c r="T104" s="20">
        <f t="shared" ca="1" si="13"/>
        <v>6890808.1731166765</v>
      </c>
    </row>
    <row r="105" spans="1:20" ht="14.4" x14ac:dyDescent="0.3">
      <c r="A105" s="22">
        <v>42948</v>
      </c>
      <c r="B105" s="6">
        <f t="shared" si="9"/>
        <v>2017</v>
      </c>
      <c r="D105" s="6">
        <f t="shared" ca="1" si="11"/>
        <v>1.7099999999999997</v>
      </c>
      <c r="E105" s="6">
        <f t="shared" ca="1" si="11"/>
        <v>158.1</v>
      </c>
      <c r="F105" s="6">
        <f>F93*(1+Employment!$J$3)</f>
        <v>174.01795000000001</v>
      </c>
      <c r="G105" s="6">
        <f t="shared" si="12"/>
        <v>31</v>
      </c>
      <c r="H105" s="6">
        <f t="shared" si="12"/>
        <v>0</v>
      </c>
      <c r="I105" s="6">
        <f t="shared" si="12"/>
        <v>0</v>
      </c>
      <c r="J105" s="6">
        <f t="shared" si="12"/>
        <v>0</v>
      </c>
      <c r="L105" s="20">
        <f>'GS &lt; 50 OLS model'!$B$5</f>
        <v>-1088732.49289844</v>
      </c>
      <c r="M105" s="20">
        <f ca="1">'GS &lt; 50 OLS model'!$B$6*D105</f>
        <v>1762.8807417056819</v>
      </c>
      <c r="N105" s="20">
        <f ca="1">'GS &lt; 50 OLS model'!$B$7*E105</f>
        <v>1213269.1304970176</v>
      </c>
      <c r="O105" s="20">
        <f>'GS &lt; 50 OLS model'!$B$8*F105</f>
        <v>1985061.2900089682</v>
      </c>
      <c r="P105" s="20">
        <f>'GS &lt; 50 OLS model'!$B$9*G105</f>
        <v>4635586.0334030418</v>
      </c>
      <c r="Q105" s="20">
        <f>'GS &lt; 50 OLS model'!$B$10*H105</f>
        <v>0</v>
      </c>
      <c r="R105" s="20">
        <f>'GS &lt; 50 OLS model'!$B$11*I105</f>
        <v>0</v>
      </c>
      <c r="S105" s="20">
        <f>'GS &lt; 50 OLS model'!$B$12*J105</f>
        <v>0</v>
      </c>
      <c r="T105" s="20">
        <f t="shared" ca="1" si="13"/>
        <v>6746946.8417522935</v>
      </c>
    </row>
    <row r="106" spans="1:20" ht="14.4" x14ac:dyDescent="0.3">
      <c r="A106" s="22">
        <v>42979</v>
      </c>
      <c r="B106" s="6">
        <f t="shared" si="9"/>
        <v>2017</v>
      </c>
      <c r="D106" s="6">
        <f t="shared" ca="1" si="11"/>
        <v>32.68</v>
      </c>
      <c r="E106" s="6">
        <f t="shared" ca="1" si="11"/>
        <v>67.34</v>
      </c>
      <c r="F106" s="6">
        <f>F94*(1+Employment!$J$3)</f>
        <v>172.80175</v>
      </c>
      <c r="G106" s="6">
        <f t="shared" si="12"/>
        <v>30</v>
      </c>
      <c r="H106" s="6">
        <f t="shared" si="12"/>
        <v>0</v>
      </c>
      <c r="I106" s="6">
        <f t="shared" si="12"/>
        <v>0</v>
      </c>
      <c r="J106" s="6">
        <f t="shared" si="12"/>
        <v>0</v>
      </c>
      <c r="L106" s="20">
        <f>'GS &lt; 50 OLS model'!$B$5</f>
        <v>-1088732.49289844</v>
      </c>
      <c r="M106" s="20">
        <f ca="1">'GS &lt; 50 OLS model'!$B$6*D106</f>
        <v>33690.609730375261</v>
      </c>
      <c r="N106" s="20">
        <f ca="1">'GS &lt; 50 OLS model'!$B$7*E106</f>
        <v>516771.30453933694</v>
      </c>
      <c r="O106" s="20">
        <f>'GS &lt; 50 OLS model'!$B$8*F106</f>
        <v>1971187.8272948691</v>
      </c>
      <c r="P106" s="20">
        <f>'GS &lt; 50 OLS model'!$B$9*G106</f>
        <v>4486051.0000674604</v>
      </c>
      <c r="Q106" s="20">
        <f>'GS &lt; 50 OLS model'!$B$10*H106</f>
        <v>0</v>
      </c>
      <c r="R106" s="20">
        <f>'GS &lt; 50 OLS model'!$B$11*I106</f>
        <v>0</v>
      </c>
      <c r="S106" s="20">
        <f>'GS &lt; 50 OLS model'!$B$12*J106</f>
        <v>0</v>
      </c>
      <c r="T106" s="20">
        <f t="shared" ca="1" si="13"/>
        <v>5918968.2487336015</v>
      </c>
    </row>
    <row r="107" spans="1:20" ht="14.4" x14ac:dyDescent="0.3">
      <c r="A107" s="22">
        <v>43009</v>
      </c>
      <c r="B107" s="6">
        <f t="shared" si="9"/>
        <v>2017</v>
      </c>
      <c r="D107" s="6">
        <f t="shared" ca="1" si="11"/>
        <v>176.42</v>
      </c>
      <c r="E107" s="6">
        <f t="shared" ca="1" si="11"/>
        <v>10.18</v>
      </c>
      <c r="F107" s="6">
        <f>F95*(1+Employment!$J$3)</f>
        <v>171.48419999999999</v>
      </c>
      <c r="G107" s="6">
        <f t="shared" si="12"/>
        <v>31</v>
      </c>
      <c r="H107" s="6">
        <f t="shared" si="12"/>
        <v>1</v>
      </c>
      <c r="I107" s="6">
        <f t="shared" si="12"/>
        <v>0</v>
      </c>
      <c r="J107" s="6">
        <f t="shared" si="12"/>
        <v>0</v>
      </c>
      <c r="L107" s="20">
        <f>'GS &lt; 50 OLS model'!$B$5</f>
        <v>-1088732.49289844</v>
      </c>
      <c r="M107" s="20">
        <f ca="1">'GS &lt; 50 OLS model'!$B$6*D107</f>
        <v>181875.68447468797</v>
      </c>
      <c r="N107" s="20">
        <f ca="1">'GS &lt; 50 OLS model'!$B$7*E107</f>
        <v>78121.946543071725</v>
      </c>
      <c r="O107" s="20">
        <f>'GS &lt; 50 OLS model'!$B$8*F107</f>
        <v>1956158.2426879287</v>
      </c>
      <c r="P107" s="20">
        <f>'GS &lt; 50 OLS model'!$B$9*G107</f>
        <v>4635586.0334030418</v>
      </c>
      <c r="Q107" s="20">
        <f>'GS &lt; 50 OLS model'!$B$10*H107</f>
        <v>-268302.989268562</v>
      </c>
      <c r="R107" s="20">
        <f>'GS &lt; 50 OLS model'!$B$11*I107</f>
        <v>0</v>
      </c>
      <c r="S107" s="20">
        <f>'GS &lt; 50 OLS model'!$B$12*J107</f>
        <v>0</v>
      </c>
      <c r="T107" s="20">
        <f t="shared" ca="1" si="13"/>
        <v>5494706.4249417279</v>
      </c>
    </row>
    <row r="108" spans="1:20" ht="14.4" x14ac:dyDescent="0.3">
      <c r="A108" s="22">
        <v>43040</v>
      </c>
      <c r="B108" s="6">
        <f t="shared" si="9"/>
        <v>2017</v>
      </c>
      <c r="D108" s="6">
        <f t="shared" ca="1" si="11"/>
        <v>364.2299999999999</v>
      </c>
      <c r="E108" s="6">
        <f t="shared" ca="1" si="11"/>
        <v>0.05</v>
      </c>
      <c r="F108" s="6">
        <f>F96*(1+Employment!$J$3)</f>
        <v>167.73425</v>
      </c>
      <c r="G108" s="6">
        <f t="shared" si="12"/>
        <v>30</v>
      </c>
      <c r="H108" s="6">
        <f t="shared" si="12"/>
        <v>1</v>
      </c>
      <c r="I108" s="6">
        <f t="shared" si="12"/>
        <v>0</v>
      </c>
      <c r="J108" s="6">
        <f t="shared" si="12"/>
        <v>0</v>
      </c>
      <c r="L108" s="20">
        <f>'GS &lt; 50 OLS model'!$B$5</f>
        <v>-1088732.49289844</v>
      </c>
      <c r="M108" s="20">
        <f ca="1">'GS &lt; 50 OLS model'!$B$6*D108</f>
        <v>375493.59798331017</v>
      </c>
      <c r="N108" s="20">
        <f ca="1">'GS &lt; 50 OLS model'!$B$7*E108</f>
        <v>383.70307732353501</v>
      </c>
      <c r="O108" s="20">
        <f>'GS &lt; 50 OLS model'!$B$8*F108</f>
        <v>1913381.7326527911</v>
      </c>
      <c r="P108" s="20">
        <f>'GS &lt; 50 OLS model'!$B$9*G108</f>
        <v>4486051.0000674604</v>
      </c>
      <c r="Q108" s="20">
        <f>'GS &lt; 50 OLS model'!$B$10*H108</f>
        <v>-268302.989268562</v>
      </c>
      <c r="R108" s="20">
        <f>'GS &lt; 50 OLS model'!$B$11*I108</f>
        <v>0</v>
      </c>
      <c r="S108" s="20">
        <f>'GS &lt; 50 OLS model'!$B$12*J108</f>
        <v>0</v>
      </c>
      <c r="T108" s="20">
        <f t="shared" ca="1" si="13"/>
        <v>5418274.5516138831</v>
      </c>
    </row>
    <row r="109" spans="1:20" ht="14.4" x14ac:dyDescent="0.3">
      <c r="A109" s="22">
        <v>43070</v>
      </c>
      <c r="B109" s="6">
        <f t="shared" si="9"/>
        <v>2017</v>
      </c>
      <c r="D109" s="6">
        <f t="shared" ca="1" si="11"/>
        <v>552.31000000000006</v>
      </c>
      <c r="E109" s="6">
        <f t="shared" ca="1" si="11"/>
        <v>0</v>
      </c>
      <c r="F109" s="6">
        <f>F97*(1+Employment!$J$3)</f>
        <v>164.69375000000002</v>
      </c>
      <c r="G109" s="6">
        <f t="shared" si="12"/>
        <v>31</v>
      </c>
      <c r="H109" s="6">
        <f t="shared" si="12"/>
        <v>0</v>
      </c>
      <c r="I109" s="6">
        <f t="shared" si="12"/>
        <v>0</v>
      </c>
      <c r="J109" s="6">
        <f t="shared" si="12"/>
        <v>1</v>
      </c>
      <c r="L109" s="20">
        <f>'GS &lt; 50 OLS model'!$B$5</f>
        <v>-1088732.49289844</v>
      </c>
      <c r="M109" s="20">
        <f ca="1">'GS &lt; 50 OLS model'!$B$6*D109</f>
        <v>569389.86108272825</v>
      </c>
      <c r="N109" s="20">
        <f ca="1">'GS &lt; 50 OLS model'!$B$7*E109</f>
        <v>0</v>
      </c>
      <c r="O109" s="20">
        <f>'GS &lt; 50 OLS model'!$B$8*F109</f>
        <v>1878698.0758675442</v>
      </c>
      <c r="P109" s="20">
        <f>'GS &lt; 50 OLS model'!$B$9*G109</f>
        <v>4635586.0334030418</v>
      </c>
      <c r="Q109" s="20">
        <f>'GS &lt; 50 OLS model'!$B$10*H109</f>
        <v>0</v>
      </c>
      <c r="R109" s="20">
        <f>'GS &lt; 50 OLS model'!$B$11*I109</f>
        <v>0</v>
      </c>
      <c r="S109" s="20">
        <f>'GS &lt; 50 OLS model'!$B$12*J109</f>
        <v>-197900.76217015099</v>
      </c>
      <c r="T109" s="20">
        <f t="shared" ca="1" si="13"/>
        <v>5797040.7152847238</v>
      </c>
    </row>
    <row r="110" spans="1:20" ht="14.4" x14ac:dyDescent="0.3">
      <c r="A110" s="22">
        <v>43101</v>
      </c>
      <c r="B110" s="6">
        <f t="shared" ref="B110:B121" si="14">YEAR(A110)</f>
        <v>2018</v>
      </c>
      <c r="D110" s="6">
        <f t="shared" ref="D110:E121" ca="1" si="15">D98</f>
        <v>661.18999999999994</v>
      </c>
      <c r="E110" s="6">
        <f t="shared" ca="1" si="15"/>
        <v>0</v>
      </c>
      <c r="F110" s="6">
        <f>F98*(1+Employment!$J$4)</f>
        <v>158.46705937500002</v>
      </c>
      <c r="G110" s="6">
        <f t="shared" si="12"/>
        <v>31</v>
      </c>
      <c r="H110" s="6">
        <f t="shared" si="12"/>
        <v>0</v>
      </c>
      <c r="I110" s="6">
        <f t="shared" si="12"/>
        <v>0</v>
      </c>
      <c r="J110" s="6">
        <f t="shared" si="12"/>
        <v>0</v>
      </c>
      <c r="L110" s="20">
        <f>'GS &lt; 50 OLS model'!$B$5</f>
        <v>-1088732.49289844</v>
      </c>
      <c r="M110" s="20">
        <f ca="1">'GS &lt; 50 OLS model'!$B$6*D110</f>
        <v>681636.91088209348</v>
      </c>
      <c r="N110" s="20">
        <f ca="1">'GS &lt; 50 OLS model'!$B$7*E110</f>
        <v>0</v>
      </c>
      <c r="O110" s="20">
        <f>'GS &lt; 50 OLS model'!$B$8*F110</f>
        <v>1807668.8370760905</v>
      </c>
      <c r="P110" s="20">
        <f>'GS &lt; 50 OLS model'!$B$9*G110</f>
        <v>4635586.0334030418</v>
      </c>
      <c r="Q110" s="20">
        <f>'GS &lt; 50 OLS model'!$B$10*H110</f>
        <v>0</v>
      </c>
      <c r="R110" s="20">
        <f>'GS &lt; 50 OLS model'!$B$11*I110</f>
        <v>0</v>
      </c>
      <c r="S110" s="20">
        <f>'GS &lt; 50 OLS model'!$B$12*J110</f>
        <v>0</v>
      </c>
      <c r="T110" s="20">
        <f t="shared" ref="T110:T121" ca="1" si="16">SUM(L110:S110)</f>
        <v>6036159.288462786</v>
      </c>
    </row>
    <row r="111" spans="1:20" ht="14.4" x14ac:dyDescent="0.3">
      <c r="A111" s="22">
        <v>43132</v>
      </c>
      <c r="B111" s="6">
        <f t="shared" si="14"/>
        <v>2018</v>
      </c>
      <c r="D111" s="6">
        <f t="shared" ca="1" si="15"/>
        <v>598.16999999999985</v>
      </c>
      <c r="E111" s="6">
        <f t="shared" ca="1" si="15"/>
        <v>0</v>
      </c>
      <c r="F111" s="6">
        <f>F99*(1+Employment!$J$4)</f>
        <v>159.48942750000003</v>
      </c>
      <c r="G111" s="6">
        <f t="shared" si="12"/>
        <v>28</v>
      </c>
      <c r="H111" s="6">
        <f t="shared" si="12"/>
        <v>0</v>
      </c>
      <c r="I111" s="6">
        <f t="shared" si="12"/>
        <v>0</v>
      </c>
      <c r="J111" s="6">
        <f t="shared" si="12"/>
        <v>0</v>
      </c>
      <c r="L111" s="20">
        <f>'GS &lt; 50 OLS model'!$B$5</f>
        <v>-1088732.49289844</v>
      </c>
      <c r="M111" s="20">
        <f ca="1">'GS &lt; 50 OLS model'!$B$6*D111</f>
        <v>616668.05454157165</v>
      </c>
      <c r="N111" s="20">
        <f ca="1">'GS &lt; 50 OLS model'!$B$7*E111</f>
        <v>0</v>
      </c>
      <c r="O111" s="20">
        <f>'GS &lt; 50 OLS model'!$B$8*F111</f>
        <v>1819331.2166701299</v>
      </c>
      <c r="P111" s="20">
        <f>'GS &lt; 50 OLS model'!$B$9*G111</f>
        <v>4186980.9333962961</v>
      </c>
      <c r="Q111" s="20">
        <f>'GS &lt; 50 OLS model'!$B$10*H111</f>
        <v>0</v>
      </c>
      <c r="R111" s="20">
        <f>'GS &lt; 50 OLS model'!$B$11*I111</f>
        <v>0</v>
      </c>
      <c r="S111" s="20">
        <f>'GS &lt; 50 OLS model'!$B$12*J111</f>
        <v>0</v>
      </c>
      <c r="T111" s="20">
        <f t="shared" ca="1" si="16"/>
        <v>5534247.7117095571</v>
      </c>
    </row>
    <row r="112" spans="1:20" ht="14.4" x14ac:dyDescent="0.3">
      <c r="A112" s="22">
        <v>43160</v>
      </c>
      <c r="B112" s="6">
        <f t="shared" si="14"/>
        <v>2018</v>
      </c>
      <c r="D112" s="6">
        <f t="shared" ca="1" si="15"/>
        <v>451.34</v>
      </c>
      <c r="E112" s="6">
        <f t="shared" ca="1" si="15"/>
        <v>0.88000000000000012</v>
      </c>
      <c r="F112" s="6">
        <f>F100*(1+Employment!$J$4)</f>
        <v>160.30732200000003</v>
      </c>
      <c r="G112" s="6">
        <f t="shared" si="12"/>
        <v>31</v>
      </c>
      <c r="H112" s="6">
        <f t="shared" si="12"/>
        <v>1</v>
      </c>
      <c r="I112" s="6">
        <f t="shared" si="12"/>
        <v>1</v>
      </c>
      <c r="J112" s="6">
        <f t="shared" si="12"/>
        <v>0</v>
      </c>
      <c r="L112" s="20">
        <f>'GS &lt; 50 OLS model'!$B$5</f>
        <v>-1088732.49289844</v>
      </c>
      <c r="M112" s="20">
        <f ca="1">'GS &lt; 50 OLS model'!$B$6*D112</f>
        <v>465297.42336926464</v>
      </c>
      <c r="N112" s="20">
        <f ca="1">'GS &lt; 50 OLS model'!$B$7*E112</f>
        <v>6753.1741608942166</v>
      </c>
      <c r="O112" s="20">
        <f>'GS &lt; 50 OLS model'!$B$8*F112</f>
        <v>1828661.1203453613</v>
      </c>
      <c r="P112" s="20">
        <f>'GS &lt; 50 OLS model'!$B$9*G112</f>
        <v>4635586.0334030418</v>
      </c>
      <c r="Q112" s="20">
        <f>'GS &lt; 50 OLS model'!$B$10*H112</f>
        <v>-268302.989268562</v>
      </c>
      <c r="R112" s="20">
        <f>'GS &lt; 50 OLS model'!$B$11*I112</f>
        <v>178696.970766832</v>
      </c>
      <c r="S112" s="20">
        <f>'GS &lt; 50 OLS model'!$B$12*J112</f>
        <v>0</v>
      </c>
      <c r="T112" s="20">
        <f t="shared" ca="1" si="16"/>
        <v>5757959.2398783928</v>
      </c>
    </row>
    <row r="113" spans="1:20" ht="14.4" x14ac:dyDescent="0.3">
      <c r="A113" s="22">
        <v>43191</v>
      </c>
      <c r="B113" s="6">
        <f t="shared" si="14"/>
        <v>2018</v>
      </c>
      <c r="D113" s="6">
        <f t="shared" ca="1" si="15"/>
        <v>259.5499999999999</v>
      </c>
      <c r="E113" s="6">
        <f t="shared" ca="1" si="15"/>
        <v>2.4500000000000002</v>
      </c>
      <c r="F113" s="6">
        <f>F101*(1+Employment!$J$4)</f>
        <v>162.86324231250003</v>
      </c>
      <c r="G113" s="6">
        <f t="shared" si="12"/>
        <v>30</v>
      </c>
      <c r="H113" s="6">
        <f t="shared" si="12"/>
        <v>1</v>
      </c>
      <c r="I113" s="6">
        <f t="shared" si="12"/>
        <v>0</v>
      </c>
      <c r="J113" s="6">
        <f t="shared" si="12"/>
        <v>0</v>
      </c>
      <c r="L113" s="20">
        <f>'GS &lt; 50 OLS model'!$B$5</f>
        <v>-1088732.49289844</v>
      </c>
      <c r="M113" s="20">
        <f ca="1">'GS &lt; 50 OLS model'!$B$6*D113</f>
        <v>267576.4307074325</v>
      </c>
      <c r="N113" s="20">
        <f ca="1">'GS &lt; 50 OLS model'!$B$7*E113</f>
        <v>18801.450788853217</v>
      </c>
      <c r="O113" s="20">
        <f>'GS &lt; 50 OLS model'!$B$8*F113</f>
        <v>1857817.0693304597</v>
      </c>
      <c r="P113" s="20">
        <f>'GS &lt; 50 OLS model'!$B$9*G113</f>
        <v>4486051.0000674604</v>
      </c>
      <c r="Q113" s="20">
        <f>'GS &lt; 50 OLS model'!$B$10*H113</f>
        <v>-268302.989268562</v>
      </c>
      <c r="R113" s="20">
        <f>'GS &lt; 50 OLS model'!$B$11*I113</f>
        <v>0</v>
      </c>
      <c r="S113" s="20">
        <f>'GS &lt; 50 OLS model'!$B$12*J113</f>
        <v>0</v>
      </c>
      <c r="T113" s="20">
        <f t="shared" ca="1" si="16"/>
        <v>5273210.468727204</v>
      </c>
    </row>
    <row r="114" spans="1:20" ht="14.4" x14ac:dyDescent="0.3">
      <c r="A114" s="22">
        <v>43221</v>
      </c>
      <c r="B114" s="6">
        <f t="shared" si="14"/>
        <v>2018</v>
      </c>
      <c r="D114" s="6">
        <f t="shared" ca="1" si="15"/>
        <v>88.880000000000024</v>
      </c>
      <c r="E114" s="6">
        <f t="shared" ca="1" si="15"/>
        <v>43.79999999999999</v>
      </c>
      <c r="F114" s="6">
        <f>F102*(1+Employment!$J$4)</f>
        <v>165.72587306250003</v>
      </c>
      <c r="G114" s="6">
        <f t="shared" si="12"/>
        <v>31</v>
      </c>
      <c r="H114" s="6">
        <f t="shared" si="12"/>
        <v>1</v>
      </c>
      <c r="I114" s="6">
        <f t="shared" si="12"/>
        <v>0</v>
      </c>
      <c r="J114" s="6">
        <f t="shared" si="12"/>
        <v>0</v>
      </c>
      <c r="L114" s="20">
        <f>'GS &lt; 50 OLS model'!$B$5</f>
        <v>-1088732.49289844</v>
      </c>
      <c r="M114" s="20">
        <f ca="1">'GS &lt; 50 OLS model'!$B$6*D114</f>
        <v>91628.56159228133</v>
      </c>
      <c r="N114" s="20">
        <f ca="1">'GS &lt; 50 OLS model'!$B$7*E114</f>
        <v>336123.89573541656</v>
      </c>
      <c r="O114" s="20">
        <f>'GS &lt; 50 OLS model'!$B$8*F114</f>
        <v>1890471.7321937697</v>
      </c>
      <c r="P114" s="20">
        <f>'GS &lt; 50 OLS model'!$B$9*G114</f>
        <v>4635586.0334030418</v>
      </c>
      <c r="Q114" s="20">
        <f>'GS &lt; 50 OLS model'!$B$10*H114</f>
        <v>-268302.989268562</v>
      </c>
      <c r="R114" s="20">
        <f>'GS &lt; 50 OLS model'!$B$11*I114</f>
        <v>0</v>
      </c>
      <c r="S114" s="20">
        <f>'GS &lt; 50 OLS model'!$B$12*J114</f>
        <v>0</v>
      </c>
      <c r="T114" s="20">
        <f t="shared" ca="1" si="16"/>
        <v>5596774.7407575073</v>
      </c>
    </row>
    <row r="115" spans="1:20" ht="14.4" x14ac:dyDescent="0.3">
      <c r="A115" s="22">
        <v>43252</v>
      </c>
      <c r="B115" s="6">
        <f t="shared" si="14"/>
        <v>2018</v>
      </c>
      <c r="D115" s="6">
        <f t="shared" ca="1" si="15"/>
        <v>9.77</v>
      </c>
      <c r="E115" s="6">
        <f t="shared" ca="1" si="15"/>
        <v>117.38999999999999</v>
      </c>
      <c r="F115" s="6">
        <f>F103*(1+Employment!$J$4)</f>
        <v>170.4287664375</v>
      </c>
      <c r="G115" s="6">
        <f t="shared" si="12"/>
        <v>30</v>
      </c>
      <c r="H115" s="6">
        <f t="shared" si="12"/>
        <v>0</v>
      </c>
      <c r="I115" s="6">
        <f t="shared" si="12"/>
        <v>0</v>
      </c>
      <c r="J115" s="6">
        <f t="shared" si="12"/>
        <v>0</v>
      </c>
      <c r="L115" s="20">
        <f>'GS &lt; 50 OLS model'!$B$5</f>
        <v>-1088732.49289844</v>
      </c>
      <c r="M115" s="20">
        <f ca="1">'GS &lt; 50 OLS model'!$B$6*D115</f>
        <v>10072.131489160534</v>
      </c>
      <c r="N115" s="20">
        <f ca="1">'GS &lt; 50 OLS model'!$B$7*E115</f>
        <v>900858.08494019532</v>
      </c>
      <c r="O115" s="20">
        <f>'GS &lt; 50 OLS model'!$B$8*F115</f>
        <v>1944118.6783263499</v>
      </c>
      <c r="P115" s="20">
        <f>'GS &lt; 50 OLS model'!$B$9*G115</f>
        <v>4486051.0000674604</v>
      </c>
      <c r="Q115" s="20">
        <f>'GS &lt; 50 OLS model'!$B$10*H115</f>
        <v>0</v>
      </c>
      <c r="R115" s="20">
        <f>'GS &lt; 50 OLS model'!$B$11*I115</f>
        <v>0</v>
      </c>
      <c r="S115" s="20">
        <f>'GS &lt; 50 OLS model'!$B$12*J115</f>
        <v>0</v>
      </c>
      <c r="T115" s="20">
        <f t="shared" ca="1" si="16"/>
        <v>6252367.4019247256</v>
      </c>
    </row>
    <row r="116" spans="1:20" ht="14.4" x14ac:dyDescent="0.3">
      <c r="A116" s="22">
        <v>43282</v>
      </c>
      <c r="B116" s="6">
        <f t="shared" si="14"/>
        <v>2018</v>
      </c>
      <c r="D116" s="6">
        <f t="shared" ca="1" si="15"/>
        <v>0.58000000000000007</v>
      </c>
      <c r="E116" s="6">
        <f t="shared" ca="1" si="15"/>
        <v>179.70999999999998</v>
      </c>
      <c r="F116" s="6">
        <f>F104*(1+Employment!$J$4)</f>
        <v>173.70034443750004</v>
      </c>
      <c r="G116" s="6">
        <f t="shared" si="12"/>
        <v>31</v>
      </c>
      <c r="H116" s="6">
        <f t="shared" si="12"/>
        <v>0</v>
      </c>
      <c r="I116" s="6">
        <f t="shared" si="12"/>
        <v>0</v>
      </c>
      <c r="J116" s="6">
        <f t="shared" si="12"/>
        <v>0</v>
      </c>
      <c r="L116" s="20">
        <f>'GS &lt; 50 OLS model'!$B$5</f>
        <v>-1088732.49289844</v>
      </c>
      <c r="M116" s="20">
        <f ca="1">'GS &lt; 50 OLS model'!$B$6*D116</f>
        <v>597.93615800543614</v>
      </c>
      <c r="N116" s="20">
        <f ca="1">'GS &lt; 50 OLS model'!$B$7*E116</f>
        <v>1379105.6005162492</v>
      </c>
      <c r="O116" s="20">
        <f>'GS &lt; 50 OLS model'!$B$8*F116</f>
        <v>1981438.2930272762</v>
      </c>
      <c r="P116" s="20">
        <f>'GS &lt; 50 OLS model'!$B$9*G116</f>
        <v>4635586.0334030418</v>
      </c>
      <c r="Q116" s="20">
        <f>'GS &lt; 50 OLS model'!$B$10*H116</f>
        <v>0</v>
      </c>
      <c r="R116" s="20">
        <f>'GS &lt; 50 OLS model'!$B$11*I116</f>
        <v>0</v>
      </c>
      <c r="S116" s="20">
        <f>'GS &lt; 50 OLS model'!$B$12*J116</f>
        <v>0</v>
      </c>
      <c r="T116" s="20">
        <f t="shared" ca="1" si="16"/>
        <v>6907995.3702061325</v>
      </c>
    </row>
    <row r="117" spans="1:20" ht="14.4" x14ac:dyDescent="0.3">
      <c r="A117" s="22">
        <v>43313</v>
      </c>
      <c r="B117" s="6">
        <f t="shared" si="14"/>
        <v>2018</v>
      </c>
      <c r="D117" s="6">
        <f t="shared" ca="1" si="15"/>
        <v>1.7099999999999997</v>
      </c>
      <c r="E117" s="6">
        <f t="shared" ca="1" si="15"/>
        <v>158.1</v>
      </c>
      <c r="F117" s="6">
        <f>F105*(1+Employment!$J$4)</f>
        <v>175.54060706250002</v>
      </c>
      <c r="G117" s="6">
        <f t="shared" si="12"/>
        <v>31</v>
      </c>
      <c r="H117" s="6">
        <f t="shared" si="12"/>
        <v>0</v>
      </c>
      <c r="I117" s="6">
        <f t="shared" si="12"/>
        <v>0</v>
      </c>
      <c r="J117" s="6">
        <f t="shared" si="12"/>
        <v>0</v>
      </c>
      <c r="L117" s="20">
        <f>'GS &lt; 50 OLS model'!$B$5</f>
        <v>-1088732.49289844</v>
      </c>
      <c r="M117" s="20">
        <f ca="1">'GS &lt; 50 OLS model'!$B$6*D117</f>
        <v>1762.8807417056819</v>
      </c>
      <c r="N117" s="20">
        <f ca="1">'GS &lt; 50 OLS model'!$B$7*E117</f>
        <v>1213269.1304970176</v>
      </c>
      <c r="O117" s="20">
        <f>'GS &lt; 50 OLS model'!$B$8*F117</f>
        <v>2002430.5762965467</v>
      </c>
      <c r="P117" s="20">
        <f>'GS &lt; 50 OLS model'!$B$9*G117</f>
        <v>4635586.0334030418</v>
      </c>
      <c r="Q117" s="20">
        <f>'GS &lt; 50 OLS model'!$B$10*H117</f>
        <v>0</v>
      </c>
      <c r="R117" s="20">
        <f>'GS &lt; 50 OLS model'!$B$11*I117</f>
        <v>0</v>
      </c>
      <c r="S117" s="20">
        <f>'GS &lt; 50 OLS model'!$B$12*J117</f>
        <v>0</v>
      </c>
      <c r="T117" s="20">
        <f t="shared" ca="1" si="16"/>
        <v>6764316.1280398723</v>
      </c>
    </row>
    <row r="118" spans="1:20" ht="14.4" x14ac:dyDescent="0.3">
      <c r="A118" s="22">
        <v>43344</v>
      </c>
      <c r="B118" s="6">
        <f t="shared" si="14"/>
        <v>2018</v>
      </c>
      <c r="D118" s="6">
        <f t="shared" ca="1" si="15"/>
        <v>32.68</v>
      </c>
      <c r="E118" s="6">
        <f t="shared" ca="1" si="15"/>
        <v>67.34</v>
      </c>
      <c r="F118" s="6">
        <f>F106*(1+Employment!$J$4)</f>
        <v>174.31376531250001</v>
      </c>
      <c r="G118" s="6">
        <f t="shared" si="12"/>
        <v>30</v>
      </c>
      <c r="H118" s="6">
        <f t="shared" si="12"/>
        <v>0</v>
      </c>
      <c r="I118" s="6">
        <f t="shared" si="12"/>
        <v>0</v>
      </c>
      <c r="J118" s="6">
        <f t="shared" si="12"/>
        <v>0</v>
      </c>
      <c r="L118" s="20">
        <f>'GS &lt; 50 OLS model'!$B$5</f>
        <v>-1088732.49289844</v>
      </c>
      <c r="M118" s="20">
        <f ca="1">'GS &lt; 50 OLS model'!$B$6*D118</f>
        <v>33690.609730375261</v>
      </c>
      <c r="N118" s="20">
        <f ca="1">'GS &lt; 50 OLS model'!$B$7*E118</f>
        <v>516771.30453933694</v>
      </c>
      <c r="O118" s="20">
        <f>'GS &lt; 50 OLS model'!$B$8*F118</f>
        <v>1988435.7207836995</v>
      </c>
      <c r="P118" s="20">
        <f>'GS &lt; 50 OLS model'!$B$9*G118</f>
        <v>4486051.0000674604</v>
      </c>
      <c r="Q118" s="20">
        <f>'GS &lt; 50 OLS model'!$B$10*H118</f>
        <v>0</v>
      </c>
      <c r="R118" s="20">
        <f>'GS &lt; 50 OLS model'!$B$11*I118</f>
        <v>0</v>
      </c>
      <c r="S118" s="20">
        <f>'GS &lt; 50 OLS model'!$B$12*J118</f>
        <v>0</v>
      </c>
      <c r="T118" s="20">
        <f t="shared" ca="1" si="16"/>
        <v>5936216.1422224324</v>
      </c>
    </row>
    <row r="119" spans="1:20" ht="14.4" x14ac:dyDescent="0.3">
      <c r="A119" s="22">
        <v>43374</v>
      </c>
      <c r="B119" s="6">
        <f t="shared" si="14"/>
        <v>2018</v>
      </c>
      <c r="D119" s="6">
        <f t="shared" ca="1" si="15"/>
        <v>176.42</v>
      </c>
      <c r="E119" s="6">
        <f t="shared" ca="1" si="15"/>
        <v>10.18</v>
      </c>
      <c r="F119" s="6">
        <f>F107*(1+Employment!$J$4)</f>
        <v>172.98468674999998</v>
      </c>
      <c r="G119" s="6">
        <f t="shared" si="12"/>
        <v>31</v>
      </c>
      <c r="H119" s="6">
        <f t="shared" si="12"/>
        <v>1</v>
      </c>
      <c r="I119" s="6">
        <f t="shared" si="12"/>
        <v>0</v>
      </c>
      <c r="J119" s="6">
        <f t="shared" si="12"/>
        <v>0</v>
      </c>
      <c r="L119" s="20">
        <f>'GS &lt; 50 OLS model'!$B$5</f>
        <v>-1088732.49289844</v>
      </c>
      <c r="M119" s="20">
        <f ca="1">'GS &lt; 50 OLS model'!$B$6*D119</f>
        <v>181875.68447468797</v>
      </c>
      <c r="N119" s="20">
        <f ca="1">'GS &lt; 50 OLS model'!$B$7*E119</f>
        <v>78121.946543071725</v>
      </c>
      <c r="O119" s="20">
        <f>'GS &lt; 50 OLS model'!$B$8*F119</f>
        <v>1973274.6273114481</v>
      </c>
      <c r="P119" s="20">
        <f>'GS &lt; 50 OLS model'!$B$9*G119</f>
        <v>4635586.0334030418</v>
      </c>
      <c r="Q119" s="20">
        <f>'GS &lt; 50 OLS model'!$B$10*H119</f>
        <v>-268302.989268562</v>
      </c>
      <c r="R119" s="20">
        <f>'GS &lt; 50 OLS model'!$B$11*I119</f>
        <v>0</v>
      </c>
      <c r="S119" s="20">
        <f>'GS &lt; 50 OLS model'!$B$12*J119</f>
        <v>0</v>
      </c>
      <c r="T119" s="20">
        <f t="shared" ca="1" si="16"/>
        <v>5511822.809565248</v>
      </c>
    </row>
    <row r="120" spans="1:20" ht="14.4" x14ac:dyDescent="0.3">
      <c r="A120" s="22">
        <v>43405</v>
      </c>
      <c r="B120" s="6">
        <f t="shared" si="14"/>
        <v>2018</v>
      </c>
      <c r="D120" s="6">
        <f t="shared" ca="1" si="15"/>
        <v>364.2299999999999</v>
      </c>
      <c r="E120" s="6">
        <f t="shared" ca="1" si="15"/>
        <v>0.05</v>
      </c>
      <c r="F120" s="6">
        <f>F108*(1+Employment!$J$4)</f>
        <v>169.2019246875</v>
      </c>
      <c r="G120" s="6">
        <f t="shared" si="12"/>
        <v>30</v>
      </c>
      <c r="H120" s="6">
        <f t="shared" si="12"/>
        <v>1</v>
      </c>
      <c r="I120" s="6">
        <f t="shared" si="12"/>
        <v>0</v>
      </c>
      <c r="J120" s="6">
        <f t="shared" si="12"/>
        <v>0</v>
      </c>
      <c r="L120" s="20">
        <f>'GS &lt; 50 OLS model'!$B$5</f>
        <v>-1088732.49289844</v>
      </c>
      <c r="M120" s="20">
        <f ca="1">'GS &lt; 50 OLS model'!$B$6*D120</f>
        <v>375493.59798331017</v>
      </c>
      <c r="N120" s="20">
        <f ca="1">'GS &lt; 50 OLS model'!$B$7*E120</f>
        <v>383.70307732353501</v>
      </c>
      <c r="O120" s="20">
        <f>'GS &lt; 50 OLS model'!$B$8*F120</f>
        <v>1930123.8228135027</v>
      </c>
      <c r="P120" s="20">
        <f>'GS &lt; 50 OLS model'!$B$9*G120</f>
        <v>4486051.0000674604</v>
      </c>
      <c r="Q120" s="20">
        <f>'GS &lt; 50 OLS model'!$B$10*H120</f>
        <v>-268302.989268562</v>
      </c>
      <c r="R120" s="20">
        <f>'GS &lt; 50 OLS model'!$B$11*I120</f>
        <v>0</v>
      </c>
      <c r="S120" s="20">
        <f>'GS &lt; 50 OLS model'!$B$12*J120</f>
        <v>0</v>
      </c>
      <c r="T120" s="20">
        <f t="shared" ca="1" si="16"/>
        <v>5435016.6417745948</v>
      </c>
    </row>
    <row r="121" spans="1:20" ht="14.4" x14ac:dyDescent="0.3">
      <c r="A121" s="22">
        <v>43435</v>
      </c>
      <c r="B121" s="6">
        <f t="shared" si="14"/>
        <v>2018</v>
      </c>
      <c r="D121" s="6">
        <f t="shared" ca="1" si="15"/>
        <v>552.31000000000006</v>
      </c>
      <c r="E121" s="6">
        <f t="shared" ca="1" si="15"/>
        <v>0</v>
      </c>
      <c r="F121" s="6">
        <f>F109*(1+Employment!$J$4)</f>
        <v>166.13482031250004</v>
      </c>
      <c r="G121" s="6">
        <f t="shared" si="12"/>
        <v>31</v>
      </c>
      <c r="H121" s="6">
        <f t="shared" si="12"/>
        <v>0</v>
      </c>
      <c r="I121" s="6">
        <f t="shared" si="12"/>
        <v>0</v>
      </c>
      <c r="J121" s="6">
        <f t="shared" si="12"/>
        <v>1</v>
      </c>
      <c r="L121" s="20">
        <f>'GS &lt; 50 OLS model'!$B$5</f>
        <v>-1088732.49289844</v>
      </c>
      <c r="M121" s="20">
        <f ca="1">'GS &lt; 50 OLS model'!$B$6*D121</f>
        <v>569389.86108272825</v>
      </c>
      <c r="N121" s="20">
        <f ca="1">'GS &lt; 50 OLS model'!$B$7*E121</f>
        <v>0</v>
      </c>
      <c r="O121" s="20">
        <f>'GS &lt; 50 OLS model'!$B$8*F121</f>
        <v>1895136.6840313855</v>
      </c>
      <c r="P121" s="20">
        <f>'GS &lt; 50 OLS model'!$B$9*G121</f>
        <v>4635586.0334030418</v>
      </c>
      <c r="Q121" s="20">
        <f>'GS &lt; 50 OLS model'!$B$10*H121</f>
        <v>0</v>
      </c>
      <c r="R121" s="20">
        <f>'GS &lt; 50 OLS model'!$B$11*I121</f>
        <v>0</v>
      </c>
      <c r="S121" s="20">
        <f>'GS &lt; 50 OLS model'!$B$12*J121</f>
        <v>-197900.76217015099</v>
      </c>
      <c r="T121" s="20">
        <f t="shared" ca="1" si="16"/>
        <v>5813479.3234485649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topLeftCell="A82" workbookViewId="0">
      <selection activeCell="D82" sqref="D82"/>
    </sheetView>
  </sheetViews>
  <sheetFormatPr defaultRowHeight="13.2" x14ac:dyDescent="0.25"/>
  <cols>
    <col min="1" max="1" width="10.33203125" style="6" bestFit="1" customWidth="1"/>
    <col min="2" max="2" width="5" style="6" bestFit="1" customWidth="1"/>
    <col min="3" max="3" width="13.44140625" style="6" bestFit="1" customWidth="1"/>
    <col min="4" max="4" width="17.6640625" style="6" bestFit="1" customWidth="1"/>
    <col min="5" max="6" width="7" style="6" bestFit="1" customWidth="1"/>
    <col min="7" max="7" width="12" style="6" bestFit="1" customWidth="1"/>
    <col min="8" max="8" width="5.33203125" style="6" bestFit="1" customWidth="1"/>
    <col min="9" max="9" width="7.6640625" style="6" bestFit="1" customWidth="1"/>
    <col min="10" max="10" width="6.21875" style="6" bestFit="1" customWidth="1"/>
    <col min="11" max="11" width="9.109375" style="6" bestFit="1" customWidth="1"/>
    <col min="12" max="12" width="8.88671875" style="6" bestFit="1" customWidth="1"/>
    <col min="13" max="13" width="3.88671875" style="6" bestFit="1" customWidth="1"/>
    <col min="14" max="14" width="8.88671875" style="6"/>
    <col min="15" max="15" width="11.5546875" style="6" bestFit="1" customWidth="1"/>
    <col min="16" max="16" width="17.6640625" style="6" bestFit="1" customWidth="1"/>
    <col min="17" max="18" width="10" style="6" bestFit="1" customWidth="1"/>
    <col min="19" max="19" width="12.77734375" style="6" bestFit="1" customWidth="1"/>
    <col min="20" max="20" width="10" style="6" bestFit="1" customWidth="1"/>
    <col min="21" max="21" width="9.21875" style="6" bestFit="1" customWidth="1"/>
    <col min="22" max="22" width="10" style="6" bestFit="1" customWidth="1"/>
    <col min="23" max="23" width="10.88671875" style="6" bestFit="1" customWidth="1"/>
    <col min="24" max="24" width="10.6640625" style="6" bestFit="1" customWidth="1"/>
    <col min="25" max="25" width="10" style="6" bestFit="1" customWidth="1"/>
    <col min="26" max="26" width="15.6640625" style="6" bestFit="1" customWidth="1"/>
    <col min="27" max="16384" width="8.88671875" style="6"/>
  </cols>
  <sheetData>
    <row r="1" spans="1:26" ht="14.4" x14ac:dyDescent="0.3">
      <c r="A1" s="6" t="str">
        <f>'Monthly Data'!A1</f>
        <v>Date</v>
      </c>
      <c r="B1" s="6" t="s">
        <v>83</v>
      </c>
      <c r="C1" s="20" t="str">
        <f>'Monthly Data'!N1</f>
        <v>Gross_GSgt50</v>
      </c>
      <c r="D1" s="20" t="str">
        <f>'Monthly Data'!P1</f>
        <v>GSgt50_Customers</v>
      </c>
      <c r="E1" s="6" t="str">
        <f>'Monthly Data'!AG1</f>
        <v>HDD</v>
      </c>
      <c r="F1" s="6" t="str">
        <f>'Monthly Data'!AH1</f>
        <v>CDD</v>
      </c>
      <c r="G1" s="6" t="str">
        <f>'Monthly Data'!AJ1</f>
        <v>Windsor_FTE</v>
      </c>
      <c r="H1" s="6" t="str">
        <f>'Monthly Data'!AN1</f>
        <v>Trend</v>
      </c>
      <c r="I1" s="6" t="str">
        <f>'Monthly Data'!AP1</f>
        <v>February</v>
      </c>
      <c r="J1" s="6" t="str">
        <f>'Monthly Data'!AV1</f>
        <v>August</v>
      </c>
      <c r="K1" s="6" t="str">
        <f>'Monthly Data'!AW1</f>
        <v>September</v>
      </c>
      <c r="L1" s="6" t="str">
        <f>'Monthly Data'!AY1</f>
        <v>November</v>
      </c>
      <c r="M1" s="6" t="str">
        <f>'Monthly Data'!BB1</f>
        <v>Fall</v>
      </c>
      <c r="O1" s="20" t="s">
        <v>67</v>
      </c>
      <c r="P1" s="20" t="str">
        <f>D1</f>
        <v>GSgt50_Customers</v>
      </c>
      <c r="Q1" s="20" t="str">
        <f>E1</f>
        <v>HDD</v>
      </c>
      <c r="R1" s="20" t="str">
        <f>F1</f>
        <v>CDD</v>
      </c>
      <c r="S1" s="20" t="str">
        <f>G1</f>
        <v>Windsor_FTE</v>
      </c>
      <c r="T1" s="20" t="str">
        <f>H1</f>
        <v>Trend</v>
      </c>
      <c r="U1" s="20" t="str">
        <f>I1</f>
        <v>February</v>
      </c>
      <c r="V1" s="20" t="str">
        <f>J1</f>
        <v>August</v>
      </c>
      <c r="W1" s="20" t="str">
        <f t="shared" ref="W1:Y1" si="0">K1</f>
        <v>September</v>
      </c>
      <c r="X1" s="20" t="str">
        <f t="shared" si="0"/>
        <v>November</v>
      </c>
      <c r="Y1" s="20" t="str">
        <f t="shared" si="0"/>
        <v>Fall</v>
      </c>
      <c r="Z1" s="20" t="s">
        <v>96</v>
      </c>
    </row>
    <row r="2" spans="1:26" ht="14.4" x14ac:dyDescent="0.3">
      <c r="A2" s="22">
        <f>'Monthly Data'!A2</f>
        <v>39814</v>
      </c>
      <c r="B2" s="6">
        <f>YEAR(A2)</f>
        <v>2009</v>
      </c>
      <c r="C2" s="20">
        <f ca="1">'Monthly Data'!N2</f>
        <v>14097033.012462217</v>
      </c>
      <c r="D2" s="20">
        <f>'Monthly Data'!P2</f>
        <v>225</v>
      </c>
      <c r="E2" s="6">
        <f ca="1">Weather!G69</f>
        <v>661.18999999999994</v>
      </c>
      <c r="F2" s="6">
        <f ca="1">Weather!H69</f>
        <v>0</v>
      </c>
      <c r="G2" s="6">
        <f>'Monthly Data'!AJ2</f>
        <v>151.5</v>
      </c>
      <c r="H2" s="6">
        <f>'Monthly Data'!AN2</f>
        <v>1</v>
      </c>
      <c r="I2" s="6">
        <f>'Monthly Data'!AP2</f>
        <v>0</v>
      </c>
      <c r="J2" s="6">
        <f>'Monthly Data'!AV2</f>
        <v>0</v>
      </c>
      <c r="K2" s="6">
        <f>'Monthly Data'!AW2</f>
        <v>0</v>
      </c>
      <c r="L2" s="6">
        <f>'Monthly Data'!AY2</f>
        <v>0</v>
      </c>
      <c r="M2" s="6">
        <f>'Monthly Data'!BB2</f>
        <v>0</v>
      </c>
      <c r="O2" s="20">
        <f>'GS &gt; 50 OLS model'!$B$5</f>
        <v>-11694573.8944258</v>
      </c>
      <c r="P2" s="20">
        <f>'GS &gt; 50 OLS model'!$B$6*D2</f>
        <v>11402884.051000807</v>
      </c>
      <c r="Q2" s="20">
        <f ca="1">'GS &gt; 50 OLS model'!$B$7*E2</f>
        <v>1772964.8144671745</v>
      </c>
      <c r="R2" s="20">
        <f ca="1">'GS &gt; 50 OLS model'!$B$8*F2</f>
        <v>0</v>
      </c>
      <c r="S2" s="20">
        <f>'GS &gt; 50 OLS model'!$B$9*G2</f>
        <v>12698580.838207474</v>
      </c>
      <c r="T2" s="20">
        <f>'GS &gt; 50 OLS model'!$B$10*H2</f>
        <v>12860.4931842888</v>
      </c>
      <c r="U2" s="20">
        <f>'GS &gt; 50 OLS model'!$B$11*I2</f>
        <v>0</v>
      </c>
      <c r="V2" s="20">
        <f>'GS &gt; 50 OLS model'!$B$12*J2</f>
        <v>0</v>
      </c>
      <c r="W2" s="20">
        <f>'GS &gt; 50 OLS model'!$B$13*K2</f>
        <v>0</v>
      </c>
      <c r="X2" s="20">
        <f>'GS &gt; 50 OLS model'!$B$14*L2</f>
        <v>0</v>
      </c>
      <c r="Y2" s="20">
        <f>'GS &gt; 50 OLS model'!$B$15*M2</f>
        <v>0</v>
      </c>
      <c r="Z2" s="20">
        <f t="shared" ref="Z2:Z33" ca="1" si="1">SUM(O2:V2)</f>
        <v>14192716.302433945</v>
      </c>
    </row>
    <row r="3" spans="1:26" ht="14.4" x14ac:dyDescent="0.3">
      <c r="A3" s="22">
        <f>'Monthly Data'!A3</f>
        <v>39845</v>
      </c>
      <c r="B3" s="6">
        <f t="shared" ref="B3:B66" si="2">YEAR(A3)</f>
        <v>2009</v>
      </c>
      <c r="C3" s="20">
        <f ca="1">'Monthly Data'!N3</f>
        <v>12607538.392457418</v>
      </c>
      <c r="D3" s="20">
        <f>'Monthly Data'!P3</f>
        <v>237</v>
      </c>
      <c r="E3" s="6">
        <f ca="1">Weather!G70</f>
        <v>598.16999999999985</v>
      </c>
      <c r="F3" s="6">
        <f ca="1">Weather!H70</f>
        <v>0</v>
      </c>
      <c r="G3" s="6">
        <f>'Monthly Data'!AJ3</f>
        <v>147.5</v>
      </c>
      <c r="H3" s="6">
        <f>'Monthly Data'!AN3</f>
        <v>2</v>
      </c>
      <c r="I3" s="6">
        <f>'Monthly Data'!AP3</f>
        <v>1</v>
      </c>
      <c r="J3" s="6">
        <f>'Monthly Data'!AV3</f>
        <v>0</v>
      </c>
      <c r="K3" s="6">
        <f>'Monthly Data'!AW3</f>
        <v>0</v>
      </c>
      <c r="L3" s="6">
        <f>'Monthly Data'!AY3</f>
        <v>0</v>
      </c>
      <c r="M3" s="6">
        <f>'Monthly Data'!BB3</f>
        <v>0</v>
      </c>
      <c r="O3" s="20">
        <f>'GS &gt; 50 OLS model'!$B$5</f>
        <v>-11694573.8944258</v>
      </c>
      <c r="P3" s="20">
        <f>'GS &gt; 50 OLS model'!$B$6*D3</f>
        <v>12011037.867054183</v>
      </c>
      <c r="Q3" s="20">
        <f ca="1">'GS &gt; 50 OLS model'!$B$7*E3</f>
        <v>1603978.225729109</v>
      </c>
      <c r="R3" s="20">
        <f ca="1">'GS &gt; 50 OLS model'!$B$8*F3</f>
        <v>0</v>
      </c>
      <c r="S3" s="20">
        <f>'GS &gt; 50 OLS model'!$B$9*G3</f>
        <v>12363304.776472624</v>
      </c>
      <c r="T3" s="20">
        <f>'GS &gt; 50 OLS model'!$B$10*H3</f>
        <v>25720.9863685776</v>
      </c>
      <c r="U3" s="20">
        <f>'GS &gt; 50 OLS model'!$B$11*I3</f>
        <v>-797686.81375559501</v>
      </c>
      <c r="V3" s="20">
        <f>'GS &gt; 50 OLS model'!$B$12*J3</f>
        <v>0</v>
      </c>
      <c r="W3" s="20">
        <f>'GS &gt; 50 OLS model'!$B$13*K3</f>
        <v>0</v>
      </c>
      <c r="X3" s="20">
        <f>'GS &gt; 50 OLS model'!$B$14*L3</f>
        <v>0</v>
      </c>
      <c r="Y3" s="20">
        <f>'GS &gt; 50 OLS model'!$B$15*M3</f>
        <v>0</v>
      </c>
      <c r="Z3" s="20">
        <f t="shared" ca="1" si="1"/>
        <v>13511781.147443101</v>
      </c>
    </row>
    <row r="4" spans="1:26" ht="14.4" x14ac:dyDescent="0.3">
      <c r="A4" s="22">
        <f>'Monthly Data'!A4</f>
        <v>39873</v>
      </c>
      <c r="B4" s="6">
        <f t="shared" si="2"/>
        <v>2009</v>
      </c>
      <c r="C4" s="20">
        <f ca="1">'Monthly Data'!N4</f>
        <v>13429022.116557317</v>
      </c>
      <c r="D4" s="20">
        <f>'Monthly Data'!P4</f>
        <v>213</v>
      </c>
      <c r="E4" s="6">
        <f ca="1">Weather!G71</f>
        <v>451.34</v>
      </c>
      <c r="F4" s="6">
        <f ca="1">Weather!H71</f>
        <v>0.88000000000000012</v>
      </c>
      <c r="G4" s="6">
        <f>'Monthly Data'!AJ4</f>
        <v>142.9</v>
      </c>
      <c r="H4" s="6">
        <f>'Monthly Data'!AN4</f>
        <v>3</v>
      </c>
      <c r="I4" s="6">
        <f>'Monthly Data'!AP4</f>
        <v>0</v>
      </c>
      <c r="J4" s="6">
        <f>'Monthly Data'!AV4</f>
        <v>0</v>
      </c>
      <c r="K4" s="6">
        <f>'Monthly Data'!AW4</f>
        <v>0</v>
      </c>
      <c r="L4" s="6">
        <f>'Monthly Data'!AY4</f>
        <v>0</v>
      </c>
      <c r="M4" s="6">
        <f>'Monthly Data'!BB4</f>
        <v>0</v>
      </c>
      <c r="O4" s="20">
        <f>'GS &gt; 50 OLS model'!$B$5</f>
        <v>-11694573.8944258</v>
      </c>
      <c r="P4" s="20">
        <f>'GS &gt; 50 OLS model'!$B$6*D4</f>
        <v>10794730.23494743</v>
      </c>
      <c r="Q4" s="20">
        <f ca="1">'GS &gt; 50 OLS model'!$B$7*E4</f>
        <v>1210257.1717080032</v>
      </c>
      <c r="R4" s="20">
        <f ca="1">'GS &gt; 50 OLS model'!$B$8*F4</f>
        <v>13008.351800683537</v>
      </c>
      <c r="S4" s="20">
        <f>'GS &gt; 50 OLS model'!$B$9*G4</f>
        <v>11977737.305477547</v>
      </c>
      <c r="T4" s="20">
        <f>'GS &gt; 50 OLS model'!$B$10*H4</f>
        <v>38581.479552866396</v>
      </c>
      <c r="U4" s="20">
        <f>'GS &gt; 50 OLS model'!$B$11*I4</f>
        <v>0</v>
      </c>
      <c r="V4" s="20">
        <f>'GS &gt; 50 OLS model'!$B$12*J4</f>
        <v>0</v>
      </c>
      <c r="W4" s="20">
        <f>'GS &gt; 50 OLS model'!$B$13*K4</f>
        <v>0</v>
      </c>
      <c r="X4" s="20">
        <f>'GS &gt; 50 OLS model'!$B$14*L4</f>
        <v>0</v>
      </c>
      <c r="Y4" s="20">
        <f>'GS &gt; 50 OLS model'!$B$15*M4</f>
        <v>0</v>
      </c>
      <c r="Z4" s="20">
        <f t="shared" ca="1" si="1"/>
        <v>12339740.64906073</v>
      </c>
    </row>
    <row r="5" spans="1:26" ht="14.4" x14ac:dyDescent="0.3">
      <c r="A5" s="22">
        <f>'Monthly Data'!A5</f>
        <v>39904</v>
      </c>
      <c r="B5" s="6">
        <f t="shared" si="2"/>
        <v>2009</v>
      </c>
      <c r="C5" s="20">
        <f ca="1">'Monthly Data'!N5</f>
        <v>12281549.857111618</v>
      </c>
      <c r="D5" s="20">
        <f>'Monthly Data'!P5</f>
        <v>216</v>
      </c>
      <c r="E5" s="6">
        <f ca="1">Weather!G72</f>
        <v>259.5499999999999</v>
      </c>
      <c r="F5" s="6">
        <f ca="1">Weather!H72</f>
        <v>2.4500000000000002</v>
      </c>
      <c r="G5" s="6">
        <f>'Monthly Data'!AJ5</f>
        <v>144.80000000000001</v>
      </c>
      <c r="H5" s="6">
        <f>'Monthly Data'!AN5</f>
        <v>4</v>
      </c>
      <c r="I5" s="6">
        <f>'Monthly Data'!AP5</f>
        <v>0</v>
      </c>
      <c r="J5" s="6">
        <f>'Monthly Data'!AV5</f>
        <v>0</v>
      </c>
      <c r="K5" s="6">
        <f>'Monthly Data'!AW5</f>
        <v>0</v>
      </c>
      <c r="L5" s="6">
        <f>'Monthly Data'!AY5</f>
        <v>0</v>
      </c>
      <c r="M5" s="6">
        <f>'Monthly Data'!BB5</f>
        <v>0</v>
      </c>
      <c r="O5" s="20">
        <f>'GS &gt; 50 OLS model'!$B$5</f>
        <v>-11694573.8944258</v>
      </c>
      <c r="P5" s="20">
        <f>'GS &gt; 50 OLS model'!$B$6*D5</f>
        <v>10946768.688960774</v>
      </c>
      <c r="Q5" s="20">
        <f ca="1">'GS &gt; 50 OLS model'!$B$7*E5</f>
        <v>695976.9772606286</v>
      </c>
      <c r="R5" s="20">
        <f ca="1">'GS &gt; 50 OLS model'!$B$8*F5</f>
        <v>36216.433990539394</v>
      </c>
      <c r="S5" s="20">
        <f>'GS &gt; 50 OLS model'!$B$9*G5</f>
        <v>12136993.434801601</v>
      </c>
      <c r="T5" s="20">
        <f>'GS &gt; 50 OLS model'!$B$10*H5</f>
        <v>51441.9727371552</v>
      </c>
      <c r="U5" s="20">
        <f>'GS &gt; 50 OLS model'!$B$11*I5</f>
        <v>0</v>
      </c>
      <c r="V5" s="20">
        <f>'GS &gt; 50 OLS model'!$B$12*J5</f>
        <v>0</v>
      </c>
      <c r="W5" s="20">
        <f>'GS &gt; 50 OLS model'!$B$13*K5</f>
        <v>0</v>
      </c>
      <c r="X5" s="20">
        <f>'GS &gt; 50 OLS model'!$B$14*L5</f>
        <v>0</v>
      </c>
      <c r="Y5" s="20">
        <f>'GS &gt; 50 OLS model'!$B$15*M5</f>
        <v>0</v>
      </c>
      <c r="Z5" s="20">
        <f t="shared" ca="1" si="1"/>
        <v>12172823.613324899</v>
      </c>
    </row>
    <row r="6" spans="1:26" ht="14.4" x14ac:dyDescent="0.3">
      <c r="A6" s="22">
        <f>'Monthly Data'!A6</f>
        <v>39934</v>
      </c>
      <c r="B6" s="6">
        <f t="shared" si="2"/>
        <v>2009</v>
      </c>
      <c r="C6" s="20">
        <f ca="1">'Monthly Data'!N6</f>
        <v>12599585.861056818</v>
      </c>
      <c r="D6" s="20">
        <f>'Monthly Data'!P6</f>
        <v>211</v>
      </c>
      <c r="E6" s="6">
        <f ca="1">Weather!G73</f>
        <v>88.880000000000024</v>
      </c>
      <c r="F6" s="6">
        <f ca="1">Weather!H73</f>
        <v>43.79999999999999</v>
      </c>
      <c r="G6" s="6">
        <f>'Monthly Data'!AJ6</f>
        <v>145</v>
      </c>
      <c r="H6" s="6">
        <f>'Monthly Data'!AN6</f>
        <v>5</v>
      </c>
      <c r="I6" s="6">
        <f>'Monthly Data'!AP6</f>
        <v>0</v>
      </c>
      <c r="J6" s="6">
        <f>'Monthly Data'!AV6</f>
        <v>0</v>
      </c>
      <c r="K6" s="6">
        <f>'Monthly Data'!AW6</f>
        <v>0</v>
      </c>
      <c r="L6" s="6">
        <f>'Monthly Data'!AY6</f>
        <v>0</v>
      </c>
      <c r="M6" s="6">
        <f>'Monthly Data'!BB6</f>
        <v>0</v>
      </c>
      <c r="O6" s="20">
        <f>'GS &gt; 50 OLS model'!$B$5</f>
        <v>-11694573.8944258</v>
      </c>
      <c r="P6" s="20">
        <f>'GS &gt; 50 OLS model'!$B$6*D6</f>
        <v>10693371.2656052</v>
      </c>
      <c r="Q6" s="20">
        <f ca="1">'GS &gt; 50 OLS model'!$B$7*E6</f>
        <v>238329.54628751572</v>
      </c>
      <c r="R6" s="20">
        <f ca="1">'GS &gt; 50 OLS model'!$B$8*F6</f>
        <v>647461.14644311217</v>
      </c>
      <c r="S6" s="20">
        <f>'GS &gt; 50 OLS model'!$B$9*G6</f>
        <v>12153757.237888342</v>
      </c>
      <c r="T6" s="20">
        <f>'GS &gt; 50 OLS model'!$B$10*H6</f>
        <v>64302.465921444003</v>
      </c>
      <c r="U6" s="20">
        <f>'GS &gt; 50 OLS model'!$B$11*I6</f>
        <v>0</v>
      </c>
      <c r="V6" s="20">
        <f>'GS &gt; 50 OLS model'!$B$12*J6</f>
        <v>0</v>
      </c>
      <c r="W6" s="20">
        <f>'GS &gt; 50 OLS model'!$B$13*K6</f>
        <v>0</v>
      </c>
      <c r="X6" s="20">
        <f>'GS &gt; 50 OLS model'!$B$14*L6</f>
        <v>0</v>
      </c>
      <c r="Y6" s="20">
        <f>'GS &gt; 50 OLS model'!$B$15*M6</f>
        <v>0</v>
      </c>
      <c r="Z6" s="20">
        <f t="shared" ca="1" si="1"/>
        <v>12102647.767719815</v>
      </c>
    </row>
    <row r="7" spans="1:26" ht="14.4" x14ac:dyDescent="0.3">
      <c r="A7" s="22">
        <f>'Monthly Data'!A7</f>
        <v>39965</v>
      </c>
      <c r="B7" s="6">
        <f t="shared" si="2"/>
        <v>2009</v>
      </c>
      <c r="C7" s="20">
        <f ca="1">'Monthly Data'!N7</f>
        <v>13567319.355545716</v>
      </c>
      <c r="D7" s="20">
        <f>'Monthly Data'!P7</f>
        <v>221</v>
      </c>
      <c r="E7" s="6">
        <f ca="1">Weather!G74</f>
        <v>9.77</v>
      </c>
      <c r="F7" s="6">
        <f ca="1">Weather!H74</f>
        <v>117.38999999999999</v>
      </c>
      <c r="G7" s="6">
        <f>'Monthly Data'!AJ7</f>
        <v>145.69999999999999</v>
      </c>
      <c r="H7" s="6">
        <f>'Monthly Data'!AN7</f>
        <v>6</v>
      </c>
      <c r="I7" s="6">
        <f>'Monthly Data'!AP7</f>
        <v>0</v>
      </c>
      <c r="J7" s="6">
        <f>'Monthly Data'!AV7</f>
        <v>0</v>
      </c>
      <c r="K7" s="6">
        <f>'Monthly Data'!AW7</f>
        <v>0</v>
      </c>
      <c r="L7" s="6">
        <f>'Monthly Data'!AY7</f>
        <v>0</v>
      </c>
      <c r="M7" s="6">
        <f>'Monthly Data'!BB7</f>
        <v>0</v>
      </c>
      <c r="O7" s="20">
        <f>'GS &gt; 50 OLS model'!$B$5</f>
        <v>-11694573.8944258</v>
      </c>
      <c r="P7" s="20">
        <f>'GS &gt; 50 OLS model'!$B$6*D7</f>
        <v>11200166.112316348</v>
      </c>
      <c r="Q7" s="20">
        <f ca="1">'GS &gt; 50 OLS model'!$B$7*E7</f>
        <v>26198.016057932356</v>
      </c>
      <c r="R7" s="20">
        <f ca="1">'GS &gt; 50 OLS model'!$B$8*F7</f>
        <v>1735284.5657752729</v>
      </c>
      <c r="S7" s="20">
        <f>'GS &gt; 50 OLS model'!$B$9*G7</f>
        <v>12212430.54869194</v>
      </c>
      <c r="T7" s="20">
        <f>'GS &gt; 50 OLS model'!$B$10*H7</f>
        <v>77162.959105732793</v>
      </c>
      <c r="U7" s="20">
        <f>'GS &gt; 50 OLS model'!$B$11*I7</f>
        <v>0</v>
      </c>
      <c r="V7" s="20">
        <f>'GS &gt; 50 OLS model'!$B$12*J7</f>
        <v>0</v>
      </c>
      <c r="W7" s="20">
        <f>'GS &gt; 50 OLS model'!$B$13*K7</f>
        <v>0</v>
      </c>
      <c r="X7" s="20">
        <f>'GS &gt; 50 OLS model'!$B$14*L7</f>
        <v>0</v>
      </c>
      <c r="Y7" s="20">
        <f>'GS &gt; 50 OLS model'!$B$15*M7</f>
        <v>0</v>
      </c>
      <c r="Z7" s="20">
        <f t="shared" ca="1" si="1"/>
        <v>13556668.307521423</v>
      </c>
    </row>
    <row r="8" spans="1:26" ht="14.4" x14ac:dyDescent="0.3">
      <c r="A8" s="22">
        <f>'Monthly Data'!A8</f>
        <v>39995</v>
      </c>
      <c r="B8" s="6">
        <f t="shared" si="2"/>
        <v>2009</v>
      </c>
      <c r="C8" s="20">
        <f ca="1">'Monthly Data'!N8</f>
        <v>14350399.872788418</v>
      </c>
      <c r="D8" s="20">
        <f>'Monthly Data'!P8</f>
        <v>219</v>
      </c>
      <c r="E8" s="6">
        <f ca="1">Weather!G75</f>
        <v>0.58000000000000007</v>
      </c>
      <c r="F8" s="6">
        <f ca="1">Weather!H75</f>
        <v>179.70999999999998</v>
      </c>
      <c r="G8" s="6">
        <f>'Monthly Data'!AJ8</f>
        <v>144.30000000000001</v>
      </c>
      <c r="H8" s="6">
        <f>'Monthly Data'!AN8</f>
        <v>7</v>
      </c>
      <c r="I8" s="6">
        <f>'Monthly Data'!AP8</f>
        <v>0</v>
      </c>
      <c r="J8" s="6">
        <f>'Monthly Data'!AV8</f>
        <v>0</v>
      </c>
      <c r="K8" s="6">
        <f>'Monthly Data'!AW8</f>
        <v>0</v>
      </c>
      <c r="L8" s="6">
        <f>'Monthly Data'!AY8</f>
        <v>0</v>
      </c>
      <c r="M8" s="6">
        <f>'Monthly Data'!BB8</f>
        <v>0</v>
      </c>
      <c r="O8" s="20">
        <f>'GS &gt; 50 OLS model'!$B$5</f>
        <v>-11694573.8944258</v>
      </c>
      <c r="P8" s="20">
        <f>'GS &gt; 50 OLS model'!$B$6*D8</f>
        <v>11098807.142974118</v>
      </c>
      <c r="Q8" s="20">
        <f ca="1">'GS &gt; 50 OLS model'!$B$7*E8</f>
        <v>1555.2558151075507</v>
      </c>
      <c r="R8" s="20">
        <f ca="1">'GS &gt; 50 OLS model'!$B$8*F8</f>
        <v>2656512.3887509522</v>
      </c>
      <c r="S8" s="20">
        <f>'GS &gt; 50 OLS model'!$B$9*G8</f>
        <v>12095083.927084744</v>
      </c>
      <c r="T8" s="20">
        <f>'GS &gt; 50 OLS model'!$B$10*H8</f>
        <v>90023.452290021596</v>
      </c>
      <c r="U8" s="20">
        <f>'GS &gt; 50 OLS model'!$B$11*I8</f>
        <v>0</v>
      </c>
      <c r="V8" s="20">
        <f>'GS &gt; 50 OLS model'!$B$12*J8</f>
        <v>0</v>
      </c>
      <c r="W8" s="20">
        <f>'GS &gt; 50 OLS model'!$B$13*K8</f>
        <v>0</v>
      </c>
      <c r="X8" s="20">
        <f>'GS &gt; 50 OLS model'!$B$14*L8</f>
        <v>0</v>
      </c>
      <c r="Y8" s="20">
        <f>'GS &gt; 50 OLS model'!$B$15*M8</f>
        <v>0</v>
      </c>
      <c r="Z8" s="20">
        <f t="shared" ca="1" si="1"/>
        <v>14247408.272489142</v>
      </c>
    </row>
    <row r="9" spans="1:26" ht="14.4" x14ac:dyDescent="0.3">
      <c r="A9" s="22">
        <f>'Monthly Data'!A9</f>
        <v>40026</v>
      </c>
      <c r="B9" s="6">
        <f t="shared" si="2"/>
        <v>2009</v>
      </c>
      <c r="C9" s="20">
        <f ca="1">'Monthly Data'!N9</f>
        <v>15846869.236809116</v>
      </c>
      <c r="D9" s="20">
        <f>'Monthly Data'!P9</f>
        <v>231</v>
      </c>
      <c r="E9" s="6">
        <f ca="1">Weather!G76</f>
        <v>1.7099999999999997</v>
      </c>
      <c r="F9" s="6">
        <f ca="1">Weather!H76</f>
        <v>158.1</v>
      </c>
      <c r="G9" s="6">
        <f>'Monthly Data'!AJ9</f>
        <v>145.1</v>
      </c>
      <c r="H9" s="6">
        <f>'Monthly Data'!AN9</f>
        <v>8</v>
      </c>
      <c r="I9" s="6">
        <f>'Monthly Data'!AP9</f>
        <v>0</v>
      </c>
      <c r="J9" s="6">
        <f>'Monthly Data'!AV9</f>
        <v>1</v>
      </c>
      <c r="K9" s="6">
        <f>'Monthly Data'!AW9</f>
        <v>0</v>
      </c>
      <c r="L9" s="6">
        <f>'Monthly Data'!AY9</f>
        <v>0</v>
      </c>
      <c r="M9" s="6">
        <f>'Monthly Data'!BB9</f>
        <v>0</v>
      </c>
      <c r="O9" s="20">
        <f>'GS &gt; 50 OLS model'!$B$5</f>
        <v>-11694573.8944258</v>
      </c>
      <c r="P9" s="20">
        <f>'GS &gt; 50 OLS model'!$B$6*D9</f>
        <v>11706960.959027495</v>
      </c>
      <c r="Q9" s="20">
        <f ca="1">'GS &gt; 50 OLS model'!$B$7*E9</f>
        <v>4585.3231790239843</v>
      </c>
      <c r="R9" s="20">
        <f ca="1">'GS &gt; 50 OLS model'!$B$8*F9</f>
        <v>2337068.6587364399</v>
      </c>
      <c r="S9" s="20">
        <f>'GS &gt; 50 OLS model'!$B$9*G9</f>
        <v>12162139.139431713</v>
      </c>
      <c r="T9" s="20">
        <f>'GS &gt; 50 OLS model'!$B$10*H9</f>
        <v>102883.9454743104</v>
      </c>
      <c r="U9" s="20">
        <f>'GS &gt; 50 OLS model'!$B$11*I9</f>
        <v>0</v>
      </c>
      <c r="V9" s="20">
        <f>'GS &gt; 50 OLS model'!$B$12*J9</f>
        <v>1257541.23571065</v>
      </c>
      <c r="W9" s="20">
        <f>'GS &gt; 50 OLS model'!$B$13*K9</f>
        <v>0</v>
      </c>
      <c r="X9" s="20">
        <f>'GS &gt; 50 OLS model'!$B$14*L9</f>
        <v>0</v>
      </c>
      <c r="Y9" s="20">
        <f>'GS &gt; 50 OLS model'!$B$15*M9</f>
        <v>0</v>
      </c>
      <c r="Z9" s="20">
        <f t="shared" ca="1" si="1"/>
        <v>15876605.367133832</v>
      </c>
    </row>
    <row r="10" spans="1:26" ht="14.4" x14ac:dyDescent="0.3">
      <c r="A10" s="22">
        <f>'Monthly Data'!A10</f>
        <v>40057</v>
      </c>
      <c r="B10" s="6">
        <f t="shared" si="2"/>
        <v>2009</v>
      </c>
      <c r="C10" s="20">
        <f ca="1">'Monthly Data'!N10</f>
        <v>14340385.521492418</v>
      </c>
      <c r="D10" s="20">
        <f>'Monthly Data'!P10</f>
        <v>223</v>
      </c>
      <c r="E10" s="6">
        <f ca="1">Weather!G77</f>
        <v>32.68</v>
      </c>
      <c r="F10" s="6">
        <f ca="1">Weather!H77</f>
        <v>67.34</v>
      </c>
      <c r="G10" s="6">
        <f>'Monthly Data'!AJ10</f>
        <v>146.80000000000001</v>
      </c>
      <c r="H10" s="6">
        <f>'Monthly Data'!AN10</f>
        <v>9</v>
      </c>
      <c r="I10" s="6">
        <f>'Monthly Data'!AP10</f>
        <v>0</v>
      </c>
      <c r="J10" s="6">
        <f>'Monthly Data'!AV10</f>
        <v>0</v>
      </c>
      <c r="K10" s="6">
        <f>'Monthly Data'!AW10</f>
        <v>1</v>
      </c>
      <c r="L10" s="6">
        <f>'Monthly Data'!AY10</f>
        <v>0</v>
      </c>
      <c r="M10" s="6">
        <f>'Monthly Data'!BB10</f>
        <v>0</v>
      </c>
      <c r="O10" s="20">
        <f>'GS &gt; 50 OLS model'!$B$5</f>
        <v>-11694573.8944258</v>
      </c>
      <c r="P10" s="20">
        <f>'GS &gt; 50 OLS model'!$B$6*D10</f>
        <v>11301525.081658578</v>
      </c>
      <c r="Q10" s="20">
        <f ca="1">'GS &gt; 50 OLS model'!$B$7*E10</f>
        <v>87630.620754680596</v>
      </c>
      <c r="R10" s="20">
        <f ca="1">'GS &gt; 50 OLS model'!$B$8*F10</f>
        <v>995434.55711139692</v>
      </c>
      <c r="S10" s="20">
        <f>'GS &gt; 50 OLS model'!$B$9*G10</f>
        <v>12304631.465669025</v>
      </c>
      <c r="T10" s="20">
        <f>'GS &gt; 50 OLS model'!$B$10*H10</f>
        <v>115744.4386585992</v>
      </c>
      <c r="U10" s="20">
        <f>'GS &gt; 50 OLS model'!$B$11*I10</f>
        <v>0</v>
      </c>
      <c r="V10" s="20">
        <f>'GS &gt; 50 OLS model'!$B$12*J10</f>
        <v>0</v>
      </c>
      <c r="W10" s="20">
        <f>'GS &gt; 50 OLS model'!$B$13*K10</f>
        <v>1979532.62008895</v>
      </c>
      <c r="X10" s="20">
        <f>'GS &gt; 50 OLS model'!$B$14*L10</f>
        <v>0</v>
      </c>
      <c r="Y10" s="20">
        <f>'GS &gt; 50 OLS model'!$B$15*M10</f>
        <v>0</v>
      </c>
      <c r="Z10" s="20">
        <f t="shared" ca="1" si="1"/>
        <v>13110392.269426478</v>
      </c>
    </row>
    <row r="11" spans="1:26" ht="14.4" x14ac:dyDescent="0.3">
      <c r="A11" s="22">
        <f>'Monthly Data'!A11</f>
        <v>40087</v>
      </c>
      <c r="B11" s="6">
        <f t="shared" si="2"/>
        <v>2009</v>
      </c>
      <c r="C11" s="20">
        <f ca="1">'Monthly Data'!N11</f>
        <v>14535093.861762017</v>
      </c>
      <c r="D11" s="20">
        <f>'Monthly Data'!P11</f>
        <v>213</v>
      </c>
      <c r="E11" s="6">
        <f ca="1">Weather!G78</f>
        <v>176.42</v>
      </c>
      <c r="F11" s="6">
        <f ca="1">Weather!H78</f>
        <v>10.18</v>
      </c>
      <c r="G11" s="6">
        <f>'Monthly Data'!AJ11</f>
        <v>149.19999999999999</v>
      </c>
      <c r="H11" s="6">
        <f>'Monthly Data'!AN11</f>
        <v>10</v>
      </c>
      <c r="I11" s="6">
        <f>'Monthly Data'!AP11</f>
        <v>0</v>
      </c>
      <c r="J11" s="6">
        <f>'Monthly Data'!AV11</f>
        <v>0</v>
      </c>
      <c r="K11" s="6">
        <f>'Monthly Data'!AW11</f>
        <v>0</v>
      </c>
      <c r="L11" s="6">
        <f>'Monthly Data'!AY11</f>
        <v>0</v>
      </c>
      <c r="M11" s="6">
        <f>'Monthly Data'!BB11</f>
        <v>1</v>
      </c>
      <c r="O11" s="20">
        <f>'GS &gt; 50 OLS model'!$B$5</f>
        <v>-11694573.8944258</v>
      </c>
      <c r="P11" s="20">
        <f>'GS &gt; 50 OLS model'!$B$6*D11</f>
        <v>10794730.23494743</v>
      </c>
      <c r="Q11" s="20">
        <f ca="1">'GS &gt; 50 OLS model'!$B$7*E11</f>
        <v>473065.91534702422</v>
      </c>
      <c r="R11" s="20">
        <f ca="1">'GS &gt; 50 OLS model'!$B$8*F11</f>
        <v>150482.97878517999</v>
      </c>
      <c r="S11" s="20">
        <f>'GS &gt; 50 OLS model'!$B$9*G11</f>
        <v>12505797.102709934</v>
      </c>
      <c r="T11" s="20">
        <f>'GS &gt; 50 OLS model'!$B$10*H11</f>
        <v>128604.93184288801</v>
      </c>
      <c r="U11" s="20">
        <f>'GS &gt; 50 OLS model'!$B$11*I11</f>
        <v>0</v>
      </c>
      <c r="V11" s="20">
        <f>'GS &gt; 50 OLS model'!$B$12*J11</f>
        <v>0</v>
      </c>
      <c r="W11" s="20">
        <f>'GS &gt; 50 OLS model'!$B$13*K11</f>
        <v>0</v>
      </c>
      <c r="X11" s="20">
        <f>'GS &gt; 50 OLS model'!$B$14*L11</f>
        <v>0</v>
      </c>
      <c r="Y11" s="20">
        <f>'GS &gt; 50 OLS model'!$B$15*M11</f>
        <v>671693.73401239095</v>
      </c>
      <c r="Z11" s="20">
        <f t="shared" ca="1" si="1"/>
        <v>12358107.269206656</v>
      </c>
    </row>
    <row r="12" spans="1:26" ht="14.4" x14ac:dyDescent="0.3">
      <c r="A12" s="22">
        <f>'Monthly Data'!A12</f>
        <v>40118</v>
      </c>
      <c r="B12" s="6">
        <f t="shared" si="2"/>
        <v>2009</v>
      </c>
      <c r="C12" s="20">
        <f ca="1">'Monthly Data'!N12</f>
        <v>13933768.375684015</v>
      </c>
      <c r="D12" s="20">
        <f>'Monthly Data'!P12</f>
        <v>235</v>
      </c>
      <c r="E12" s="6">
        <f ca="1">Weather!G79</f>
        <v>364.2299999999999</v>
      </c>
      <c r="F12" s="6">
        <f ca="1">Weather!H79</f>
        <v>0.05</v>
      </c>
      <c r="G12" s="6">
        <f>'Monthly Data'!AJ12</f>
        <v>150.1</v>
      </c>
      <c r="H12" s="6">
        <f>'Monthly Data'!AN12</f>
        <v>11</v>
      </c>
      <c r="I12" s="6">
        <f>'Monthly Data'!AP12</f>
        <v>0</v>
      </c>
      <c r="J12" s="6">
        <f>'Monthly Data'!AV12</f>
        <v>0</v>
      </c>
      <c r="K12" s="6">
        <f>'Monthly Data'!AW12</f>
        <v>0</v>
      </c>
      <c r="L12" s="6">
        <f>'Monthly Data'!AY12</f>
        <v>1</v>
      </c>
      <c r="M12" s="6">
        <f>'Monthly Data'!BB12</f>
        <v>1</v>
      </c>
      <c r="O12" s="20">
        <f>'GS &gt; 50 OLS model'!$B$5</f>
        <v>-11694573.8944258</v>
      </c>
      <c r="P12" s="20">
        <f>'GS &gt; 50 OLS model'!$B$6*D12</f>
        <v>11909678.897711953</v>
      </c>
      <c r="Q12" s="20">
        <f ca="1">'GS &gt; 50 OLS model'!$B$7*E12</f>
        <v>976673.83713210851</v>
      </c>
      <c r="R12" s="20">
        <f ca="1">'GS &gt; 50 OLS model'!$B$8*F12</f>
        <v>739.11089776611004</v>
      </c>
      <c r="S12" s="20">
        <f>'GS &gt; 50 OLS model'!$B$9*G12</f>
        <v>12581234.216600277</v>
      </c>
      <c r="T12" s="20">
        <f>'GS &gt; 50 OLS model'!$B$10*H12</f>
        <v>141465.4250271768</v>
      </c>
      <c r="U12" s="20">
        <f>'GS &gt; 50 OLS model'!$B$11*I12</f>
        <v>0</v>
      </c>
      <c r="V12" s="20">
        <f>'GS &gt; 50 OLS model'!$B$12*J12</f>
        <v>0</v>
      </c>
      <c r="W12" s="20">
        <f>'GS &gt; 50 OLS model'!$B$13*K12</f>
        <v>0</v>
      </c>
      <c r="X12" s="20">
        <f>'GS &gt; 50 OLS model'!$B$14*L12</f>
        <v>1466841.9423256</v>
      </c>
      <c r="Y12" s="20">
        <f>'GS &gt; 50 OLS model'!$B$15*M12</f>
        <v>671693.73401239095</v>
      </c>
      <c r="Z12" s="20">
        <f t="shared" ca="1" si="1"/>
        <v>13915217.59294348</v>
      </c>
    </row>
    <row r="13" spans="1:26" ht="14.4" x14ac:dyDescent="0.3">
      <c r="A13" s="22">
        <f>'Monthly Data'!A13</f>
        <v>40148</v>
      </c>
      <c r="B13" s="6">
        <f t="shared" si="2"/>
        <v>2009</v>
      </c>
      <c r="C13" s="20">
        <f ca="1">'Monthly Data'!N13</f>
        <v>13861683.743107518</v>
      </c>
      <c r="D13" s="20">
        <f>'Monthly Data'!P13</f>
        <v>213</v>
      </c>
      <c r="E13" s="6">
        <f ca="1">Weather!G80</f>
        <v>552.31000000000006</v>
      </c>
      <c r="F13" s="6">
        <f ca="1">Weather!H80</f>
        <v>0</v>
      </c>
      <c r="G13" s="6">
        <f>'Monthly Data'!AJ13</f>
        <v>150.19999999999999</v>
      </c>
      <c r="H13" s="6">
        <f>'Monthly Data'!AN13</f>
        <v>12</v>
      </c>
      <c r="I13" s="6">
        <f>'Monthly Data'!AP13</f>
        <v>0</v>
      </c>
      <c r="J13" s="6">
        <f>'Monthly Data'!AV13</f>
        <v>0</v>
      </c>
      <c r="K13" s="6">
        <f>'Monthly Data'!AW13</f>
        <v>0</v>
      </c>
      <c r="L13" s="6">
        <f>'Monthly Data'!AY13</f>
        <v>0</v>
      </c>
      <c r="M13" s="6">
        <f>'Monthly Data'!BB13</f>
        <v>0</v>
      </c>
      <c r="O13" s="20">
        <f>'GS &gt; 50 OLS model'!$B$5</f>
        <v>-11694573.8944258</v>
      </c>
      <c r="P13" s="20">
        <f>'GS &gt; 50 OLS model'!$B$6*D13</f>
        <v>10794730.23494743</v>
      </c>
      <c r="Q13" s="20">
        <f ca="1">'GS &gt; 50 OLS model'!$B$7*E13</f>
        <v>1481005.7573138815</v>
      </c>
      <c r="R13" s="20">
        <f ca="1">'GS &gt; 50 OLS model'!$B$8*F13</f>
        <v>0</v>
      </c>
      <c r="S13" s="20">
        <f>'GS &gt; 50 OLS model'!$B$9*G13</f>
        <v>12589616.118143646</v>
      </c>
      <c r="T13" s="20">
        <f>'GS &gt; 50 OLS model'!$B$10*H13</f>
        <v>154325.91821146559</v>
      </c>
      <c r="U13" s="20">
        <f>'GS &gt; 50 OLS model'!$B$11*I13</f>
        <v>0</v>
      </c>
      <c r="V13" s="20">
        <f>'GS &gt; 50 OLS model'!$B$12*J13</f>
        <v>0</v>
      </c>
      <c r="W13" s="20">
        <f>'GS &gt; 50 OLS model'!$B$13*K13</f>
        <v>0</v>
      </c>
      <c r="X13" s="20">
        <f>'GS &gt; 50 OLS model'!$B$14*L13</f>
        <v>0</v>
      </c>
      <c r="Y13" s="20">
        <f>'GS &gt; 50 OLS model'!$B$15*M13</f>
        <v>0</v>
      </c>
      <c r="Z13" s="20">
        <f t="shared" ca="1" si="1"/>
        <v>13325104.134190623</v>
      </c>
    </row>
    <row r="14" spans="1:26" ht="14.4" x14ac:dyDescent="0.3">
      <c r="A14" s="22">
        <f>'Monthly Data'!A14</f>
        <v>40179</v>
      </c>
      <c r="B14" s="6">
        <f t="shared" si="2"/>
        <v>2010</v>
      </c>
      <c r="C14" s="20">
        <f ca="1">'Monthly Data'!N14</f>
        <v>14179965.938707981</v>
      </c>
      <c r="D14" s="20">
        <f>'Monthly Data'!P14</f>
        <v>213</v>
      </c>
      <c r="E14" s="6">
        <f ca="1">E2</f>
        <v>661.18999999999994</v>
      </c>
      <c r="F14" s="6">
        <f ca="1">F2</f>
        <v>0</v>
      </c>
      <c r="G14" s="6">
        <f>'Monthly Data'!AJ14</f>
        <v>146.80000000000001</v>
      </c>
      <c r="H14" s="6">
        <f>'Monthly Data'!AN14</f>
        <v>13</v>
      </c>
      <c r="I14" s="6">
        <f>'Monthly Data'!AP14</f>
        <v>0</v>
      </c>
      <c r="J14" s="6">
        <f>'Monthly Data'!AV14</f>
        <v>0</v>
      </c>
      <c r="K14" s="6">
        <f>'Monthly Data'!AW14</f>
        <v>0</v>
      </c>
      <c r="L14" s="6">
        <f>'Monthly Data'!AY14</f>
        <v>0</v>
      </c>
      <c r="M14" s="6">
        <f>'Monthly Data'!BB14</f>
        <v>0</v>
      </c>
      <c r="O14" s="20">
        <f>'GS &gt; 50 OLS model'!$B$5</f>
        <v>-11694573.8944258</v>
      </c>
      <c r="P14" s="20">
        <f>'GS &gt; 50 OLS model'!$B$6*D14</f>
        <v>10794730.23494743</v>
      </c>
      <c r="Q14" s="20">
        <f ca="1">'GS &gt; 50 OLS model'!$B$7*E14</f>
        <v>1772964.8144671745</v>
      </c>
      <c r="R14" s="20">
        <f ca="1">'GS &gt; 50 OLS model'!$B$8*F14</f>
        <v>0</v>
      </c>
      <c r="S14" s="20">
        <f>'GS &gt; 50 OLS model'!$B$9*G14</f>
        <v>12304631.465669025</v>
      </c>
      <c r="T14" s="20">
        <f>'GS &gt; 50 OLS model'!$B$10*H14</f>
        <v>167186.4113957544</v>
      </c>
      <c r="U14" s="20">
        <f>'GS &gt; 50 OLS model'!$B$11*I14</f>
        <v>0</v>
      </c>
      <c r="V14" s="20">
        <f>'GS &gt; 50 OLS model'!$B$12*J14</f>
        <v>0</v>
      </c>
      <c r="W14" s="20">
        <f>'GS &gt; 50 OLS model'!$B$13*K14</f>
        <v>0</v>
      </c>
      <c r="X14" s="20">
        <f>'GS &gt; 50 OLS model'!$B$14*L14</f>
        <v>0</v>
      </c>
      <c r="Y14" s="20">
        <f>'GS &gt; 50 OLS model'!$B$15*M14</f>
        <v>0</v>
      </c>
      <c r="Z14" s="20">
        <f t="shared" ca="1" si="1"/>
        <v>13344939.032053584</v>
      </c>
    </row>
    <row r="15" spans="1:26" ht="14.4" x14ac:dyDescent="0.3">
      <c r="A15" s="22">
        <f>'Monthly Data'!A15</f>
        <v>40210</v>
      </c>
      <c r="B15" s="6">
        <f t="shared" si="2"/>
        <v>2010</v>
      </c>
      <c r="C15" s="20">
        <f ca="1">'Monthly Data'!N15</f>
        <v>12772387.686685381</v>
      </c>
      <c r="D15" s="20">
        <f>'Monthly Data'!P15</f>
        <v>213</v>
      </c>
      <c r="E15" s="6">
        <f t="shared" ref="E15:F78" ca="1" si="3">E3</f>
        <v>598.16999999999985</v>
      </c>
      <c r="F15" s="6">
        <f t="shared" ca="1" si="3"/>
        <v>0</v>
      </c>
      <c r="G15" s="6">
        <f>'Monthly Data'!AJ15</f>
        <v>145.5</v>
      </c>
      <c r="H15" s="6">
        <f>'Monthly Data'!AN15</f>
        <v>14</v>
      </c>
      <c r="I15" s="6">
        <f>'Monthly Data'!AP15</f>
        <v>1</v>
      </c>
      <c r="J15" s="6">
        <f>'Monthly Data'!AV15</f>
        <v>0</v>
      </c>
      <c r="K15" s="6">
        <f>'Monthly Data'!AW15</f>
        <v>0</v>
      </c>
      <c r="L15" s="6">
        <f>'Monthly Data'!AY15</f>
        <v>0</v>
      </c>
      <c r="M15" s="6">
        <f>'Monthly Data'!BB15</f>
        <v>0</v>
      </c>
      <c r="O15" s="20">
        <f>'GS &gt; 50 OLS model'!$B$5</f>
        <v>-11694573.8944258</v>
      </c>
      <c r="P15" s="20">
        <f>'GS &gt; 50 OLS model'!$B$6*D15</f>
        <v>10794730.23494743</v>
      </c>
      <c r="Q15" s="20">
        <f ca="1">'GS &gt; 50 OLS model'!$B$7*E15</f>
        <v>1603978.225729109</v>
      </c>
      <c r="R15" s="20">
        <f ca="1">'GS &gt; 50 OLS model'!$B$8*F15</f>
        <v>0</v>
      </c>
      <c r="S15" s="20">
        <f>'GS &gt; 50 OLS model'!$B$9*G15</f>
        <v>12195666.745605199</v>
      </c>
      <c r="T15" s="20">
        <f>'GS &gt; 50 OLS model'!$B$10*H15</f>
        <v>180046.90458004319</v>
      </c>
      <c r="U15" s="20">
        <f>'GS &gt; 50 OLS model'!$B$11*I15</f>
        <v>-797686.81375559501</v>
      </c>
      <c r="V15" s="20">
        <f>'GS &gt; 50 OLS model'!$B$12*J15</f>
        <v>0</v>
      </c>
      <c r="W15" s="20">
        <f>'GS &gt; 50 OLS model'!$B$13*K15</f>
        <v>0</v>
      </c>
      <c r="X15" s="20">
        <f>'GS &gt; 50 OLS model'!$B$14*L15</f>
        <v>0</v>
      </c>
      <c r="Y15" s="20">
        <f>'GS &gt; 50 OLS model'!$B$15*M15</f>
        <v>0</v>
      </c>
      <c r="Z15" s="20">
        <f t="shared" ca="1" si="1"/>
        <v>12282161.402680388</v>
      </c>
    </row>
    <row r="16" spans="1:26" ht="14.4" x14ac:dyDescent="0.3">
      <c r="A16" s="22">
        <f>'Monthly Data'!A16</f>
        <v>40238</v>
      </c>
      <c r="B16" s="6">
        <f t="shared" si="2"/>
        <v>2010</v>
      </c>
      <c r="C16" s="20">
        <f ca="1">'Monthly Data'!N16</f>
        <v>13777421.092791181</v>
      </c>
      <c r="D16" s="20">
        <f>'Monthly Data'!P16</f>
        <v>213</v>
      </c>
      <c r="E16" s="6">
        <f t="shared" ca="1" si="3"/>
        <v>451.34</v>
      </c>
      <c r="F16" s="6">
        <f t="shared" ca="1" si="3"/>
        <v>0.88000000000000012</v>
      </c>
      <c r="G16" s="6">
        <f>'Monthly Data'!AJ16</f>
        <v>143.30000000000001</v>
      </c>
      <c r="H16" s="6">
        <f>'Monthly Data'!AN16</f>
        <v>15</v>
      </c>
      <c r="I16" s="6">
        <f>'Monthly Data'!AP16</f>
        <v>0</v>
      </c>
      <c r="J16" s="6">
        <f>'Monthly Data'!AV16</f>
        <v>0</v>
      </c>
      <c r="K16" s="6">
        <f>'Monthly Data'!AW16</f>
        <v>0</v>
      </c>
      <c r="L16" s="6">
        <f>'Monthly Data'!AY16</f>
        <v>0</v>
      </c>
      <c r="M16" s="6">
        <f>'Monthly Data'!BB16</f>
        <v>0</v>
      </c>
      <c r="O16" s="20">
        <f>'GS &gt; 50 OLS model'!$B$5</f>
        <v>-11694573.8944258</v>
      </c>
      <c r="P16" s="20">
        <f>'GS &gt; 50 OLS model'!$B$6*D16</f>
        <v>10794730.23494743</v>
      </c>
      <c r="Q16" s="20">
        <f ca="1">'GS &gt; 50 OLS model'!$B$7*E16</f>
        <v>1210257.1717080032</v>
      </c>
      <c r="R16" s="20">
        <f ca="1">'GS &gt; 50 OLS model'!$B$8*F16</f>
        <v>13008.351800683537</v>
      </c>
      <c r="S16" s="20">
        <f>'GS &gt; 50 OLS model'!$B$9*G16</f>
        <v>12011264.911651032</v>
      </c>
      <c r="T16" s="20">
        <f>'GS &gt; 50 OLS model'!$B$10*H16</f>
        <v>192907.39776433201</v>
      </c>
      <c r="U16" s="20">
        <f>'GS &gt; 50 OLS model'!$B$11*I16</f>
        <v>0</v>
      </c>
      <c r="V16" s="20">
        <f>'GS &gt; 50 OLS model'!$B$12*J16</f>
        <v>0</v>
      </c>
      <c r="W16" s="20">
        <f>'GS &gt; 50 OLS model'!$B$13*K16</f>
        <v>0</v>
      </c>
      <c r="X16" s="20">
        <f>'GS &gt; 50 OLS model'!$B$14*L16</f>
        <v>0</v>
      </c>
      <c r="Y16" s="20">
        <f>'GS &gt; 50 OLS model'!$B$15*M16</f>
        <v>0</v>
      </c>
      <c r="Z16" s="20">
        <f t="shared" ca="1" si="1"/>
        <v>12527594.173445681</v>
      </c>
    </row>
    <row r="17" spans="1:26" ht="14.4" x14ac:dyDescent="0.3">
      <c r="A17" s="22">
        <f>'Monthly Data'!A17</f>
        <v>40269</v>
      </c>
      <c r="B17" s="6">
        <f t="shared" si="2"/>
        <v>2010</v>
      </c>
      <c r="C17" s="20">
        <f ca="1">'Monthly Data'!N17</f>
        <v>12131054.106289882</v>
      </c>
      <c r="D17" s="20">
        <f>'Monthly Data'!P17</f>
        <v>214</v>
      </c>
      <c r="E17" s="6">
        <f t="shared" ca="1" si="3"/>
        <v>259.5499999999999</v>
      </c>
      <c r="F17" s="6">
        <f t="shared" ca="1" si="3"/>
        <v>2.4500000000000002</v>
      </c>
      <c r="G17" s="6">
        <f>'Monthly Data'!AJ17</f>
        <v>146.6</v>
      </c>
      <c r="H17" s="6">
        <f>'Monthly Data'!AN17</f>
        <v>16</v>
      </c>
      <c r="I17" s="6">
        <f>'Monthly Data'!AP17</f>
        <v>0</v>
      </c>
      <c r="J17" s="6">
        <f>'Monthly Data'!AV17</f>
        <v>0</v>
      </c>
      <c r="K17" s="6">
        <f>'Monthly Data'!AW17</f>
        <v>0</v>
      </c>
      <c r="L17" s="6">
        <f>'Monthly Data'!AY17</f>
        <v>0</v>
      </c>
      <c r="M17" s="6">
        <f>'Monthly Data'!BB17</f>
        <v>0</v>
      </c>
      <c r="O17" s="20">
        <f>'GS &gt; 50 OLS model'!$B$5</f>
        <v>-11694573.8944258</v>
      </c>
      <c r="P17" s="20">
        <f>'GS &gt; 50 OLS model'!$B$6*D17</f>
        <v>10845409.719618546</v>
      </c>
      <c r="Q17" s="20">
        <f ca="1">'GS &gt; 50 OLS model'!$B$7*E17</f>
        <v>695976.9772606286</v>
      </c>
      <c r="R17" s="20">
        <f ca="1">'GS &gt; 50 OLS model'!$B$8*F17</f>
        <v>36216.433990539394</v>
      </c>
      <c r="S17" s="20">
        <f>'GS &gt; 50 OLS model'!$B$9*G17</f>
        <v>12287867.662582282</v>
      </c>
      <c r="T17" s="20">
        <f>'GS &gt; 50 OLS model'!$B$10*H17</f>
        <v>205767.8909486208</v>
      </c>
      <c r="U17" s="20">
        <f>'GS &gt; 50 OLS model'!$B$11*I17</f>
        <v>0</v>
      </c>
      <c r="V17" s="20">
        <f>'GS &gt; 50 OLS model'!$B$12*J17</f>
        <v>0</v>
      </c>
      <c r="W17" s="20">
        <f>'GS &gt; 50 OLS model'!$B$13*K17</f>
        <v>0</v>
      </c>
      <c r="X17" s="20">
        <f>'GS &gt; 50 OLS model'!$B$14*L17</f>
        <v>0</v>
      </c>
      <c r="Y17" s="20">
        <f>'GS &gt; 50 OLS model'!$B$15*M17</f>
        <v>0</v>
      </c>
      <c r="Z17" s="20">
        <f t="shared" ca="1" si="1"/>
        <v>12376664.789974818</v>
      </c>
    </row>
    <row r="18" spans="1:26" ht="14.4" x14ac:dyDescent="0.3">
      <c r="A18" s="22">
        <f>'Monthly Data'!A18</f>
        <v>40299</v>
      </c>
      <c r="B18" s="6">
        <f t="shared" si="2"/>
        <v>2010</v>
      </c>
      <c r="C18" s="20">
        <f ca="1">'Monthly Data'!N18</f>
        <v>12960765.690806882</v>
      </c>
      <c r="D18" s="20">
        <f>'Monthly Data'!P18</f>
        <v>214</v>
      </c>
      <c r="E18" s="6">
        <f t="shared" ca="1" si="3"/>
        <v>88.880000000000024</v>
      </c>
      <c r="F18" s="6">
        <f t="shared" ca="1" si="3"/>
        <v>43.79999999999999</v>
      </c>
      <c r="G18" s="6">
        <f>'Monthly Data'!AJ18</f>
        <v>147.80000000000001</v>
      </c>
      <c r="H18" s="6">
        <f>'Monthly Data'!AN18</f>
        <v>17</v>
      </c>
      <c r="I18" s="6">
        <f>'Monthly Data'!AP18</f>
        <v>0</v>
      </c>
      <c r="J18" s="6">
        <f>'Monthly Data'!AV18</f>
        <v>0</v>
      </c>
      <c r="K18" s="6">
        <f>'Monthly Data'!AW18</f>
        <v>0</v>
      </c>
      <c r="L18" s="6">
        <f>'Monthly Data'!AY18</f>
        <v>0</v>
      </c>
      <c r="M18" s="6">
        <f>'Monthly Data'!BB18</f>
        <v>0</v>
      </c>
      <c r="O18" s="20">
        <f>'GS &gt; 50 OLS model'!$B$5</f>
        <v>-11694573.8944258</v>
      </c>
      <c r="P18" s="20">
        <f>'GS &gt; 50 OLS model'!$B$6*D18</f>
        <v>10845409.719618546</v>
      </c>
      <c r="Q18" s="20">
        <f ca="1">'GS &gt; 50 OLS model'!$B$7*E18</f>
        <v>238329.54628751572</v>
      </c>
      <c r="R18" s="20">
        <f ca="1">'GS &gt; 50 OLS model'!$B$8*F18</f>
        <v>647461.14644311217</v>
      </c>
      <c r="S18" s="20">
        <f>'GS &gt; 50 OLS model'!$B$9*G18</f>
        <v>12388450.481102739</v>
      </c>
      <c r="T18" s="20">
        <f>'GS &gt; 50 OLS model'!$B$10*H18</f>
        <v>218628.38413290959</v>
      </c>
      <c r="U18" s="20">
        <f>'GS &gt; 50 OLS model'!$B$11*I18</f>
        <v>0</v>
      </c>
      <c r="V18" s="20">
        <f>'GS &gt; 50 OLS model'!$B$12*J18</f>
        <v>0</v>
      </c>
      <c r="W18" s="20">
        <f>'GS &gt; 50 OLS model'!$B$13*K18</f>
        <v>0</v>
      </c>
      <c r="X18" s="20">
        <f>'GS &gt; 50 OLS model'!$B$14*L18</f>
        <v>0</v>
      </c>
      <c r="Y18" s="20">
        <f>'GS &gt; 50 OLS model'!$B$15*M18</f>
        <v>0</v>
      </c>
      <c r="Z18" s="20">
        <f t="shared" ca="1" si="1"/>
        <v>12643705.383159023</v>
      </c>
    </row>
    <row r="19" spans="1:26" ht="14.4" x14ac:dyDescent="0.3">
      <c r="A19" s="22">
        <f>'Monthly Data'!A19</f>
        <v>40330</v>
      </c>
      <c r="B19" s="6">
        <f t="shared" si="2"/>
        <v>2010</v>
      </c>
      <c r="C19" s="20">
        <f ca="1">'Monthly Data'!N19</f>
        <v>14889407.58055778</v>
      </c>
      <c r="D19" s="20">
        <f>'Monthly Data'!P19</f>
        <v>214</v>
      </c>
      <c r="E19" s="6">
        <f t="shared" ca="1" si="3"/>
        <v>9.77</v>
      </c>
      <c r="F19" s="6">
        <f t="shared" ca="1" si="3"/>
        <v>117.38999999999999</v>
      </c>
      <c r="G19" s="6">
        <f>'Monthly Data'!AJ19</f>
        <v>149.9</v>
      </c>
      <c r="H19" s="6">
        <f>'Monthly Data'!AN19</f>
        <v>18</v>
      </c>
      <c r="I19" s="6">
        <f>'Monthly Data'!AP19</f>
        <v>0</v>
      </c>
      <c r="J19" s="6">
        <f>'Monthly Data'!AV19</f>
        <v>0</v>
      </c>
      <c r="K19" s="6">
        <f>'Monthly Data'!AW19</f>
        <v>0</v>
      </c>
      <c r="L19" s="6">
        <f>'Monthly Data'!AY19</f>
        <v>0</v>
      </c>
      <c r="M19" s="6">
        <f>'Monthly Data'!BB19</f>
        <v>0</v>
      </c>
      <c r="O19" s="20">
        <f>'GS &gt; 50 OLS model'!$B$5</f>
        <v>-11694573.8944258</v>
      </c>
      <c r="P19" s="20">
        <f>'GS &gt; 50 OLS model'!$B$6*D19</f>
        <v>10845409.719618546</v>
      </c>
      <c r="Q19" s="20">
        <f ca="1">'GS &gt; 50 OLS model'!$B$7*E19</f>
        <v>26198.016057932356</v>
      </c>
      <c r="R19" s="20">
        <f ca="1">'GS &gt; 50 OLS model'!$B$8*F19</f>
        <v>1735284.5657752729</v>
      </c>
      <c r="S19" s="20">
        <f>'GS &gt; 50 OLS model'!$B$9*G19</f>
        <v>12564470.413513534</v>
      </c>
      <c r="T19" s="20">
        <f>'GS &gt; 50 OLS model'!$B$10*H19</f>
        <v>231488.87731719841</v>
      </c>
      <c r="U19" s="20">
        <f>'GS &gt; 50 OLS model'!$B$11*I19</f>
        <v>0</v>
      </c>
      <c r="V19" s="20">
        <f>'GS &gt; 50 OLS model'!$B$12*J19</f>
        <v>0</v>
      </c>
      <c r="W19" s="20">
        <f>'GS &gt; 50 OLS model'!$B$13*K19</f>
        <v>0</v>
      </c>
      <c r="X19" s="20">
        <f>'GS &gt; 50 OLS model'!$B$14*L19</f>
        <v>0</v>
      </c>
      <c r="Y19" s="20">
        <f>'GS &gt; 50 OLS model'!$B$15*M19</f>
        <v>0</v>
      </c>
      <c r="Z19" s="20">
        <f t="shared" ca="1" si="1"/>
        <v>13708277.697856683</v>
      </c>
    </row>
    <row r="20" spans="1:26" ht="14.4" x14ac:dyDescent="0.3">
      <c r="A20" s="22">
        <f>'Monthly Data'!A20</f>
        <v>40360</v>
      </c>
      <c r="B20" s="6">
        <f t="shared" si="2"/>
        <v>2010</v>
      </c>
      <c r="C20" s="20">
        <f ca="1">'Monthly Data'!N20</f>
        <v>15844471.30334268</v>
      </c>
      <c r="D20" s="20">
        <f>'Monthly Data'!P20</f>
        <v>217</v>
      </c>
      <c r="E20" s="6">
        <f t="shared" ca="1" si="3"/>
        <v>0.58000000000000007</v>
      </c>
      <c r="F20" s="6">
        <f t="shared" ca="1" si="3"/>
        <v>179.70999999999998</v>
      </c>
      <c r="G20" s="6">
        <f>'Monthly Data'!AJ20</f>
        <v>148.30000000000001</v>
      </c>
      <c r="H20" s="6">
        <f>'Monthly Data'!AN20</f>
        <v>19</v>
      </c>
      <c r="I20" s="6">
        <f>'Monthly Data'!AP20</f>
        <v>0</v>
      </c>
      <c r="J20" s="6">
        <f>'Monthly Data'!AV20</f>
        <v>0</v>
      </c>
      <c r="K20" s="6">
        <f>'Monthly Data'!AW20</f>
        <v>0</v>
      </c>
      <c r="L20" s="6">
        <f>'Monthly Data'!AY20</f>
        <v>0</v>
      </c>
      <c r="M20" s="6">
        <f>'Monthly Data'!BB20</f>
        <v>0</v>
      </c>
      <c r="O20" s="20">
        <f>'GS &gt; 50 OLS model'!$B$5</f>
        <v>-11694573.8944258</v>
      </c>
      <c r="P20" s="20">
        <f>'GS &gt; 50 OLS model'!$B$6*D20</f>
        <v>10997448.17363189</v>
      </c>
      <c r="Q20" s="20">
        <f ca="1">'GS &gt; 50 OLS model'!$B$7*E20</f>
        <v>1555.2558151075507</v>
      </c>
      <c r="R20" s="20">
        <f ca="1">'GS &gt; 50 OLS model'!$B$8*F20</f>
        <v>2656512.3887509522</v>
      </c>
      <c r="S20" s="20">
        <f>'GS &gt; 50 OLS model'!$B$9*G20</f>
        <v>12430359.988819595</v>
      </c>
      <c r="T20" s="20">
        <f>'GS &gt; 50 OLS model'!$B$10*H20</f>
        <v>244349.3705014872</v>
      </c>
      <c r="U20" s="20">
        <f>'GS &gt; 50 OLS model'!$B$11*I20</f>
        <v>0</v>
      </c>
      <c r="V20" s="20">
        <f>'GS &gt; 50 OLS model'!$B$12*J20</f>
        <v>0</v>
      </c>
      <c r="W20" s="20">
        <f>'GS &gt; 50 OLS model'!$B$13*K20</f>
        <v>0</v>
      </c>
      <c r="X20" s="20">
        <f>'GS &gt; 50 OLS model'!$B$14*L20</f>
        <v>0</v>
      </c>
      <c r="Y20" s="20">
        <f>'GS &gt; 50 OLS model'!$B$15*M20</f>
        <v>0</v>
      </c>
      <c r="Z20" s="20">
        <f t="shared" ca="1" si="1"/>
        <v>14635651.283093231</v>
      </c>
    </row>
    <row r="21" spans="1:26" ht="14.4" x14ac:dyDescent="0.3">
      <c r="A21" s="22">
        <f>'Monthly Data'!A21</f>
        <v>40391</v>
      </c>
      <c r="B21" s="6">
        <f t="shared" si="2"/>
        <v>2010</v>
      </c>
      <c r="C21" s="20">
        <f ca="1">'Monthly Data'!N21</f>
        <v>16457809.899910983</v>
      </c>
      <c r="D21" s="20">
        <f>'Monthly Data'!P21</f>
        <v>215</v>
      </c>
      <c r="E21" s="6">
        <f t="shared" ca="1" si="3"/>
        <v>1.7099999999999997</v>
      </c>
      <c r="F21" s="6">
        <f t="shared" ca="1" si="3"/>
        <v>158.1</v>
      </c>
      <c r="G21" s="6">
        <f>'Monthly Data'!AJ21</f>
        <v>148.4</v>
      </c>
      <c r="H21" s="6">
        <f>'Monthly Data'!AN21</f>
        <v>20</v>
      </c>
      <c r="I21" s="6">
        <f>'Monthly Data'!AP21</f>
        <v>0</v>
      </c>
      <c r="J21" s="6">
        <f>'Monthly Data'!AV21</f>
        <v>1</v>
      </c>
      <c r="K21" s="6">
        <f>'Monthly Data'!AW21</f>
        <v>0</v>
      </c>
      <c r="L21" s="6">
        <f>'Monthly Data'!AY21</f>
        <v>0</v>
      </c>
      <c r="M21" s="6">
        <f>'Monthly Data'!BB21</f>
        <v>0</v>
      </c>
      <c r="O21" s="20">
        <f>'GS &gt; 50 OLS model'!$B$5</f>
        <v>-11694573.8944258</v>
      </c>
      <c r="P21" s="20">
        <f>'GS &gt; 50 OLS model'!$B$6*D21</f>
        <v>10896089.20428966</v>
      </c>
      <c r="Q21" s="20">
        <f ca="1">'GS &gt; 50 OLS model'!$B$7*E21</f>
        <v>4585.3231790239843</v>
      </c>
      <c r="R21" s="20">
        <f ca="1">'GS &gt; 50 OLS model'!$B$8*F21</f>
        <v>2337068.6587364399</v>
      </c>
      <c r="S21" s="20">
        <f>'GS &gt; 50 OLS model'!$B$9*G21</f>
        <v>12438741.890362965</v>
      </c>
      <c r="T21" s="20">
        <f>'GS &gt; 50 OLS model'!$B$10*H21</f>
        <v>257209.86368577601</v>
      </c>
      <c r="U21" s="20">
        <f>'GS &gt; 50 OLS model'!$B$11*I21</f>
        <v>0</v>
      </c>
      <c r="V21" s="20">
        <f>'GS &gt; 50 OLS model'!$B$12*J21</f>
        <v>1257541.23571065</v>
      </c>
      <c r="W21" s="20">
        <f>'GS &gt; 50 OLS model'!$B$13*K21</f>
        <v>0</v>
      </c>
      <c r="X21" s="20">
        <f>'GS &gt; 50 OLS model'!$B$14*L21</f>
        <v>0</v>
      </c>
      <c r="Y21" s="20">
        <f>'GS &gt; 50 OLS model'!$B$15*M21</f>
        <v>0</v>
      </c>
      <c r="Z21" s="20">
        <f t="shared" ca="1" si="1"/>
        <v>15496662.281538716</v>
      </c>
    </row>
    <row r="22" spans="1:26" ht="14.4" x14ac:dyDescent="0.3">
      <c r="A22" s="22">
        <f>'Monthly Data'!A22</f>
        <v>40422</v>
      </c>
      <c r="B22" s="6">
        <f t="shared" si="2"/>
        <v>2010</v>
      </c>
      <c r="C22" s="20">
        <f ca="1">'Monthly Data'!N22</f>
        <v>13945593.812022582</v>
      </c>
      <c r="D22" s="20">
        <f>'Monthly Data'!P22</f>
        <v>214</v>
      </c>
      <c r="E22" s="6">
        <f t="shared" ca="1" si="3"/>
        <v>32.68</v>
      </c>
      <c r="F22" s="6">
        <f t="shared" ca="1" si="3"/>
        <v>67.34</v>
      </c>
      <c r="G22" s="6">
        <f>'Monthly Data'!AJ22</f>
        <v>148.69999999999999</v>
      </c>
      <c r="H22" s="6">
        <f>'Monthly Data'!AN22</f>
        <v>21</v>
      </c>
      <c r="I22" s="6">
        <f>'Monthly Data'!AP22</f>
        <v>0</v>
      </c>
      <c r="J22" s="6">
        <f>'Monthly Data'!AV22</f>
        <v>0</v>
      </c>
      <c r="K22" s="6">
        <f>'Monthly Data'!AW22</f>
        <v>1</v>
      </c>
      <c r="L22" s="6">
        <f>'Monthly Data'!AY22</f>
        <v>0</v>
      </c>
      <c r="M22" s="6">
        <f>'Monthly Data'!BB22</f>
        <v>0</v>
      </c>
      <c r="O22" s="20">
        <f>'GS &gt; 50 OLS model'!$B$5</f>
        <v>-11694573.8944258</v>
      </c>
      <c r="P22" s="20">
        <f>'GS &gt; 50 OLS model'!$B$6*D22</f>
        <v>10845409.719618546</v>
      </c>
      <c r="Q22" s="20">
        <f ca="1">'GS &gt; 50 OLS model'!$B$7*E22</f>
        <v>87630.620754680596</v>
      </c>
      <c r="R22" s="20">
        <f ca="1">'GS &gt; 50 OLS model'!$B$8*F22</f>
        <v>995434.55711139692</v>
      </c>
      <c r="S22" s="20">
        <f>'GS &gt; 50 OLS model'!$B$9*G22</f>
        <v>12463887.594993077</v>
      </c>
      <c r="T22" s="20">
        <f>'GS &gt; 50 OLS model'!$B$10*H22</f>
        <v>270070.3568700648</v>
      </c>
      <c r="U22" s="20">
        <f>'GS &gt; 50 OLS model'!$B$11*I22</f>
        <v>0</v>
      </c>
      <c r="V22" s="20">
        <f>'GS &gt; 50 OLS model'!$B$12*J22</f>
        <v>0</v>
      </c>
      <c r="W22" s="20">
        <f>'GS &gt; 50 OLS model'!$B$13*K22</f>
        <v>1979532.62008895</v>
      </c>
      <c r="X22" s="20">
        <f>'GS &gt; 50 OLS model'!$B$14*L22</f>
        <v>0</v>
      </c>
      <c r="Y22" s="20">
        <f>'GS &gt; 50 OLS model'!$B$15*M22</f>
        <v>0</v>
      </c>
      <c r="Z22" s="20">
        <f t="shared" ca="1" si="1"/>
        <v>12967858.954921965</v>
      </c>
    </row>
    <row r="23" spans="1:26" ht="14.4" x14ac:dyDescent="0.3">
      <c r="A23" s="22">
        <f>'Monthly Data'!A23</f>
        <v>40452</v>
      </c>
      <c r="B23" s="6">
        <f t="shared" si="2"/>
        <v>2010</v>
      </c>
      <c r="C23" s="20">
        <f ca="1">'Monthly Data'!N23</f>
        <v>13680357.311501181</v>
      </c>
      <c r="D23" s="20">
        <f>'Monthly Data'!P23</f>
        <v>216</v>
      </c>
      <c r="E23" s="6">
        <f t="shared" ca="1" si="3"/>
        <v>176.42</v>
      </c>
      <c r="F23" s="6">
        <f t="shared" ca="1" si="3"/>
        <v>10.18</v>
      </c>
      <c r="G23" s="6">
        <f>'Monthly Data'!AJ23</f>
        <v>149.6</v>
      </c>
      <c r="H23" s="6">
        <f>'Monthly Data'!AN23</f>
        <v>22</v>
      </c>
      <c r="I23" s="6">
        <f>'Monthly Data'!AP23</f>
        <v>0</v>
      </c>
      <c r="J23" s="6">
        <f>'Monthly Data'!AV23</f>
        <v>0</v>
      </c>
      <c r="K23" s="6">
        <f>'Monthly Data'!AW23</f>
        <v>0</v>
      </c>
      <c r="L23" s="6">
        <f>'Monthly Data'!AY23</f>
        <v>0</v>
      </c>
      <c r="M23" s="6">
        <f>'Monthly Data'!BB23</f>
        <v>1</v>
      </c>
      <c r="O23" s="20">
        <f>'GS &gt; 50 OLS model'!$B$5</f>
        <v>-11694573.8944258</v>
      </c>
      <c r="P23" s="20">
        <f>'GS &gt; 50 OLS model'!$B$6*D23</f>
        <v>10946768.688960774</v>
      </c>
      <c r="Q23" s="20">
        <f ca="1">'GS &gt; 50 OLS model'!$B$7*E23</f>
        <v>473065.91534702422</v>
      </c>
      <c r="R23" s="20">
        <f ca="1">'GS &gt; 50 OLS model'!$B$8*F23</f>
        <v>150482.97878517999</v>
      </c>
      <c r="S23" s="20">
        <f>'GS &gt; 50 OLS model'!$B$9*G23</f>
        <v>12539324.70888342</v>
      </c>
      <c r="T23" s="20">
        <f>'GS &gt; 50 OLS model'!$B$10*H23</f>
        <v>282930.85005435359</v>
      </c>
      <c r="U23" s="20">
        <f>'GS &gt; 50 OLS model'!$B$11*I23</f>
        <v>0</v>
      </c>
      <c r="V23" s="20">
        <f>'GS &gt; 50 OLS model'!$B$12*J23</f>
        <v>0</v>
      </c>
      <c r="W23" s="20">
        <f>'GS &gt; 50 OLS model'!$B$13*K23</f>
        <v>0</v>
      </c>
      <c r="X23" s="20">
        <f>'GS &gt; 50 OLS model'!$B$14*L23</f>
        <v>0</v>
      </c>
      <c r="Y23" s="20">
        <f>'GS &gt; 50 OLS model'!$B$15*M23</f>
        <v>671693.73401239095</v>
      </c>
      <c r="Z23" s="20">
        <f t="shared" ca="1" si="1"/>
        <v>12697999.247604951</v>
      </c>
    </row>
    <row r="24" spans="1:26" ht="14.4" x14ac:dyDescent="0.3">
      <c r="A24" s="22">
        <f>'Monthly Data'!A24</f>
        <v>40483</v>
      </c>
      <c r="B24" s="6">
        <f t="shared" si="2"/>
        <v>2010</v>
      </c>
      <c r="C24" s="20">
        <f ca="1">'Monthly Data'!N24</f>
        <v>13943764.881368984</v>
      </c>
      <c r="D24" s="20">
        <f>'Monthly Data'!P24</f>
        <v>215</v>
      </c>
      <c r="E24" s="6">
        <f t="shared" ca="1" si="3"/>
        <v>364.2299999999999</v>
      </c>
      <c r="F24" s="6">
        <f t="shared" ca="1" si="3"/>
        <v>0.05</v>
      </c>
      <c r="G24" s="6">
        <f>'Monthly Data'!AJ24</f>
        <v>148.9</v>
      </c>
      <c r="H24" s="6">
        <f>'Monthly Data'!AN24</f>
        <v>23</v>
      </c>
      <c r="I24" s="6">
        <f>'Monthly Data'!AP24</f>
        <v>0</v>
      </c>
      <c r="J24" s="6">
        <f>'Monthly Data'!AV24</f>
        <v>0</v>
      </c>
      <c r="K24" s="6">
        <f>'Monthly Data'!AW24</f>
        <v>0</v>
      </c>
      <c r="L24" s="6">
        <f>'Monthly Data'!AY24</f>
        <v>1</v>
      </c>
      <c r="M24" s="6">
        <f>'Monthly Data'!BB24</f>
        <v>1</v>
      </c>
      <c r="O24" s="20">
        <f>'GS &gt; 50 OLS model'!$B$5</f>
        <v>-11694573.8944258</v>
      </c>
      <c r="P24" s="20">
        <f>'GS &gt; 50 OLS model'!$B$6*D24</f>
        <v>10896089.20428966</v>
      </c>
      <c r="Q24" s="20">
        <f ca="1">'GS &gt; 50 OLS model'!$B$7*E24</f>
        <v>976673.83713210851</v>
      </c>
      <c r="R24" s="20">
        <f ca="1">'GS &gt; 50 OLS model'!$B$8*F24</f>
        <v>739.11089776611004</v>
      </c>
      <c r="S24" s="20">
        <f>'GS &gt; 50 OLS model'!$B$9*G24</f>
        <v>12480651.398079822</v>
      </c>
      <c r="T24" s="20">
        <f>'GS &gt; 50 OLS model'!$B$10*H24</f>
        <v>295791.34323864238</v>
      </c>
      <c r="U24" s="20">
        <f>'GS &gt; 50 OLS model'!$B$11*I24</f>
        <v>0</v>
      </c>
      <c r="V24" s="20">
        <f>'GS &gt; 50 OLS model'!$B$12*J24</f>
        <v>0</v>
      </c>
      <c r="W24" s="20">
        <f>'GS &gt; 50 OLS model'!$B$13*K24</f>
        <v>0</v>
      </c>
      <c r="X24" s="20">
        <f>'GS &gt; 50 OLS model'!$B$14*L24</f>
        <v>1466841.9423256</v>
      </c>
      <c r="Y24" s="20">
        <f>'GS &gt; 50 OLS model'!$B$15*M24</f>
        <v>671693.73401239095</v>
      </c>
      <c r="Z24" s="20">
        <f t="shared" ca="1" si="1"/>
        <v>12955370.999212198</v>
      </c>
    </row>
    <row r="25" spans="1:26" ht="14.4" x14ac:dyDescent="0.3">
      <c r="A25" s="22">
        <f>'Monthly Data'!A25</f>
        <v>40513</v>
      </c>
      <c r="B25" s="6">
        <f t="shared" si="2"/>
        <v>2010</v>
      </c>
      <c r="C25" s="20">
        <f ca="1">'Monthly Data'!N25</f>
        <v>13816144.317732083</v>
      </c>
      <c r="D25" s="20">
        <f>'Monthly Data'!P25</f>
        <v>214</v>
      </c>
      <c r="E25" s="6">
        <f t="shared" ca="1" si="3"/>
        <v>552.31000000000006</v>
      </c>
      <c r="F25" s="6">
        <f t="shared" ca="1" si="3"/>
        <v>0</v>
      </c>
      <c r="G25" s="6">
        <f>'Monthly Data'!AJ25</f>
        <v>148.1</v>
      </c>
      <c r="H25" s="6">
        <f>'Monthly Data'!AN25</f>
        <v>24</v>
      </c>
      <c r="I25" s="6">
        <f>'Monthly Data'!AP25</f>
        <v>0</v>
      </c>
      <c r="J25" s="6">
        <f>'Monthly Data'!AV25</f>
        <v>0</v>
      </c>
      <c r="K25" s="6">
        <f>'Monthly Data'!AW25</f>
        <v>0</v>
      </c>
      <c r="L25" s="6">
        <f>'Monthly Data'!AY25</f>
        <v>0</v>
      </c>
      <c r="M25" s="6">
        <f>'Monthly Data'!BB25</f>
        <v>0</v>
      </c>
      <c r="O25" s="20">
        <f>'GS &gt; 50 OLS model'!$B$5</f>
        <v>-11694573.8944258</v>
      </c>
      <c r="P25" s="20">
        <f>'GS &gt; 50 OLS model'!$B$6*D25</f>
        <v>10845409.719618546</v>
      </c>
      <c r="Q25" s="20">
        <f ca="1">'GS &gt; 50 OLS model'!$B$7*E25</f>
        <v>1481005.7573138815</v>
      </c>
      <c r="R25" s="20">
        <f ca="1">'GS &gt; 50 OLS model'!$B$8*F25</f>
        <v>0</v>
      </c>
      <c r="S25" s="20">
        <f>'GS &gt; 50 OLS model'!$B$9*G25</f>
        <v>12413596.185732851</v>
      </c>
      <c r="T25" s="20">
        <f>'GS &gt; 50 OLS model'!$B$10*H25</f>
        <v>308651.83642293117</v>
      </c>
      <c r="U25" s="20">
        <f>'GS &gt; 50 OLS model'!$B$11*I25</f>
        <v>0</v>
      </c>
      <c r="V25" s="20">
        <f>'GS &gt; 50 OLS model'!$B$12*J25</f>
        <v>0</v>
      </c>
      <c r="W25" s="20">
        <f>'GS &gt; 50 OLS model'!$B$13*K25</f>
        <v>0</v>
      </c>
      <c r="X25" s="20">
        <f>'GS &gt; 50 OLS model'!$B$14*L25</f>
        <v>0</v>
      </c>
      <c r="Y25" s="20">
        <f>'GS &gt; 50 OLS model'!$B$15*M25</f>
        <v>0</v>
      </c>
      <c r="Z25" s="20">
        <f t="shared" ca="1" si="1"/>
        <v>13354089.604662409</v>
      </c>
    </row>
    <row r="26" spans="1:26" ht="14.4" x14ac:dyDescent="0.3">
      <c r="A26" s="22">
        <f>'Monthly Data'!A26</f>
        <v>40544</v>
      </c>
      <c r="B26" s="6">
        <f t="shared" si="2"/>
        <v>2011</v>
      </c>
      <c r="C26" s="20">
        <f ca="1">'Monthly Data'!N26</f>
        <v>14300120.531601261</v>
      </c>
      <c r="D26" s="20">
        <f>'Monthly Data'!P26</f>
        <v>219</v>
      </c>
      <c r="E26" s="6">
        <f t="shared" ca="1" si="3"/>
        <v>661.18999999999994</v>
      </c>
      <c r="F26" s="6">
        <f t="shared" ca="1" si="3"/>
        <v>0</v>
      </c>
      <c r="G26" s="6">
        <f>'Monthly Data'!AJ26</f>
        <v>148.69999999999999</v>
      </c>
      <c r="H26" s="6">
        <f>'Monthly Data'!AN26</f>
        <v>25</v>
      </c>
      <c r="I26" s="6">
        <f>'Monthly Data'!AP26</f>
        <v>0</v>
      </c>
      <c r="J26" s="6">
        <f>'Monthly Data'!AV26</f>
        <v>0</v>
      </c>
      <c r="K26" s="6">
        <f>'Monthly Data'!AW26</f>
        <v>0</v>
      </c>
      <c r="L26" s="6">
        <f>'Monthly Data'!AY26</f>
        <v>0</v>
      </c>
      <c r="M26" s="6">
        <f>'Monthly Data'!BB26</f>
        <v>0</v>
      </c>
      <c r="O26" s="20">
        <f>'GS &gt; 50 OLS model'!$B$5</f>
        <v>-11694573.8944258</v>
      </c>
      <c r="P26" s="20">
        <f>'GS &gt; 50 OLS model'!$B$6*D26</f>
        <v>11098807.142974118</v>
      </c>
      <c r="Q26" s="20">
        <f ca="1">'GS &gt; 50 OLS model'!$B$7*E26</f>
        <v>1772964.8144671745</v>
      </c>
      <c r="R26" s="20">
        <f ca="1">'GS &gt; 50 OLS model'!$B$8*F26</f>
        <v>0</v>
      </c>
      <c r="S26" s="20">
        <f>'GS &gt; 50 OLS model'!$B$9*G26</f>
        <v>12463887.594993077</v>
      </c>
      <c r="T26" s="20">
        <f>'GS &gt; 50 OLS model'!$B$10*H26</f>
        <v>321512.32960722002</v>
      </c>
      <c r="U26" s="20">
        <f>'GS &gt; 50 OLS model'!$B$11*I26</f>
        <v>0</v>
      </c>
      <c r="V26" s="20">
        <f>'GS &gt; 50 OLS model'!$B$12*J26</f>
        <v>0</v>
      </c>
      <c r="W26" s="20">
        <f>'GS &gt; 50 OLS model'!$B$13*K26</f>
        <v>0</v>
      </c>
      <c r="X26" s="20">
        <f>'GS &gt; 50 OLS model'!$B$14*L26</f>
        <v>0</v>
      </c>
      <c r="Y26" s="20">
        <f>'GS &gt; 50 OLS model'!$B$15*M26</f>
        <v>0</v>
      </c>
      <c r="Z26" s="20">
        <f t="shared" ca="1" si="1"/>
        <v>13962597.98761579</v>
      </c>
    </row>
    <row r="27" spans="1:26" ht="14.4" x14ac:dyDescent="0.3">
      <c r="A27" s="22">
        <f>'Monthly Data'!A27</f>
        <v>40575</v>
      </c>
      <c r="B27" s="6">
        <f t="shared" si="2"/>
        <v>2011</v>
      </c>
      <c r="C27" s="20">
        <f ca="1">'Monthly Data'!N27</f>
        <v>12823986.900859961</v>
      </c>
      <c r="D27" s="20">
        <f>'Monthly Data'!P27</f>
        <v>220</v>
      </c>
      <c r="E27" s="6">
        <f t="shared" ca="1" si="3"/>
        <v>598.16999999999985</v>
      </c>
      <c r="F27" s="6">
        <f t="shared" ca="1" si="3"/>
        <v>0</v>
      </c>
      <c r="G27" s="6">
        <f>'Monthly Data'!AJ27</f>
        <v>146.69999999999999</v>
      </c>
      <c r="H27" s="6">
        <f>'Monthly Data'!AN27</f>
        <v>26</v>
      </c>
      <c r="I27" s="6">
        <f>'Monthly Data'!AP27</f>
        <v>1</v>
      </c>
      <c r="J27" s="6">
        <f>'Monthly Data'!AV27</f>
        <v>0</v>
      </c>
      <c r="K27" s="6">
        <f>'Monthly Data'!AW27</f>
        <v>0</v>
      </c>
      <c r="L27" s="6">
        <f>'Monthly Data'!AY27</f>
        <v>0</v>
      </c>
      <c r="M27" s="6">
        <f>'Monthly Data'!BB27</f>
        <v>0</v>
      </c>
      <c r="O27" s="20">
        <f>'GS &gt; 50 OLS model'!$B$5</f>
        <v>-11694573.8944258</v>
      </c>
      <c r="P27" s="20">
        <f>'GS &gt; 50 OLS model'!$B$6*D27</f>
        <v>11149486.627645234</v>
      </c>
      <c r="Q27" s="20">
        <f ca="1">'GS &gt; 50 OLS model'!$B$7*E27</f>
        <v>1603978.225729109</v>
      </c>
      <c r="R27" s="20">
        <f ca="1">'GS &gt; 50 OLS model'!$B$8*F27</f>
        <v>0</v>
      </c>
      <c r="S27" s="20">
        <f>'GS &gt; 50 OLS model'!$B$9*G27</f>
        <v>12296249.564125653</v>
      </c>
      <c r="T27" s="20">
        <f>'GS &gt; 50 OLS model'!$B$10*H27</f>
        <v>334372.82279150881</v>
      </c>
      <c r="U27" s="20">
        <f>'GS &gt; 50 OLS model'!$B$11*I27</f>
        <v>-797686.81375559501</v>
      </c>
      <c r="V27" s="20">
        <f>'GS &gt; 50 OLS model'!$B$12*J27</f>
        <v>0</v>
      </c>
      <c r="W27" s="20">
        <f>'GS &gt; 50 OLS model'!$B$13*K27</f>
        <v>0</v>
      </c>
      <c r="X27" s="20">
        <f>'GS &gt; 50 OLS model'!$B$14*L27</f>
        <v>0</v>
      </c>
      <c r="Y27" s="20">
        <f>'GS &gt; 50 OLS model'!$B$15*M27</f>
        <v>0</v>
      </c>
      <c r="Z27" s="20">
        <f t="shared" ca="1" si="1"/>
        <v>12891826.532110112</v>
      </c>
    </row>
    <row r="28" spans="1:26" ht="14.4" x14ac:dyDescent="0.3">
      <c r="A28" s="22">
        <f>'Monthly Data'!A28</f>
        <v>40603</v>
      </c>
      <c r="B28" s="6">
        <f t="shared" si="2"/>
        <v>2011</v>
      </c>
      <c r="C28" s="20">
        <f ca="1">'Monthly Data'!N28</f>
        <v>13729652.925076362</v>
      </c>
      <c r="D28" s="20">
        <f>'Monthly Data'!P28</f>
        <v>221</v>
      </c>
      <c r="E28" s="6">
        <f t="shared" ca="1" si="3"/>
        <v>451.34</v>
      </c>
      <c r="F28" s="6">
        <f t="shared" ca="1" si="3"/>
        <v>0.88000000000000012</v>
      </c>
      <c r="G28" s="6">
        <f>'Monthly Data'!AJ28</f>
        <v>145.4</v>
      </c>
      <c r="H28" s="6">
        <f>'Monthly Data'!AN28</f>
        <v>27</v>
      </c>
      <c r="I28" s="6">
        <f>'Monthly Data'!AP28</f>
        <v>0</v>
      </c>
      <c r="J28" s="6">
        <f>'Monthly Data'!AV28</f>
        <v>0</v>
      </c>
      <c r="K28" s="6">
        <f>'Monthly Data'!AW28</f>
        <v>0</v>
      </c>
      <c r="L28" s="6">
        <f>'Monthly Data'!AY28</f>
        <v>0</v>
      </c>
      <c r="M28" s="6">
        <f>'Monthly Data'!BB28</f>
        <v>0</v>
      </c>
      <c r="O28" s="20">
        <f>'GS &gt; 50 OLS model'!$B$5</f>
        <v>-11694573.8944258</v>
      </c>
      <c r="P28" s="20">
        <f>'GS &gt; 50 OLS model'!$B$6*D28</f>
        <v>11200166.112316348</v>
      </c>
      <c r="Q28" s="20">
        <f ca="1">'GS &gt; 50 OLS model'!$B$7*E28</f>
        <v>1210257.1717080032</v>
      </c>
      <c r="R28" s="20">
        <f ca="1">'GS &gt; 50 OLS model'!$B$8*F28</f>
        <v>13008.351800683537</v>
      </c>
      <c r="S28" s="20">
        <f>'GS &gt; 50 OLS model'!$B$9*G28</f>
        <v>12187284.844061827</v>
      </c>
      <c r="T28" s="20">
        <f>'GS &gt; 50 OLS model'!$B$10*H28</f>
        <v>347233.3159757976</v>
      </c>
      <c r="U28" s="20">
        <f>'GS &gt; 50 OLS model'!$B$11*I28</f>
        <v>0</v>
      </c>
      <c r="V28" s="20">
        <f>'GS &gt; 50 OLS model'!$B$12*J28</f>
        <v>0</v>
      </c>
      <c r="W28" s="20">
        <f>'GS &gt; 50 OLS model'!$B$13*K28</f>
        <v>0</v>
      </c>
      <c r="X28" s="20">
        <f>'GS &gt; 50 OLS model'!$B$14*L28</f>
        <v>0</v>
      </c>
      <c r="Y28" s="20">
        <f>'GS &gt; 50 OLS model'!$B$15*M28</f>
        <v>0</v>
      </c>
      <c r="Z28" s="20">
        <f t="shared" ca="1" si="1"/>
        <v>13263375.90143686</v>
      </c>
    </row>
    <row r="29" spans="1:26" ht="14.4" x14ac:dyDescent="0.3">
      <c r="A29" s="22">
        <f>'Monthly Data'!A29</f>
        <v>40634</v>
      </c>
      <c r="B29" s="6">
        <f t="shared" si="2"/>
        <v>2011</v>
      </c>
      <c r="C29" s="20">
        <f ca="1">'Monthly Data'!N29</f>
        <v>12372493.118964862</v>
      </c>
      <c r="D29" s="20">
        <f>'Monthly Data'!P29</f>
        <v>222</v>
      </c>
      <c r="E29" s="6">
        <f t="shared" ca="1" si="3"/>
        <v>259.5499999999999</v>
      </c>
      <c r="F29" s="6">
        <f t="shared" ca="1" si="3"/>
        <v>2.4500000000000002</v>
      </c>
      <c r="G29" s="6">
        <f>'Monthly Data'!AJ29</f>
        <v>144</v>
      </c>
      <c r="H29" s="6">
        <f>'Monthly Data'!AN29</f>
        <v>28</v>
      </c>
      <c r="I29" s="6">
        <f>'Monthly Data'!AP29</f>
        <v>0</v>
      </c>
      <c r="J29" s="6">
        <f>'Monthly Data'!AV29</f>
        <v>0</v>
      </c>
      <c r="K29" s="6">
        <f>'Monthly Data'!AW29</f>
        <v>0</v>
      </c>
      <c r="L29" s="6">
        <f>'Monthly Data'!AY29</f>
        <v>0</v>
      </c>
      <c r="M29" s="6">
        <f>'Monthly Data'!BB29</f>
        <v>0</v>
      </c>
      <c r="O29" s="20">
        <f>'GS &gt; 50 OLS model'!$B$5</f>
        <v>-11694573.8944258</v>
      </c>
      <c r="P29" s="20">
        <f>'GS &gt; 50 OLS model'!$B$6*D29</f>
        <v>11250845.596987464</v>
      </c>
      <c r="Q29" s="20">
        <f ca="1">'GS &gt; 50 OLS model'!$B$7*E29</f>
        <v>695976.9772606286</v>
      </c>
      <c r="R29" s="20">
        <f ca="1">'GS &gt; 50 OLS model'!$B$8*F29</f>
        <v>36216.433990539394</v>
      </c>
      <c r="S29" s="20">
        <f>'GS &gt; 50 OLS model'!$B$9*G29</f>
        <v>12069938.22245463</v>
      </c>
      <c r="T29" s="20">
        <f>'GS &gt; 50 OLS model'!$B$10*H29</f>
        <v>360093.80916008638</v>
      </c>
      <c r="U29" s="20">
        <f>'GS &gt; 50 OLS model'!$B$11*I29</f>
        <v>0</v>
      </c>
      <c r="V29" s="20">
        <f>'GS &gt; 50 OLS model'!$B$12*J29</f>
        <v>0</v>
      </c>
      <c r="W29" s="20">
        <f>'GS &gt; 50 OLS model'!$B$13*K29</f>
        <v>0</v>
      </c>
      <c r="X29" s="20">
        <f>'GS &gt; 50 OLS model'!$B$14*L29</f>
        <v>0</v>
      </c>
      <c r="Y29" s="20">
        <f>'GS &gt; 50 OLS model'!$B$15*M29</f>
        <v>0</v>
      </c>
      <c r="Z29" s="20">
        <f t="shared" ca="1" si="1"/>
        <v>12718497.145427549</v>
      </c>
    </row>
    <row r="30" spans="1:26" ht="14.4" x14ac:dyDescent="0.3">
      <c r="A30" s="22">
        <f>'Monthly Data'!A30</f>
        <v>40664</v>
      </c>
      <c r="B30" s="6">
        <f t="shared" si="2"/>
        <v>2011</v>
      </c>
      <c r="C30" s="20">
        <f ca="1">'Monthly Data'!N30</f>
        <v>12952023.395882361</v>
      </c>
      <c r="D30" s="20">
        <f>'Monthly Data'!P30</f>
        <v>222</v>
      </c>
      <c r="E30" s="6">
        <f t="shared" ca="1" si="3"/>
        <v>88.880000000000024</v>
      </c>
      <c r="F30" s="6">
        <f t="shared" ca="1" si="3"/>
        <v>43.79999999999999</v>
      </c>
      <c r="G30" s="6">
        <f>'Monthly Data'!AJ30</f>
        <v>144.6</v>
      </c>
      <c r="H30" s="6">
        <f>'Monthly Data'!AN30</f>
        <v>29</v>
      </c>
      <c r="I30" s="6">
        <f>'Monthly Data'!AP30</f>
        <v>0</v>
      </c>
      <c r="J30" s="6">
        <f>'Monthly Data'!AV30</f>
        <v>0</v>
      </c>
      <c r="K30" s="6">
        <f>'Monthly Data'!AW30</f>
        <v>0</v>
      </c>
      <c r="L30" s="6">
        <f>'Monthly Data'!AY30</f>
        <v>0</v>
      </c>
      <c r="M30" s="6">
        <f>'Monthly Data'!BB30</f>
        <v>0</v>
      </c>
      <c r="O30" s="20">
        <f>'GS &gt; 50 OLS model'!$B$5</f>
        <v>-11694573.8944258</v>
      </c>
      <c r="P30" s="20">
        <f>'GS &gt; 50 OLS model'!$B$6*D30</f>
        <v>11250845.596987464</v>
      </c>
      <c r="Q30" s="20">
        <f ca="1">'GS &gt; 50 OLS model'!$B$7*E30</f>
        <v>238329.54628751572</v>
      </c>
      <c r="R30" s="20">
        <f ca="1">'GS &gt; 50 OLS model'!$B$8*F30</f>
        <v>647461.14644311217</v>
      </c>
      <c r="S30" s="20">
        <f>'GS &gt; 50 OLS model'!$B$9*G30</f>
        <v>12120229.631714856</v>
      </c>
      <c r="T30" s="20">
        <f>'GS &gt; 50 OLS model'!$B$10*H30</f>
        <v>372954.30234437517</v>
      </c>
      <c r="U30" s="20">
        <f>'GS &gt; 50 OLS model'!$B$11*I30</f>
        <v>0</v>
      </c>
      <c r="V30" s="20">
        <f>'GS &gt; 50 OLS model'!$B$12*J30</f>
        <v>0</v>
      </c>
      <c r="W30" s="20">
        <f>'GS &gt; 50 OLS model'!$B$13*K30</f>
        <v>0</v>
      </c>
      <c r="X30" s="20">
        <f>'GS &gt; 50 OLS model'!$B$14*L30</f>
        <v>0</v>
      </c>
      <c r="Y30" s="20">
        <f>'GS &gt; 50 OLS model'!$B$15*M30</f>
        <v>0</v>
      </c>
      <c r="Z30" s="20">
        <f t="shared" ca="1" si="1"/>
        <v>12935246.329351522</v>
      </c>
    </row>
    <row r="31" spans="1:26" ht="14.4" x14ac:dyDescent="0.3">
      <c r="A31" s="22">
        <f>'Monthly Data'!A31</f>
        <v>40695</v>
      </c>
      <c r="B31" s="6">
        <f t="shared" si="2"/>
        <v>2011</v>
      </c>
      <c r="C31" s="20">
        <f ca="1">'Monthly Data'!N31</f>
        <v>13742572.92912866</v>
      </c>
      <c r="D31" s="20">
        <f>'Monthly Data'!P31</f>
        <v>223</v>
      </c>
      <c r="E31" s="6">
        <f t="shared" ca="1" si="3"/>
        <v>9.77</v>
      </c>
      <c r="F31" s="6">
        <f t="shared" ca="1" si="3"/>
        <v>117.38999999999999</v>
      </c>
      <c r="G31" s="6">
        <f>'Monthly Data'!AJ31</f>
        <v>146</v>
      </c>
      <c r="H31" s="6">
        <f>'Monthly Data'!AN31</f>
        <v>30</v>
      </c>
      <c r="I31" s="6">
        <f>'Monthly Data'!AP31</f>
        <v>0</v>
      </c>
      <c r="J31" s="6">
        <f>'Monthly Data'!AV31</f>
        <v>0</v>
      </c>
      <c r="K31" s="6">
        <f>'Monthly Data'!AW31</f>
        <v>0</v>
      </c>
      <c r="L31" s="6">
        <f>'Monthly Data'!AY31</f>
        <v>0</v>
      </c>
      <c r="M31" s="6">
        <f>'Monthly Data'!BB31</f>
        <v>0</v>
      </c>
      <c r="O31" s="20">
        <f>'GS &gt; 50 OLS model'!$B$5</f>
        <v>-11694573.8944258</v>
      </c>
      <c r="P31" s="20">
        <f>'GS &gt; 50 OLS model'!$B$6*D31</f>
        <v>11301525.081658578</v>
      </c>
      <c r="Q31" s="20">
        <f ca="1">'GS &gt; 50 OLS model'!$B$7*E31</f>
        <v>26198.016057932356</v>
      </c>
      <c r="R31" s="20">
        <f ca="1">'GS &gt; 50 OLS model'!$B$8*F31</f>
        <v>1735284.5657752729</v>
      </c>
      <c r="S31" s="20">
        <f>'GS &gt; 50 OLS model'!$B$9*G31</f>
        <v>12237576.253322054</v>
      </c>
      <c r="T31" s="20">
        <f>'GS &gt; 50 OLS model'!$B$10*H31</f>
        <v>385814.79552866402</v>
      </c>
      <c r="U31" s="20">
        <f>'GS &gt; 50 OLS model'!$B$11*I31</f>
        <v>0</v>
      </c>
      <c r="V31" s="20">
        <f>'GS &gt; 50 OLS model'!$B$12*J31</f>
        <v>0</v>
      </c>
      <c r="W31" s="20">
        <f>'GS &gt; 50 OLS model'!$B$13*K31</f>
        <v>0</v>
      </c>
      <c r="X31" s="20">
        <f>'GS &gt; 50 OLS model'!$B$14*L31</f>
        <v>0</v>
      </c>
      <c r="Y31" s="20">
        <f>'GS &gt; 50 OLS model'!$B$15*M31</f>
        <v>0</v>
      </c>
      <c r="Z31" s="20">
        <f t="shared" ca="1" si="1"/>
        <v>13991824.817916701</v>
      </c>
    </row>
    <row r="32" spans="1:26" ht="14.4" x14ac:dyDescent="0.3">
      <c r="A32" s="22">
        <f>'Monthly Data'!A32</f>
        <v>40725</v>
      </c>
      <c r="B32" s="6">
        <f t="shared" si="2"/>
        <v>2011</v>
      </c>
      <c r="C32" s="20">
        <f ca="1">'Monthly Data'!N32</f>
        <v>15283419.080539763</v>
      </c>
      <c r="D32" s="20">
        <f>'Monthly Data'!P32</f>
        <v>227</v>
      </c>
      <c r="E32" s="6">
        <f t="shared" ca="1" si="3"/>
        <v>0.58000000000000007</v>
      </c>
      <c r="F32" s="6">
        <f t="shared" ca="1" si="3"/>
        <v>179.70999999999998</v>
      </c>
      <c r="G32" s="6">
        <f>'Monthly Data'!AJ32</f>
        <v>147.6</v>
      </c>
      <c r="H32" s="6">
        <f>'Monthly Data'!AN32</f>
        <v>31</v>
      </c>
      <c r="I32" s="6">
        <f>'Monthly Data'!AP32</f>
        <v>0</v>
      </c>
      <c r="J32" s="6">
        <f>'Monthly Data'!AV32</f>
        <v>0</v>
      </c>
      <c r="K32" s="6">
        <f>'Monthly Data'!AW32</f>
        <v>0</v>
      </c>
      <c r="L32" s="6">
        <f>'Monthly Data'!AY32</f>
        <v>0</v>
      </c>
      <c r="M32" s="6">
        <f>'Monthly Data'!BB32</f>
        <v>0</v>
      </c>
      <c r="O32" s="20">
        <f>'GS &gt; 50 OLS model'!$B$5</f>
        <v>-11694573.8944258</v>
      </c>
      <c r="P32" s="20">
        <f>'GS &gt; 50 OLS model'!$B$6*D32</f>
        <v>11504243.020343035</v>
      </c>
      <c r="Q32" s="20">
        <f ca="1">'GS &gt; 50 OLS model'!$B$7*E32</f>
        <v>1555.2558151075507</v>
      </c>
      <c r="R32" s="20">
        <f ca="1">'GS &gt; 50 OLS model'!$B$8*F32</f>
        <v>2656512.3887509522</v>
      </c>
      <c r="S32" s="20">
        <f>'GS &gt; 50 OLS model'!$B$9*G32</f>
        <v>12371686.678015994</v>
      </c>
      <c r="T32" s="20">
        <f>'GS &gt; 50 OLS model'!$B$10*H32</f>
        <v>398675.28871295281</v>
      </c>
      <c r="U32" s="20">
        <f>'GS &gt; 50 OLS model'!$B$11*I32</f>
        <v>0</v>
      </c>
      <c r="V32" s="20">
        <f>'GS &gt; 50 OLS model'!$B$12*J32</f>
        <v>0</v>
      </c>
      <c r="W32" s="20">
        <f>'GS &gt; 50 OLS model'!$B$13*K32</f>
        <v>0</v>
      </c>
      <c r="X32" s="20">
        <f>'GS &gt; 50 OLS model'!$B$14*L32</f>
        <v>0</v>
      </c>
      <c r="Y32" s="20">
        <f>'GS &gt; 50 OLS model'!$B$15*M32</f>
        <v>0</v>
      </c>
      <c r="Z32" s="20">
        <f t="shared" ca="1" si="1"/>
        <v>15238098.737212241</v>
      </c>
    </row>
    <row r="33" spans="1:26" ht="14.4" x14ac:dyDescent="0.3">
      <c r="A33" s="22">
        <f>'Monthly Data'!A33</f>
        <v>40756</v>
      </c>
      <c r="B33" s="6">
        <f t="shared" si="2"/>
        <v>2011</v>
      </c>
      <c r="C33" s="20">
        <f ca="1">'Monthly Data'!N33</f>
        <v>16123689.71845906</v>
      </c>
      <c r="D33" s="20">
        <f>'Monthly Data'!P33</f>
        <v>227</v>
      </c>
      <c r="E33" s="6">
        <f t="shared" ca="1" si="3"/>
        <v>1.7099999999999997</v>
      </c>
      <c r="F33" s="6">
        <f t="shared" ca="1" si="3"/>
        <v>158.1</v>
      </c>
      <c r="G33" s="6">
        <f>'Monthly Data'!AJ33</f>
        <v>148.69999999999999</v>
      </c>
      <c r="H33" s="6">
        <f>'Monthly Data'!AN33</f>
        <v>32</v>
      </c>
      <c r="I33" s="6">
        <f>'Monthly Data'!AP33</f>
        <v>0</v>
      </c>
      <c r="J33" s="6">
        <f>'Monthly Data'!AV33</f>
        <v>1</v>
      </c>
      <c r="K33" s="6">
        <f>'Monthly Data'!AW33</f>
        <v>0</v>
      </c>
      <c r="L33" s="6">
        <f>'Monthly Data'!AY33</f>
        <v>0</v>
      </c>
      <c r="M33" s="6">
        <f>'Monthly Data'!BB33</f>
        <v>0</v>
      </c>
      <c r="O33" s="20">
        <f>'GS &gt; 50 OLS model'!$B$5</f>
        <v>-11694573.8944258</v>
      </c>
      <c r="P33" s="20">
        <f>'GS &gt; 50 OLS model'!$B$6*D33</f>
        <v>11504243.020343035</v>
      </c>
      <c r="Q33" s="20">
        <f ca="1">'GS &gt; 50 OLS model'!$B$7*E33</f>
        <v>4585.3231790239843</v>
      </c>
      <c r="R33" s="20">
        <f ca="1">'GS &gt; 50 OLS model'!$B$8*F33</f>
        <v>2337068.6587364399</v>
      </c>
      <c r="S33" s="20">
        <f>'GS &gt; 50 OLS model'!$B$9*G33</f>
        <v>12463887.594993077</v>
      </c>
      <c r="T33" s="20">
        <f>'GS &gt; 50 OLS model'!$B$10*H33</f>
        <v>411535.7818972416</v>
      </c>
      <c r="U33" s="20">
        <f>'GS &gt; 50 OLS model'!$B$11*I33</f>
        <v>0</v>
      </c>
      <c r="V33" s="20">
        <f>'GS &gt; 50 OLS model'!$B$12*J33</f>
        <v>1257541.23571065</v>
      </c>
      <c r="W33" s="20">
        <f>'GS &gt; 50 OLS model'!$B$13*K33</f>
        <v>0</v>
      </c>
      <c r="X33" s="20">
        <f>'GS &gt; 50 OLS model'!$B$14*L33</f>
        <v>0</v>
      </c>
      <c r="Y33" s="20">
        <f>'GS &gt; 50 OLS model'!$B$15*M33</f>
        <v>0</v>
      </c>
      <c r="Z33" s="20">
        <f t="shared" ca="1" si="1"/>
        <v>16284287.720433669</v>
      </c>
    </row>
    <row r="34" spans="1:26" ht="14.4" x14ac:dyDescent="0.3">
      <c r="A34" s="22">
        <f>'Monthly Data'!A34</f>
        <v>40787</v>
      </c>
      <c r="B34" s="6">
        <f t="shared" si="2"/>
        <v>2011</v>
      </c>
      <c r="C34" s="20">
        <f ca="1">'Monthly Data'!N34</f>
        <v>15052993.327057259</v>
      </c>
      <c r="D34" s="20">
        <f>'Monthly Data'!P34</f>
        <v>226</v>
      </c>
      <c r="E34" s="6">
        <f t="shared" ca="1" si="3"/>
        <v>32.68</v>
      </c>
      <c r="F34" s="6">
        <f t="shared" ca="1" si="3"/>
        <v>67.34</v>
      </c>
      <c r="G34" s="6">
        <f>'Monthly Data'!AJ34</f>
        <v>148.1</v>
      </c>
      <c r="H34" s="6">
        <f>'Monthly Data'!AN34</f>
        <v>33</v>
      </c>
      <c r="I34" s="6">
        <f>'Monthly Data'!AP34</f>
        <v>0</v>
      </c>
      <c r="J34" s="6">
        <f>'Monthly Data'!AV34</f>
        <v>0</v>
      </c>
      <c r="K34" s="6">
        <f>'Monthly Data'!AW34</f>
        <v>1</v>
      </c>
      <c r="L34" s="6">
        <f>'Monthly Data'!AY34</f>
        <v>0</v>
      </c>
      <c r="M34" s="6">
        <f>'Monthly Data'!BB34</f>
        <v>0</v>
      </c>
      <c r="O34" s="20">
        <f>'GS &gt; 50 OLS model'!$B$5</f>
        <v>-11694573.8944258</v>
      </c>
      <c r="P34" s="20">
        <f>'GS &gt; 50 OLS model'!$B$6*D34</f>
        <v>11453563.535671921</v>
      </c>
      <c r="Q34" s="20">
        <f ca="1">'GS &gt; 50 OLS model'!$B$7*E34</f>
        <v>87630.620754680596</v>
      </c>
      <c r="R34" s="20">
        <f ca="1">'GS &gt; 50 OLS model'!$B$8*F34</f>
        <v>995434.55711139692</v>
      </c>
      <c r="S34" s="20">
        <f>'GS &gt; 50 OLS model'!$B$9*G34</f>
        <v>12413596.185732851</v>
      </c>
      <c r="T34" s="20">
        <f>'GS &gt; 50 OLS model'!$B$10*H34</f>
        <v>424396.27508153039</v>
      </c>
      <c r="U34" s="20">
        <f>'GS &gt; 50 OLS model'!$B$11*I34</f>
        <v>0</v>
      </c>
      <c r="V34" s="20">
        <f>'GS &gt; 50 OLS model'!$B$12*J34</f>
        <v>0</v>
      </c>
      <c r="W34" s="20">
        <f>'GS &gt; 50 OLS model'!$B$13*K34</f>
        <v>1979532.62008895</v>
      </c>
      <c r="X34" s="20">
        <f>'GS &gt; 50 OLS model'!$B$14*L34</f>
        <v>0</v>
      </c>
      <c r="Y34" s="20">
        <f>'GS &gt; 50 OLS model'!$B$15*M34</f>
        <v>0</v>
      </c>
      <c r="Z34" s="20">
        <f t="shared" ref="Z34:Z65" ca="1" si="4">SUM(O34:V34)</f>
        <v>13680047.279926579</v>
      </c>
    </row>
    <row r="35" spans="1:26" ht="14.4" x14ac:dyDescent="0.3">
      <c r="A35" s="22">
        <f>'Monthly Data'!A35</f>
        <v>40817</v>
      </c>
      <c r="B35" s="6">
        <f t="shared" si="2"/>
        <v>2011</v>
      </c>
      <c r="C35" s="20">
        <f ca="1">'Monthly Data'!N35</f>
        <v>14491842.224375563</v>
      </c>
      <c r="D35" s="20">
        <f>'Monthly Data'!P35</f>
        <v>222</v>
      </c>
      <c r="E35" s="6">
        <f t="shared" ca="1" si="3"/>
        <v>176.42</v>
      </c>
      <c r="F35" s="6">
        <f t="shared" ca="1" si="3"/>
        <v>10.18</v>
      </c>
      <c r="G35" s="6">
        <f>'Monthly Data'!AJ35</f>
        <v>149.1</v>
      </c>
      <c r="H35" s="6">
        <f>'Monthly Data'!AN35</f>
        <v>34</v>
      </c>
      <c r="I35" s="6">
        <f>'Monthly Data'!AP35</f>
        <v>0</v>
      </c>
      <c r="J35" s="6">
        <f>'Monthly Data'!AV35</f>
        <v>0</v>
      </c>
      <c r="K35" s="6">
        <f>'Monthly Data'!AW35</f>
        <v>0</v>
      </c>
      <c r="L35" s="6">
        <f>'Monthly Data'!AY35</f>
        <v>0</v>
      </c>
      <c r="M35" s="6">
        <f>'Monthly Data'!BB35</f>
        <v>1</v>
      </c>
      <c r="O35" s="20">
        <f>'GS &gt; 50 OLS model'!$B$5</f>
        <v>-11694573.8944258</v>
      </c>
      <c r="P35" s="20">
        <f>'GS &gt; 50 OLS model'!$B$6*D35</f>
        <v>11250845.596987464</v>
      </c>
      <c r="Q35" s="20">
        <f ca="1">'GS &gt; 50 OLS model'!$B$7*E35</f>
        <v>473065.91534702422</v>
      </c>
      <c r="R35" s="20">
        <f ca="1">'GS &gt; 50 OLS model'!$B$8*F35</f>
        <v>150482.97878517999</v>
      </c>
      <c r="S35" s="20">
        <f>'GS &gt; 50 OLS model'!$B$9*G35</f>
        <v>12497415.201166563</v>
      </c>
      <c r="T35" s="20">
        <f>'GS &gt; 50 OLS model'!$B$10*H35</f>
        <v>437256.76826581918</v>
      </c>
      <c r="U35" s="20">
        <f>'GS &gt; 50 OLS model'!$B$11*I35</f>
        <v>0</v>
      </c>
      <c r="V35" s="20">
        <f>'GS &gt; 50 OLS model'!$B$12*J35</f>
        <v>0</v>
      </c>
      <c r="W35" s="20">
        <f>'GS &gt; 50 OLS model'!$B$13*K35</f>
        <v>0</v>
      </c>
      <c r="X35" s="20">
        <f>'GS &gt; 50 OLS model'!$B$14*L35</f>
        <v>0</v>
      </c>
      <c r="Y35" s="20">
        <f>'GS &gt; 50 OLS model'!$B$15*M35</f>
        <v>671693.73401239095</v>
      </c>
      <c r="Z35" s="20">
        <f t="shared" ca="1" si="4"/>
        <v>13114492.56612625</v>
      </c>
    </row>
    <row r="36" spans="1:26" ht="14.4" x14ac:dyDescent="0.3">
      <c r="A36" s="22">
        <f>'Monthly Data'!A36</f>
        <v>40848</v>
      </c>
      <c r="B36" s="6">
        <f t="shared" si="2"/>
        <v>2011</v>
      </c>
      <c r="C36" s="20">
        <f ca="1">'Monthly Data'!N36</f>
        <v>14078651.005573262</v>
      </c>
      <c r="D36" s="20">
        <f>'Monthly Data'!P36</f>
        <v>217</v>
      </c>
      <c r="E36" s="6">
        <f t="shared" ca="1" si="3"/>
        <v>364.2299999999999</v>
      </c>
      <c r="F36" s="6">
        <f t="shared" ca="1" si="3"/>
        <v>0.05</v>
      </c>
      <c r="G36" s="6">
        <f>'Monthly Data'!AJ36</f>
        <v>150.80000000000001</v>
      </c>
      <c r="H36" s="6">
        <f>'Monthly Data'!AN36</f>
        <v>35</v>
      </c>
      <c r="I36" s="6">
        <f>'Monthly Data'!AP36</f>
        <v>0</v>
      </c>
      <c r="J36" s="6">
        <f>'Monthly Data'!AV36</f>
        <v>0</v>
      </c>
      <c r="K36" s="6">
        <f>'Monthly Data'!AW36</f>
        <v>0</v>
      </c>
      <c r="L36" s="6">
        <f>'Monthly Data'!AY36</f>
        <v>1</v>
      </c>
      <c r="M36" s="6">
        <f>'Monthly Data'!BB36</f>
        <v>1</v>
      </c>
      <c r="O36" s="20">
        <f>'GS &gt; 50 OLS model'!$B$5</f>
        <v>-11694573.8944258</v>
      </c>
      <c r="P36" s="20">
        <f>'GS &gt; 50 OLS model'!$B$6*D36</f>
        <v>10997448.17363189</v>
      </c>
      <c r="Q36" s="20">
        <f ca="1">'GS &gt; 50 OLS model'!$B$7*E36</f>
        <v>976673.83713210851</v>
      </c>
      <c r="R36" s="20">
        <f ca="1">'GS &gt; 50 OLS model'!$B$8*F36</f>
        <v>739.11089776611004</v>
      </c>
      <c r="S36" s="20">
        <f>'GS &gt; 50 OLS model'!$B$9*G36</f>
        <v>12639907.527403876</v>
      </c>
      <c r="T36" s="20">
        <f>'GS &gt; 50 OLS model'!$B$10*H36</f>
        <v>450117.26145010802</v>
      </c>
      <c r="U36" s="20">
        <f>'GS &gt; 50 OLS model'!$B$11*I36</f>
        <v>0</v>
      </c>
      <c r="V36" s="20">
        <f>'GS &gt; 50 OLS model'!$B$12*J36</f>
        <v>0</v>
      </c>
      <c r="W36" s="20">
        <f>'GS &gt; 50 OLS model'!$B$13*K36</f>
        <v>0</v>
      </c>
      <c r="X36" s="20">
        <f>'GS &gt; 50 OLS model'!$B$14*L36</f>
        <v>1466841.9423256</v>
      </c>
      <c r="Y36" s="20">
        <f>'GS &gt; 50 OLS model'!$B$15*M36</f>
        <v>671693.73401239095</v>
      </c>
      <c r="Z36" s="20">
        <f t="shared" ca="1" si="4"/>
        <v>13370312.016089948</v>
      </c>
    </row>
    <row r="37" spans="1:26" ht="14.4" x14ac:dyDescent="0.3">
      <c r="A37" s="22">
        <f>'Monthly Data'!A37</f>
        <v>40878</v>
      </c>
      <c r="B37" s="6">
        <f t="shared" si="2"/>
        <v>2011</v>
      </c>
      <c r="C37" s="20">
        <f ca="1">'Monthly Data'!N37</f>
        <v>12838425.441282462</v>
      </c>
      <c r="D37" s="20">
        <f>'Monthly Data'!P37</f>
        <v>220</v>
      </c>
      <c r="E37" s="6">
        <f t="shared" ca="1" si="3"/>
        <v>552.31000000000006</v>
      </c>
      <c r="F37" s="6">
        <f t="shared" ca="1" si="3"/>
        <v>0</v>
      </c>
      <c r="G37" s="6">
        <f>'Monthly Data'!AJ37</f>
        <v>152.1</v>
      </c>
      <c r="H37" s="6">
        <f>'Monthly Data'!AN37</f>
        <v>36</v>
      </c>
      <c r="I37" s="6">
        <f>'Monthly Data'!AP37</f>
        <v>0</v>
      </c>
      <c r="J37" s="6">
        <f>'Monthly Data'!AV37</f>
        <v>0</v>
      </c>
      <c r="K37" s="6">
        <f>'Monthly Data'!AW37</f>
        <v>0</v>
      </c>
      <c r="L37" s="6">
        <f>'Monthly Data'!AY37</f>
        <v>0</v>
      </c>
      <c r="M37" s="6">
        <f>'Monthly Data'!BB37</f>
        <v>0</v>
      </c>
      <c r="O37" s="20">
        <f>'GS &gt; 50 OLS model'!$B$5</f>
        <v>-11694573.8944258</v>
      </c>
      <c r="P37" s="20">
        <f>'GS &gt; 50 OLS model'!$B$6*D37</f>
        <v>11149486.627645234</v>
      </c>
      <c r="Q37" s="20">
        <f ca="1">'GS &gt; 50 OLS model'!$B$7*E37</f>
        <v>1481005.7573138815</v>
      </c>
      <c r="R37" s="20">
        <f ca="1">'GS &gt; 50 OLS model'!$B$8*F37</f>
        <v>0</v>
      </c>
      <c r="S37" s="20">
        <f>'GS &gt; 50 OLS model'!$B$9*G37</f>
        <v>12748872.247467702</v>
      </c>
      <c r="T37" s="20">
        <f>'GS &gt; 50 OLS model'!$B$10*H37</f>
        <v>462977.75463439681</v>
      </c>
      <c r="U37" s="20">
        <f>'GS &gt; 50 OLS model'!$B$11*I37</f>
        <v>0</v>
      </c>
      <c r="V37" s="20">
        <f>'GS &gt; 50 OLS model'!$B$12*J37</f>
        <v>0</v>
      </c>
      <c r="W37" s="20">
        <f>'GS &gt; 50 OLS model'!$B$13*K37</f>
        <v>0</v>
      </c>
      <c r="X37" s="20">
        <f>'GS &gt; 50 OLS model'!$B$14*L37</f>
        <v>0</v>
      </c>
      <c r="Y37" s="20">
        <f>'GS &gt; 50 OLS model'!$B$15*M37</f>
        <v>0</v>
      </c>
      <c r="Z37" s="20">
        <f t="shared" ca="1" si="4"/>
        <v>14147768.492635414</v>
      </c>
    </row>
    <row r="38" spans="1:26" ht="14.4" x14ac:dyDescent="0.3">
      <c r="A38" s="22">
        <f>'Monthly Data'!A38</f>
        <v>40909</v>
      </c>
      <c r="B38" s="6">
        <f t="shared" si="2"/>
        <v>2012</v>
      </c>
      <c r="C38" s="20">
        <f ca="1">'Monthly Data'!N38</f>
        <v>13787865.393137159</v>
      </c>
      <c r="D38" s="20">
        <f>'Monthly Data'!P38</f>
        <v>218</v>
      </c>
      <c r="E38" s="6">
        <f t="shared" ca="1" si="3"/>
        <v>661.18999999999994</v>
      </c>
      <c r="F38" s="6">
        <f t="shared" ca="1" si="3"/>
        <v>0</v>
      </c>
      <c r="G38" s="6">
        <f>'Monthly Data'!AJ38</f>
        <v>149.5</v>
      </c>
      <c r="H38" s="6">
        <f>'Monthly Data'!AN38</f>
        <v>37</v>
      </c>
      <c r="I38" s="6">
        <f>'Monthly Data'!AP38</f>
        <v>0</v>
      </c>
      <c r="J38" s="6">
        <f>'Monthly Data'!AV38</f>
        <v>0</v>
      </c>
      <c r="K38" s="6">
        <f>'Monthly Data'!AW38</f>
        <v>0</v>
      </c>
      <c r="L38" s="6">
        <f>'Monthly Data'!AY38</f>
        <v>0</v>
      </c>
      <c r="M38" s="6">
        <f>'Monthly Data'!BB38</f>
        <v>0</v>
      </c>
      <c r="O38" s="20">
        <f>'GS &gt; 50 OLS model'!$B$5</f>
        <v>-11694573.8944258</v>
      </c>
      <c r="P38" s="20">
        <f>'GS &gt; 50 OLS model'!$B$6*D38</f>
        <v>11048127.658303004</v>
      </c>
      <c r="Q38" s="20">
        <f ca="1">'GS &gt; 50 OLS model'!$B$7*E38</f>
        <v>1772964.8144671745</v>
      </c>
      <c r="R38" s="20">
        <f ca="1">'GS &gt; 50 OLS model'!$B$8*F38</f>
        <v>0</v>
      </c>
      <c r="S38" s="20">
        <f>'GS &gt; 50 OLS model'!$B$9*G38</f>
        <v>12530942.807340048</v>
      </c>
      <c r="T38" s="20">
        <f>'GS &gt; 50 OLS model'!$B$10*H38</f>
        <v>475838.2478186856</v>
      </c>
      <c r="U38" s="20">
        <f>'GS &gt; 50 OLS model'!$B$11*I38</f>
        <v>0</v>
      </c>
      <c r="V38" s="20">
        <f>'GS &gt; 50 OLS model'!$B$12*J38</f>
        <v>0</v>
      </c>
      <c r="W38" s="20">
        <f>'GS &gt; 50 OLS model'!$B$13*K38</f>
        <v>0</v>
      </c>
      <c r="X38" s="20">
        <f>'GS &gt; 50 OLS model'!$B$14*L38</f>
        <v>0</v>
      </c>
      <c r="Y38" s="20">
        <f>'GS &gt; 50 OLS model'!$B$15*M38</f>
        <v>0</v>
      </c>
      <c r="Z38" s="20">
        <f t="shared" ca="1" si="4"/>
        <v>14133299.633503113</v>
      </c>
    </row>
    <row r="39" spans="1:26" ht="14.4" x14ac:dyDescent="0.3">
      <c r="A39" s="22">
        <f>'Monthly Data'!A39</f>
        <v>40940</v>
      </c>
      <c r="B39" s="6">
        <f t="shared" si="2"/>
        <v>2012</v>
      </c>
      <c r="C39" s="20">
        <f ca="1">'Monthly Data'!N39</f>
        <v>12675359.092876958</v>
      </c>
      <c r="D39" s="20">
        <f>'Monthly Data'!P39</f>
        <v>219</v>
      </c>
      <c r="E39" s="6">
        <f t="shared" ca="1" si="3"/>
        <v>598.16999999999985</v>
      </c>
      <c r="F39" s="6">
        <f t="shared" ca="1" si="3"/>
        <v>0</v>
      </c>
      <c r="G39" s="6">
        <f>'Monthly Data'!AJ39</f>
        <v>148.4</v>
      </c>
      <c r="H39" s="6">
        <f>'Monthly Data'!AN39</f>
        <v>38</v>
      </c>
      <c r="I39" s="6">
        <f>'Monthly Data'!AP39</f>
        <v>1</v>
      </c>
      <c r="J39" s="6">
        <f>'Monthly Data'!AV39</f>
        <v>0</v>
      </c>
      <c r="K39" s="6">
        <f>'Monthly Data'!AW39</f>
        <v>0</v>
      </c>
      <c r="L39" s="6">
        <f>'Monthly Data'!AY39</f>
        <v>0</v>
      </c>
      <c r="M39" s="6">
        <f>'Monthly Data'!BB39</f>
        <v>0</v>
      </c>
      <c r="O39" s="20">
        <f>'GS &gt; 50 OLS model'!$B$5</f>
        <v>-11694573.8944258</v>
      </c>
      <c r="P39" s="20">
        <f>'GS &gt; 50 OLS model'!$B$6*D39</f>
        <v>11098807.142974118</v>
      </c>
      <c r="Q39" s="20">
        <f ca="1">'GS &gt; 50 OLS model'!$B$7*E39</f>
        <v>1603978.225729109</v>
      </c>
      <c r="R39" s="20">
        <f ca="1">'GS &gt; 50 OLS model'!$B$8*F39</f>
        <v>0</v>
      </c>
      <c r="S39" s="20">
        <f>'GS &gt; 50 OLS model'!$B$9*G39</f>
        <v>12438741.890362965</v>
      </c>
      <c r="T39" s="20">
        <f>'GS &gt; 50 OLS model'!$B$10*H39</f>
        <v>488698.74100297439</v>
      </c>
      <c r="U39" s="20">
        <f>'GS &gt; 50 OLS model'!$B$11*I39</f>
        <v>-797686.81375559501</v>
      </c>
      <c r="V39" s="20">
        <f>'GS &gt; 50 OLS model'!$B$12*J39</f>
        <v>0</v>
      </c>
      <c r="W39" s="20">
        <f>'GS &gt; 50 OLS model'!$B$13*K39</f>
        <v>0</v>
      </c>
      <c r="X39" s="20">
        <f>'GS &gt; 50 OLS model'!$B$14*L39</f>
        <v>0</v>
      </c>
      <c r="Y39" s="20">
        <f>'GS &gt; 50 OLS model'!$B$15*M39</f>
        <v>0</v>
      </c>
      <c r="Z39" s="20">
        <f t="shared" ca="1" si="4"/>
        <v>13137965.291887773</v>
      </c>
    </row>
    <row r="40" spans="1:26" ht="14.4" x14ac:dyDescent="0.3">
      <c r="A40" s="22">
        <f>'Monthly Data'!A40</f>
        <v>40969</v>
      </c>
      <c r="B40" s="6">
        <f t="shared" si="2"/>
        <v>2012</v>
      </c>
      <c r="C40" s="20">
        <f ca="1">'Monthly Data'!N40</f>
        <v>12781827.774171758</v>
      </c>
      <c r="D40" s="20">
        <f>'Monthly Data'!P40</f>
        <v>208</v>
      </c>
      <c r="E40" s="6">
        <f t="shared" ca="1" si="3"/>
        <v>451.34</v>
      </c>
      <c r="F40" s="6">
        <f t="shared" ca="1" si="3"/>
        <v>0.88000000000000012</v>
      </c>
      <c r="G40" s="6">
        <f>'Monthly Data'!AJ40</f>
        <v>148.5</v>
      </c>
      <c r="H40" s="6">
        <f>'Monthly Data'!AN40</f>
        <v>39</v>
      </c>
      <c r="I40" s="6">
        <f>'Monthly Data'!AP40</f>
        <v>0</v>
      </c>
      <c r="J40" s="6">
        <f>'Monthly Data'!AV40</f>
        <v>0</v>
      </c>
      <c r="K40" s="6">
        <f>'Monthly Data'!AW40</f>
        <v>0</v>
      </c>
      <c r="L40" s="6">
        <f>'Monthly Data'!AY40</f>
        <v>0</v>
      </c>
      <c r="M40" s="6">
        <f>'Monthly Data'!BB40</f>
        <v>0</v>
      </c>
      <c r="O40" s="20">
        <f>'GS &gt; 50 OLS model'!$B$5</f>
        <v>-11694573.8944258</v>
      </c>
      <c r="P40" s="20">
        <f>'GS &gt; 50 OLS model'!$B$6*D40</f>
        <v>10541332.811591856</v>
      </c>
      <c r="Q40" s="20">
        <f ca="1">'GS &gt; 50 OLS model'!$B$7*E40</f>
        <v>1210257.1717080032</v>
      </c>
      <c r="R40" s="20">
        <f ca="1">'GS &gt; 50 OLS model'!$B$8*F40</f>
        <v>13008.351800683537</v>
      </c>
      <c r="S40" s="20">
        <f>'GS &gt; 50 OLS model'!$B$9*G40</f>
        <v>12447123.791906336</v>
      </c>
      <c r="T40" s="20">
        <f>'GS &gt; 50 OLS model'!$B$10*H40</f>
        <v>501559.23418726318</v>
      </c>
      <c r="U40" s="20">
        <f>'GS &gt; 50 OLS model'!$B$11*I40</f>
        <v>0</v>
      </c>
      <c r="V40" s="20">
        <f>'GS &gt; 50 OLS model'!$B$12*J40</f>
        <v>0</v>
      </c>
      <c r="W40" s="20">
        <f>'GS &gt; 50 OLS model'!$B$13*K40</f>
        <v>0</v>
      </c>
      <c r="X40" s="20">
        <f>'GS &gt; 50 OLS model'!$B$14*L40</f>
        <v>0</v>
      </c>
      <c r="Y40" s="20">
        <f>'GS &gt; 50 OLS model'!$B$15*M40</f>
        <v>0</v>
      </c>
      <c r="Z40" s="20">
        <f t="shared" ca="1" si="4"/>
        <v>13018707.466768343</v>
      </c>
    </row>
    <row r="41" spans="1:26" ht="14.4" x14ac:dyDescent="0.3">
      <c r="A41" s="22">
        <f>'Monthly Data'!A41</f>
        <v>41000</v>
      </c>
      <c r="B41" s="6">
        <f t="shared" si="2"/>
        <v>2012</v>
      </c>
      <c r="C41" s="20">
        <f ca="1">'Monthly Data'!N41</f>
        <v>11400354.174002958</v>
      </c>
      <c r="D41" s="20">
        <f>'Monthly Data'!P41</f>
        <v>206</v>
      </c>
      <c r="E41" s="6">
        <f t="shared" ca="1" si="3"/>
        <v>259.5499999999999</v>
      </c>
      <c r="F41" s="6">
        <f t="shared" ca="1" si="3"/>
        <v>2.4500000000000002</v>
      </c>
      <c r="G41" s="6">
        <f>'Monthly Data'!AJ41</f>
        <v>150.6</v>
      </c>
      <c r="H41" s="6">
        <f>'Monthly Data'!AN41</f>
        <v>40</v>
      </c>
      <c r="I41" s="6">
        <f>'Monthly Data'!AP41</f>
        <v>0</v>
      </c>
      <c r="J41" s="6">
        <f>'Monthly Data'!AV41</f>
        <v>0</v>
      </c>
      <c r="K41" s="6">
        <f>'Monthly Data'!AW41</f>
        <v>0</v>
      </c>
      <c r="L41" s="6">
        <f>'Monthly Data'!AY41</f>
        <v>0</v>
      </c>
      <c r="M41" s="6">
        <f>'Monthly Data'!BB41</f>
        <v>0</v>
      </c>
      <c r="O41" s="20">
        <f>'GS &gt; 50 OLS model'!$B$5</f>
        <v>-11694573.8944258</v>
      </c>
      <c r="P41" s="20">
        <f>'GS &gt; 50 OLS model'!$B$6*D41</f>
        <v>10439973.842249628</v>
      </c>
      <c r="Q41" s="20">
        <f ca="1">'GS &gt; 50 OLS model'!$B$7*E41</f>
        <v>695976.9772606286</v>
      </c>
      <c r="R41" s="20">
        <f ca="1">'GS &gt; 50 OLS model'!$B$8*F41</f>
        <v>36216.433990539394</v>
      </c>
      <c r="S41" s="20">
        <f>'GS &gt; 50 OLS model'!$B$9*G41</f>
        <v>12623143.724317133</v>
      </c>
      <c r="T41" s="20">
        <f>'GS &gt; 50 OLS model'!$B$10*H41</f>
        <v>514419.72737155203</v>
      </c>
      <c r="U41" s="20">
        <f>'GS &gt; 50 OLS model'!$B$11*I41</f>
        <v>0</v>
      </c>
      <c r="V41" s="20">
        <f>'GS &gt; 50 OLS model'!$B$12*J41</f>
        <v>0</v>
      </c>
      <c r="W41" s="20">
        <f>'GS &gt; 50 OLS model'!$B$13*K41</f>
        <v>0</v>
      </c>
      <c r="X41" s="20">
        <f>'GS &gt; 50 OLS model'!$B$14*L41</f>
        <v>0</v>
      </c>
      <c r="Y41" s="20">
        <f>'GS &gt; 50 OLS model'!$B$15*M41</f>
        <v>0</v>
      </c>
      <c r="Z41" s="20">
        <f t="shared" ca="1" si="4"/>
        <v>12615156.810763683</v>
      </c>
    </row>
    <row r="42" spans="1:26" ht="14.4" x14ac:dyDescent="0.3">
      <c r="A42" s="22">
        <f>'Monthly Data'!A42</f>
        <v>41030</v>
      </c>
      <c r="B42" s="6">
        <f t="shared" si="2"/>
        <v>2012</v>
      </c>
      <c r="C42" s="20">
        <f ca="1">'Monthly Data'!N42</f>
        <v>12880130.856031761</v>
      </c>
      <c r="D42" s="20">
        <f>'Monthly Data'!P42</f>
        <v>208</v>
      </c>
      <c r="E42" s="6">
        <f t="shared" ca="1" si="3"/>
        <v>88.880000000000024</v>
      </c>
      <c r="F42" s="6">
        <f t="shared" ca="1" si="3"/>
        <v>43.79999999999999</v>
      </c>
      <c r="G42" s="6">
        <f>'Monthly Data'!AJ42</f>
        <v>151.1</v>
      </c>
      <c r="H42" s="6">
        <f>'Monthly Data'!AN42</f>
        <v>41</v>
      </c>
      <c r="I42" s="6">
        <f>'Monthly Data'!AP42</f>
        <v>0</v>
      </c>
      <c r="J42" s="6">
        <f>'Monthly Data'!AV42</f>
        <v>0</v>
      </c>
      <c r="K42" s="6">
        <f>'Monthly Data'!AW42</f>
        <v>0</v>
      </c>
      <c r="L42" s="6">
        <f>'Monthly Data'!AY42</f>
        <v>0</v>
      </c>
      <c r="M42" s="6">
        <f>'Monthly Data'!BB42</f>
        <v>0</v>
      </c>
      <c r="O42" s="20">
        <f>'GS &gt; 50 OLS model'!$B$5</f>
        <v>-11694573.8944258</v>
      </c>
      <c r="P42" s="20">
        <f>'GS &gt; 50 OLS model'!$B$6*D42</f>
        <v>10541332.811591856</v>
      </c>
      <c r="Q42" s="20">
        <f ca="1">'GS &gt; 50 OLS model'!$B$7*E42</f>
        <v>238329.54628751572</v>
      </c>
      <c r="R42" s="20">
        <f ca="1">'GS &gt; 50 OLS model'!$B$8*F42</f>
        <v>647461.14644311217</v>
      </c>
      <c r="S42" s="20">
        <f>'GS &gt; 50 OLS model'!$B$9*G42</f>
        <v>12665053.232033988</v>
      </c>
      <c r="T42" s="20">
        <f>'GS &gt; 50 OLS model'!$B$10*H42</f>
        <v>527280.22055584076</v>
      </c>
      <c r="U42" s="20">
        <f>'GS &gt; 50 OLS model'!$B$11*I42</f>
        <v>0</v>
      </c>
      <c r="V42" s="20">
        <f>'GS &gt; 50 OLS model'!$B$12*J42</f>
        <v>0</v>
      </c>
      <c r="W42" s="20">
        <f>'GS &gt; 50 OLS model'!$B$13*K42</f>
        <v>0</v>
      </c>
      <c r="X42" s="20">
        <f>'GS &gt; 50 OLS model'!$B$14*L42</f>
        <v>0</v>
      </c>
      <c r="Y42" s="20">
        <f>'GS &gt; 50 OLS model'!$B$15*M42</f>
        <v>0</v>
      </c>
      <c r="Z42" s="20">
        <f t="shared" ca="1" si="4"/>
        <v>12924883.062486513</v>
      </c>
    </row>
    <row r="43" spans="1:26" ht="14.4" x14ac:dyDescent="0.3">
      <c r="A43" s="22">
        <f>'Monthly Data'!A43</f>
        <v>41061</v>
      </c>
      <c r="B43" s="6">
        <f t="shared" si="2"/>
        <v>2012</v>
      </c>
      <c r="C43" s="20">
        <f ca="1">'Monthly Data'!N43</f>
        <v>14743265.379287858</v>
      </c>
      <c r="D43" s="20">
        <f>'Monthly Data'!P43</f>
        <v>206</v>
      </c>
      <c r="E43" s="6">
        <f t="shared" ca="1" si="3"/>
        <v>9.77</v>
      </c>
      <c r="F43" s="6">
        <f t="shared" ca="1" si="3"/>
        <v>117.38999999999999</v>
      </c>
      <c r="G43" s="6">
        <f>'Monthly Data'!AJ43</f>
        <v>152.19999999999999</v>
      </c>
      <c r="H43" s="6">
        <f>'Monthly Data'!AN43</f>
        <v>42</v>
      </c>
      <c r="I43" s="6">
        <f>'Monthly Data'!AP43</f>
        <v>0</v>
      </c>
      <c r="J43" s="6">
        <f>'Monthly Data'!AV43</f>
        <v>0</v>
      </c>
      <c r="K43" s="6">
        <f>'Monthly Data'!AW43</f>
        <v>0</v>
      </c>
      <c r="L43" s="6">
        <f>'Monthly Data'!AY43</f>
        <v>0</v>
      </c>
      <c r="M43" s="6">
        <f>'Monthly Data'!BB43</f>
        <v>0</v>
      </c>
      <c r="O43" s="20">
        <f>'GS &gt; 50 OLS model'!$B$5</f>
        <v>-11694573.8944258</v>
      </c>
      <c r="P43" s="20">
        <f>'GS &gt; 50 OLS model'!$B$6*D43</f>
        <v>10439973.842249628</v>
      </c>
      <c r="Q43" s="20">
        <f ca="1">'GS &gt; 50 OLS model'!$B$7*E43</f>
        <v>26198.016057932356</v>
      </c>
      <c r="R43" s="20">
        <f ca="1">'GS &gt; 50 OLS model'!$B$8*F43</f>
        <v>1735284.5657752729</v>
      </c>
      <c r="S43" s="20">
        <f>'GS &gt; 50 OLS model'!$B$9*G43</f>
        <v>12757254.149011072</v>
      </c>
      <c r="T43" s="20">
        <f>'GS &gt; 50 OLS model'!$B$10*H43</f>
        <v>540140.71374012961</v>
      </c>
      <c r="U43" s="20">
        <f>'GS &gt; 50 OLS model'!$B$11*I43</f>
        <v>0</v>
      </c>
      <c r="V43" s="20">
        <f>'GS &gt; 50 OLS model'!$B$12*J43</f>
        <v>0</v>
      </c>
      <c r="W43" s="20">
        <f>'GS &gt; 50 OLS model'!$B$13*K43</f>
        <v>0</v>
      </c>
      <c r="X43" s="20">
        <f>'GS &gt; 50 OLS model'!$B$14*L43</f>
        <v>0</v>
      </c>
      <c r="Y43" s="20">
        <f>'GS &gt; 50 OLS model'!$B$15*M43</f>
        <v>0</v>
      </c>
      <c r="Z43" s="20">
        <f t="shared" ca="1" si="4"/>
        <v>13804277.392408233</v>
      </c>
    </row>
    <row r="44" spans="1:26" ht="14.4" x14ac:dyDescent="0.3">
      <c r="A44" s="22">
        <f>'Monthly Data'!A44</f>
        <v>41091</v>
      </c>
      <c r="B44" s="6">
        <f t="shared" si="2"/>
        <v>2012</v>
      </c>
      <c r="C44" s="20">
        <f ca="1">'Monthly Data'!N44</f>
        <v>14959296.897546859</v>
      </c>
      <c r="D44" s="20">
        <f>'Monthly Data'!P44</f>
        <v>208</v>
      </c>
      <c r="E44" s="6">
        <f t="shared" ca="1" si="3"/>
        <v>0.58000000000000007</v>
      </c>
      <c r="F44" s="6">
        <f t="shared" ca="1" si="3"/>
        <v>179.70999999999998</v>
      </c>
      <c r="G44" s="6">
        <f>'Monthly Data'!AJ44</f>
        <v>153.4</v>
      </c>
      <c r="H44" s="6">
        <f>'Monthly Data'!AN44</f>
        <v>43</v>
      </c>
      <c r="I44" s="6">
        <f>'Monthly Data'!AP44</f>
        <v>0</v>
      </c>
      <c r="J44" s="6">
        <f>'Monthly Data'!AV44</f>
        <v>0</v>
      </c>
      <c r="K44" s="6">
        <f>'Monthly Data'!AW44</f>
        <v>0</v>
      </c>
      <c r="L44" s="6">
        <f>'Monthly Data'!AY44</f>
        <v>0</v>
      </c>
      <c r="M44" s="6">
        <f>'Monthly Data'!BB44</f>
        <v>0</v>
      </c>
      <c r="O44" s="20">
        <f>'GS &gt; 50 OLS model'!$B$5</f>
        <v>-11694573.8944258</v>
      </c>
      <c r="P44" s="20">
        <f>'GS &gt; 50 OLS model'!$B$6*D44</f>
        <v>10541332.811591856</v>
      </c>
      <c r="Q44" s="20">
        <f ca="1">'GS &gt; 50 OLS model'!$B$7*E44</f>
        <v>1555.2558151075507</v>
      </c>
      <c r="R44" s="20">
        <f ca="1">'GS &gt; 50 OLS model'!$B$8*F44</f>
        <v>2656512.3887509522</v>
      </c>
      <c r="S44" s="20">
        <f>'GS &gt; 50 OLS model'!$B$9*G44</f>
        <v>12857836.967531528</v>
      </c>
      <c r="T44" s="20">
        <f>'GS &gt; 50 OLS model'!$B$10*H44</f>
        <v>553001.20692441845</v>
      </c>
      <c r="U44" s="20">
        <f>'GS &gt; 50 OLS model'!$B$11*I44</f>
        <v>0</v>
      </c>
      <c r="V44" s="20">
        <f>'GS &gt; 50 OLS model'!$B$12*J44</f>
        <v>0</v>
      </c>
      <c r="W44" s="20">
        <f>'GS &gt; 50 OLS model'!$B$13*K44</f>
        <v>0</v>
      </c>
      <c r="X44" s="20">
        <f>'GS &gt; 50 OLS model'!$B$14*L44</f>
        <v>0</v>
      </c>
      <c r="Y44" s="20">
        <f>'GS &gt; 50 OLS model'!$B$15*M44</f>
        <v>0</v>
      </c>
      <c r="Z44" s="20">
        <f t="shared" ca="1" si="4"/>
        <v>14915664.736188062</v>
      </c>
    </row>
    <row r="45" spans="1:26" ht="14.4" x14ac:dyDescent="0.3">
      <c r="A45" s="22">
        <f>'Monthly Data'!A45</f>
        <v>41122</v>
      </c>
      <c r="B45" s="6">
        <f t="shared" si="2"/>
        <v>2012</v>
      </c>
      <c r="C45" s="20">
        <f ca="1">'Monthly Data'!N45</f>
        <v>15427464.10820546</v>
      </c>
      <c r="D45" s="20">
        <f>'Monthly Data'!P45</f>
        <v>207</v>
      </c>
      <c r="E45" s="6">
        <f t="shared" ca="1" si="3"/>
        <v>1.7099999999999997</v>
      </c>
      <c r="F45" s="6">
        <f t="shared" ca="1" si="3"/>
        <v>158.1</v>
      </c>
      <c r="G45" s="6">
        <f>'Monthly Data'!AJ45</f>
        <v>155</v>
      </c>
      <c r="H45" s="6">
        <f>'Monthly Data'!AN45</f>
        <v>44</v>
      </c>
      <c r="I45" s="6">
        <f>'Monthly Data'!AP45</f>
        <v>0</v>
      </c>
      <c r="J45" s="6">
        <f>'Monthly Data'!AV45</f>
        <v>1</v>
      </c>
      <c r="K45" s="6">
        <f>'Monthly Data'!AW45</f>
        <v>0</v>
      </c>
      <c r="L45" s="6">
        <f>'Monthly Data'!AY45</f>
        <v>0</v>
      </c>
      <c r="M45" s="6">
        <f>'Monthly Data'!BB45</f>
        <v>0</v>
      </c>
      <c r="O45" s="20">
        <f>'GS &gt; 50 OLS model'!$B$5</f>
        <v>-11694573.8944258</v>
      </c>
      <c r="P45" s="20">
        <f>'GS &gt; 50 OLS model'!$B$6*D45</f>
        <v>10490653.326920742</v>
      </c>
      <c r="Q45" s="20">
        <f ca="1">'GS &gt; 50 OLS model'!$B$7*E45</f>
        <v>4585.3231790239843</v>
      </c>
      <c r="R45" s="20">
        <f ca="1">'GS &gt; 50 OLS model'!$B$8*F45</f>
        <v>2337068.6587364399</v>
      </c>
      <c r="S45" s="20">
        <f>'GS &gt; 50 OLS model'!$B$9*G45</f>
        <v>12991947.392225469</v>
      </c>
      <c r="T45" s="20">
        <f>'GS &gt; 50 OLS model'!$B$10*H45</f>
        <v>565861.70010870718</v>
      </c>
      <c r="U45" s="20">
        <f>'GS &gt; 50 OLS model'!$B$11*I45</f>
        <v>0</v>
      </c>
      <c r="V45" s="20">
        <f>'GS &gt; 50 OLS model'!$B$12*J45</f>
        <v>1257541.23571065</v>
      </c>
      <c r="W45" s="20">
        <f>'GS &gt; 50 OLS model'!$B$13*K45</f>
        <v>0</v>
      </c>
      <c r="X45" s="20">
        <f>'GS &gt; 50 OLS model'!$B$14*L45</f>
        <v>0</v>
      </c>
      <c r="Y45" s="20">
        <f>'GS &gt; 50 OLS model'!$B$15*M45</f>
        <v>0</v>
      </c>
      <c r="Z45" s="20">
        <f t="shared" ca="1" si="4"/>
        <v>15953083.742455233</v>
      </c>
    </row>
    <row r="46" spans="1:26" ht="14.4" x14ac:dyDescent="0.3">
      <c r="A46" s="22">
        <f>'Monthly Data'!A46</f>
        <v>41153</v>
      </c>
      <c r="B46" s="6">
        <f t="shared" si="2"/>
        <v>2012</v>
      </c>
      <c r="C46" s="20">
        <f ca="1">'Monthly Data'!N46</f>
        <v>13989318.161179857</v>
      </c>
      <c r="D46" s="20">
        <f>'Monthly Data'!P46</f>
        <v>205</v>
      </c>
      <c r="E46" s="6">
        <f t="shared" ca="1" si="3"/>
        <v>32.68</v>
      </c>
      <c r="F46" s="6">
        <f t="shared" ca="1" si="3"/>
        <v>67.34</v>
      </c>
      <c r="G46" s="6">
        <f>'Monthly Data'!AJ46</f>
        <v>156.9</v>
      </c>
      <c r="H46" s="6">
        <f>'Monthly Data'!AN46</f>
        <v>45</v>
      </c>
      <c r="I46" s="6">
        <f>'Monthly Data'!AP46</f>
        <v>0</v>
      </c>
      <c r="J46" s="6">
        <f>'Monthly Data'!AV46</f>
        <v>0</v>
      </c>
      <c r="K46" s="6">
        <f>'Monthly Data'!AW46</f>
        <v>1</v>
      </c>
      <c r="L46" s="6">
        <f>'Monthly Data'!AY46</f>
        <v>0</v>
      </c>
      <c r="M46" s="6">
        <f>'Monthly Data'!BB46</f>
        <v>0</v>
      </c>
      <c r="O46" s="20">
        <f>'GS &gt; 50 OLS model'!$B$5</f>
        <v>-11694573.8944258</v>
      </c>
      <c r="P46" s="20">
        <f>'GS &gt; 50 OLS model'!$B$6*D46</f>
        <v>10389294.357578512</v>
      </c>
      <c r="Q46" s="20">
        <f ca="1">'GS &gt; 50 OLS model'!$B$7*E46</f>
        <v>87630.620754680596</v>
      </c>
      <c r="R46" s="20">
        <f ca="1">'GS &gt; 50 OLS model'!$B$8*F46</f>
        <v>995434.55711139692</v>
      </c>
      <c r="S46" s="20">
        <f>'GS &gt; 50 OLS model'!$B$9*G46</f>
        <v>13151203.521549523</v>
      </c>
      <c r="T46" s="20">
        <f>'GS &gt; 50 OLS model'!$B$10*H46</f>
        <v>578722.19329299603</v>
      </c>
      <c r="U46" s="20">
        <f>'GS &gt; 50 OLS model'!$B$11*I46</f>
        <v>0</v>
      </c>
      <c r="V46" s="20">
        <f>'GS &gt; 50 OLS model'!$B$12*J46</f>
        <v>0</v>
      </c>
      <c r="W46" s="20">
        <f>'GS &gt; 50 OLS model'!$B$13*K46</f>
        <v>1979532.62008895</v>
      </c>
      <c r="X46" s="20">
        <f>'GS &gt; 50 OLS model'!$B$14*L46</f>
        <v>0</v>
      </c>
      <c r="Y46" s="20">
        <f>'GS &gt; 50 OLS model'!$B$15*M46</f>
        <v>0</v>
      </c>
      <c r="Z46" s="20">
        <f t="shared" ca="1" si="4"/>
        <v>13507711.355861308</v>
      </c>
    </row>
    <row r="47" spans="1:26" ht="14.4" x14ac:dyDescent="0.3">
      <c r="A47" s="22">
        <f>'Monthly Data'!A47</f>
        <v>41183</v>
      </c>
      <c r="B47" s="6">
        <f t="shared" si="2"/>
        <v>2012</v>
      </c>
      <c r="C47" s="20">
        <f ca="1">'Monthly Data'!N47</f>
        <v>14174576.273356561</v>
      </c>
      <c r="D47" s="20">
        <f>'Monthly Data'!P47</f>
        <v>204</v>
      </c>
      <c r="E47" s="6">
        <f t="shared" ca="1" si="3"/>
        <v>176.42</v>
      </c>
      <c r="F47" s="6">
        <f t="shared" ca="1" si="3"/>
        <v>10.18</v>
      </c>
      <c r="G47" s="6">
        <f>'Monthly Data'!AJ47</f>
        <v>157.5</v>
      </c>
      <c r="H47" s="6">
        <f>'Monthly Data'!AN47</f>
        <v>46</v>
      </c>
      <c r="I47" s="6">
        <f>'Monthly Data'!AP47</f>
        <v>0</v>
      </c>
      <c r="J47" s="6">
        <f>'Monthly Data'!AV47</f>
        <v>0</v>
      </c>
      <c r="K47" s="6">
        <f>'Monthly Data'!AW47</f>
        <v>0</v>
      </c>
      <c r="L47" s="6">
        <f>'Monthly Data'!AY47</f>
        <v>0</v>
      </c>
      <c r="M47" s="6">
        <f>'Monthly Data'!BB47</f>
        <v>1</v>
      </c>
      <c r="O47" s="20">
        <f>'GS &gt; 50 OLS model'!$B$5</f>
        <v>-11694573.8944258</v>
      </c>
      <c r="P47" s="20">
        <f>'GS &gt; 50 OLS model'!$B$6*D47</f>
        <v>10338614.872907398</v>
      </c>
      <c r="Q47" s="20">
        <f ca="1">'GS &gt; 50 OLS model'!$B$7*E47</f>
        <v>473065.91534702422</v>
      </c>
      <c r="R47" s="20">
        <f ca="1">'GS &gt; 50 OLS model'!$B$8*F47</f>
        <v>150482.97878517999</v>
      </c>
      <c r="S47" s="20">
        <f>'GS &gt; 50 OLS model'!$B$9*G47</f>
        <v>13201494.930809751</v>
      </c>
      <c r="T47" s="20">
        <f>'GS &gt; 50 OLS model'!$B$10*H47</f>
        <v>591582.68647728476</v>
      </c>
      <c r="U47" s="20">
        <f>'GS &gt; 50 OLS model'!$B$11*I47</f>
        <v>0</v>
      </c>
      <c r="V47" s="20">
        <f>'GS &gt; 50 OLS model'!$B$12*J47</f>
        <v>0</v>
      </c>
      <c r="W47" s="20">
        <f>'GS &gt; 50 OLS model'!$B$13*K47</f>
        <v>0</v>
      </c>
      <c r="X47" s="20">
        <f>'GS &gt; 50 OLS model'!$B$14*L47</f>
        <v>0</v>
      </c>
      <c r="Y47" s="20">
        <f>'GS &gt; 50 OLS model'!$B$15*M47</f>
        <v>671693.73401239095</v>
      </c>
      <c r="Z47" s="20">
        <f t="shared" ca="1" si="4"/>
        <v>13060667.489900839</v>
      </c>
    </row>
    <row r="48" spans="1:26" ht="14.4" x14ac:dyDescent="0.3">
      <c r="A48" s="22">
        <f>'Monthly Data'!A48</f>
        <v>41214</v>
      </c>
      <c r="B48" s="6">
        <f t="shared" si="2"/>
        <v>2012</v>
      </c>
      <c r="C48" s="20">
        <f ca="1">'Monthly Data'!N48</f>
        <v>14174334.11660606</v>
      </c>
      <c r="D48" s="20">
        <f>'Monthly Data'!P48</f>
        <v>206</v>
      </c>
      <c r="E48" s="6">
        <f t="shared" ca="1" si="3"/>
        <v>364.2299999999999</v>
      </c>
      <c r="F48" s="6">
        <f t="shared" ca="1" si="3"/>
        <v>0.05</v>
      </c>
      <c r="G48" s="6">
        <f>'Monthly Data'!AJ48</f>
        <v>157.6</v>
      </c>
      <c r="H48" s="6">
        <f>'Monthly Data'!AN48</f>
        <v>47</v>
      </c>
      <c r="I48" s="6">
        <f>'Monthly Data'!AP48</f>
        <v>0</v>
      </c>
      <c r="J48" s="6">
        <f>'Monthly Data'!AV48</f>
        <v>0</v>
      </c>
      <c r="K48" s="6">
        <f>'Monthly Data'!AW48</f>
        <v>0</v>
      </c>
      <c r="L48" s="6">
        <f>'Monthly Data'!AY48</f>
        <v>1</v>
      </c>
      <c r="M48" s="6">
        <f>'Monthly Data'!BB48</f>
        <v>1</v>
      </c>
      <c r="O48" s="20">
        <f>'GS &gt; 50 OLS model'!$B$5</f>
        <v>-11694573.8944258</v>
      </c>
      <c r="P48" s="20">
        <f>'GS &gt; 50 OLS model'!$B$6*D48</f>
        <v>10439973.842249628</v>
      </c>
      <c r="Q48" s="20">
        <f ca="1">'GS &gt; 50 OLS model'!$B$7*E48</f>
        <v>976673.83713210851</v>
      </c>
      <c r="R48" s="20">
        <f ca="1">'GS &gt; 50 OLS model'!$B$8*F48</f>
        <v>739.11089776611004</v>
      </c>
      <c r="S48" s="20">
        <f>'GS &gt; 50 OLS model'!$B$9*G48</f>
        <v>13209876.832353121</v>
      </c>
      <c r="T48" s="20">
        <f>'GS &gt; 50 OLS model'!$B$10*H48</f>
        <v>604443.17966157361</v>
      </c>
      <c r="U48" s="20">
        <f>'GS &gt; 50 OLS model'!$B$11*I48</f>
        <v>0</v>
      </c>
      <c r="V48" s="20">
        <f>'GS &gt; 50 OLS model'!$B$12*J48</f>
        <v>0</v>
      </c>
      <c r="W48" s="20">
        <f>'GS &gt; 50 OLS model'!$B$13*K48</f>
        <v>0</v>
      </c>
      <c r="X48" s="20">
        <f>'GS &gt; 50 OLS model'!$B$14*L48</f>
        <v>1466841.9423256</v>
      </c>
      <c r="Y48" s="20">
        <f>'GS &gt; 50 OLS model'!$B$15*M48</f>
        <v>671693.73401239095</v>
      </c>
      <c r="Z48" s="20">
        <f t="shared" ca="1" si="4"/>
        <v>13537132.907868396</v>
      </c>
    </row>
    <row r="49" spans="1:26" ht="14.4" x14ac:dyDescent="0.3">
      <c r="A49" s="22">
        <f>'Monthly Data'!A49</f>
        <v>41244</v>
      </c>
      <c r="B49" s="6">
        <f t="shared" si="2"/>
        <v>2012</v>
      </c>
      <c r="C49" s="20">
        <f ca="1">'Monthly Data'!N49</f>
        <v>12910330.309349159</v>
      </c>
      <c r="D49" s="20">
        <f>'Monthly Data'!P49</f>
        <v>204</v>
      </c>
      <c r="E49" s="6">
        <f t="shared" ca="1" si="3"/>
        <v>552.31000000000006</v>
      </c>
      <c r="F49" s="6">
        <f t="shared" ca="1" si="3"/>
        <v>0</v>
      </c>
      <c r="G49" s="6">
        <f>'Monthly Data'!AJ49</f>
        <v>155.5</v>
      </c>
      <c r="H49" s="6">
        <f>'Monthly Data'!AN49</f>
        <v>48</v>
      </c>
      <c r="I49" s="6">
        <f>'Monthly Data'!AP49</f>
        <v>0</v>
      </c>
      <c r="J49" s="6">
        <f>'Monthly Data'!AV49</f>
        <v>0</v>
      </c>
      <c r="K49" s="6">
        <f>'Monthly Data'!AW49</f>
        <v>0</v>
      </c>
      <c r="L49" s="6">
        <f>'Monthly Data'!AY49</f>
        <v>0</v>
      </c>
      <c r="M49" s="6">
        <f>'Monthly Data'!BB49</f>
        <v>0</v>
      </c>
      <c r="O49" s="20">
        <f>'GS &gt; 50 OLS model'!$B$5</f>
        <v>-11694573.8944258</v>
      </c>
      <c r="P49" s="20">
        <f>'GS &gt; 50 OLS model'!$B$6*D49</f>
        <v>10338614.872907398</v>
      </c>
      <c r="Q49" s="20">
        <f ca="1">'GS &gt; 50 OLS model'!$B$7*E49</f>
        <v>1481005.7573138815</v>
      </c>
      <c r="R49" s="20">
        <f ca="1">'GS &gt; 50 OLS model'!$B$8*F49</f>
        <v>0</v>
      </c>
      <c r="S49" s="20">
        <f>'GS &gt; 50 OLS model'!$B$9*G49</f>
        <v>13033856.899942325</v>
      </c>
      <c r="T49" s="20">
        <f>'GS &gt; 50 OLS model'!$B$10*H49</f>
        <v>617303.67284586234</v>
      </c>
      <c r="U49" s="20">
        <f>'GS &gt; 50 OLS model'!$B$11*I49</f>
        <v>0</v>
      </c>
      <c r="V49" s="20">
        <f>'GS &gt; 50 OLS model'!$B$12*J49</f>
        <v>0</v>
      </c>
      <c r="W49" s="20">
        <f>'GS &gt; 50 OLS model'!$B$13*K49</f>
        <v>0</v>
      </c>
      <c r="X49" s="20">
        <f>'GS &gt; 50 OLS model'!$B$14*L49</f>
        <v>0</v>
      </c>
      <c r="Y49" s="20">
        <f>'GS &gt; 50 OLS model'!$B$15*M49</f>
        <v>0</v>
      </c>
      <c r="Z49" s="20">
        <f t="shared" ca="1" si="4"/>
        <v>13776207.308583668</v>
      </c>
    </row>
    <row r="50" spans="1:26" ht="14.4" x14ac:dyDescent="0.3">
      <c r="A50" s="22">
        <f>'Monthly Data'!A50</f>
        <v>41275</v>
      </c>
      <c r="B50" s="6">
        <f t="shared" si="2"/>
        <v>2013</v>
      </c>
      <c r="C50" s="20">
        <f ca="1">'Monthly Data'!N50</f>
        <v>13849091.99800721</v>
      </c>
      <c r="D50" s="20">
        <f>'Monthly Data'!P50</f>
        <v>203</v>
      </c>
      <c r="E50" s="6">
        <f t="shared" ca="1" si="3"/>
        <v>661.18999999999994</v>
      </c>
      <c r="F50" s="6">
        <f t="shared" ca="1" si="3"/>
        <v>0</v>
      </c>
      <c r="G50" s="6">
        <f>'Monthly Data'!AJ50</f>
        <v>151.1</v>
      </c>
      <c r="H50" s="6">
        <f>'Monthly Data'!AN50</f>
        <v>49</v>
      </c>
      <c r="I50" s="6">
        <f>'Monthly Data'!AP50</f>
        <v>0</v>
      </c>
      <c r="J50" s="6">
        <f>'Monthly Data'!AV50</f>
        <v>0</v>
      </c>
      <c r="K50" s="6">
        <f>'Monthly Data'!AW50</f>
        <v>0</v>
      </c>
      <c r="L50" s="6">
        <f>'Monthly Data'!AY50</f>
        <v>0</v>
      </c>
      <c r="M50" s="6">
        <f>'Monthly Data'!BB50</f>
        <v>0</v>
      </c>
      <c r="O50" s="20">
        <f>'GS &gt; 50 OLS model'!$B$5</f>
        <v>-11694573.8944258</v>
      </c>
      <c r="P50" s="20">
        <f>'GS &gt; 50 OLS model'!$B$6*D50</f>
        <v>10287935.388236284</v>
      </c>
      <c r="Q50" s="20">
        <f ca="1">'GS &gt; 50 OLS model'!$B$7*E50</f>
        <v>1772964.8144671745</v>
      </c>
      <c r="R50" s="20">
        <f ca="1">'GS &gt; 50 OLS model'!$B$8*F50</f>
        <v>0</v>
      </c>
      <c r="S50" s="20">
        <f>'GS &gt; 50 OLS model'!$B$9*G50</f>
        <v>12665053.232033988</v>
      </c>
      <c r="T50" s="20">
        <f>'GS &gt; 50 OLS model'!$B$10*H50</f>
        <v>630164.16603015119</v>
      </c>
      <c r="U50" s="20">
        <f>'GS &gt; 50 OLS model'!$B$11*I50</f>
        <v>0</v>
      </c>
      <c r="V50" s="20">
        <f>'GS &gt; 50 OLS model'!$B$12*J50</f>
        <v>0</v>
      </c>
      <c r="W50" s="20">
        <f>'GS &gt; 50 OLS model'!$B$13*K50</f>
        <v>0</v>
      </c>
      <c r="X50" s="20">
        <f>'GS &gt; 50 OLS model'!$B$14*L50</f>
        <v>0</v>
      </c>
      <c r="Y50" s="20">
        <f>'GS &gt; 50 OLS model'!$B$15*M50</f>
        <v>0</v>
      </c>
      <c r="Z50" s="20">
        <f t="shared" ca="1" si="4"/>
        <v>13661543.706341799</v>
      </c>
    </row>
    <row r="51" spans="1:26" ht="14.4" x14ac:dyDescent="0.3">
      <c r="A51" s="22">
        <f>'Monthly Data'!A51</f>
        <v>41306</v>
      </c>
      <c r="B51" s="6">
        <f t="shared" si="2"/>
        <v>2013</v>
      </c>
      <c r="C51" s="20">
        <f ca="1">'Monthly Data'!N51</f>
        <v>12913536.665801208</v>
      </c>
      <c r="D51" s="20">
        <f>'Monthly Data'!P51</f>
        <v>204</v>
      </c>
      <c r="E51" s="6">
        <f t="shared" ca="1" si="3"/>
        <v>598.16999999999985</v>
      </c>
      <c r="F51" s="6">
        <f t="shared" ca="1" si="3"/>
        <v>0</v>
      </c>
      <c r="G51" s="6">
        <f>'Monthly Data'!AJ51</f>
        <v>150.19999999999999</v>
      </c>
      <c r="H51" s="6">
        <f>'Monthly Data'!AN51</f>
        <v>50</v>
      </c>
      <c r="I51" s="6">
        <f>'Monthly Data'!AP51</f>
        <v>1</v>
      </c>
      <c r="J51" s="6">
        <f>'Monthly Data'!AV51</f>
        <v>0</v>
      </c>
      <c r="K51" s="6">
        <f>'Monthly Data'!AW51</f>
        <v>0</v>
      </c>
      <c r="L51" s="6">
        <f>'Monthly Data'!AY51</f>
        <v>0</v>
      </c>
      <c r="M51" s="6">
        <f>'Monthly Data'!BB51</f>
        <v>0</v>
      </c>
      <c r="O51" s="20">
        <f>'GS &gt; 50 OLS model'!$B$5</f>
        <v>-11694573.8944258</v>
      </c>
      <c r="P51" s="20">
        <f>'GS &gt; 50 OLS model'!$B$6*D51</f>
        <v>10338614.872907398</v>
      </c>
      <c r="Q51" s="20">
        <f ca="1">'GS &gt; 50 OLS model'!$B$7*E51</f>
        <v>1603978.225729109</v>
      </c>
      <c r="R51" s="20">
        <f ca="1">'GS &gt; 50 OLS model'!$B$8*F51</f>
        <v>0</v>
      </c>
      <c r="S51" s="20">
        <f>'GS &gt; 50 OLS model'!$B$9*G51</f>
        <v>12589616.118143646</v>
      </c>
      <c r="T51" s="20">
        <f>'GS &gt; 50 OLS model'!$B$10*H51</f>
        <v>643024.65921444003</v>
      </c>
      <c r="U51" s="20">
        <f>'GS &gt; 50 OLS model'!$B$11*I51</f>
        <v>-797686.81375559501</v>
      </c>
      <c r="V51" s="20">
        <f>'GS &gt; 50 OLS model'!$B$12*J51</f>
        <v>0</v>
      </c>
      <c r="W51" s="20">
        <f>'GS &gt; 50 OLS model'!$B$13*K51</f>
        <v>0</v>
      </c>
      <c r="X51" s="20">
        <f>'GS &gt; 50 OLS model'!$B$14*L51</f>
        <v>0</v>
      </c>
      <c r="Y51" s="20">
        <f>'GS &gt; 50 OLS model'!$B$15*M51</f>
        <v>0</v>
      </c>
      <c r="Z51" s="20">
        <f t="shared" ca="1" si="4"/>
        <v>12682973.167813201</v>
      </c>
    </row>
    <row r="52" spans="1:26" ht="14.4" x14ac:dyDescent="0.3">
      <c r="A52" s="22">
        <f>'Monthly Data'!A52</f>
        <v>41334</v>
      </c>
      <c r="B52" s="6">
        <f t="shared" si="2"/>
        <v>2013</v>
      </c>
      <c r="C52" s="20">
        <f ca="1">'Monthly Data'!N52</f>
        <v>13644930.137241308</v>
      </c>
      <c r="D52" s="20">
        <f>'Monthly Data'!P52</f>
        <v>205</v>
      </c>
      <c r="E52" s="6">
        <f t="shared" ca="1" si="3"/>
        <v>451.34</v>
      </c>
      <c r="F52" s="6">
        <f t="shared" ca="1" si="3"/>
        <v>0.88000000000000012</v>
      </c>
      <c r="G52" s="6">
        <f>'Monthly Data'!AJ52</f>
        <v>149.4</v>
      </c>
      <c r="H52" s="6">
        <f>'Monthly Data'!AN52</f>
        <v>51</v>
      </c>
      <c r="I52" s="6">
        <f>'Monthly Data'!AP52</f>
        <v>0</v>
      </c>
      <c r="J52" s="6">
        <f>'Monthly Data'!AV52</f>
        <v>0</v>
      </c>
      <c r="K52" s="6">
        <f>'Monthly Data'!AW52</f>
        <v>0</v>
      </c>
      <c r="L52" s="6">
        <f>'Monthly Data'!AY52</f>
        <v>0</v>
      </c>
      <c r="M52" s="6">
        <f>'Monthly Data'!BB52</f>
        <v>0</v>
      </c>
      <c r="O52" s="20">
        <f>'GS &gt; 50 OLS model'!$B$5</f>
        <v>-11694573.8944258</v>
      </c>
      <c r="P52" s="20">
        <f>'GS &gt; 50 OLS model'!$B$6*D52</f>
        <v>10389294.357578512</v>
      </c>
      <c r="Q52" s="20">
        <f ca="1">'GS &gt; 50 OLS model'!$B$7*E52</f>
        <v>1210257.1717080032</v>
      </c>
      <c r="R52" s="20">
        <f ca="1">'GS &gt; 50 OLS model'!$B$8*F52</f>
        <v>13008.351800683537</v>
      </c>
      <c r="S52" s="20">
        <f>'GS &gt; 50 OLS model'!$B$9*G52</f>
        <v>12522560.905796679</v>
      </c>
      <c r="T52" s="20">
        <f>'GS &gt; 50 OLS model'!$B$10*H52</f>
        <v>655885.15239872877</v>
      </c>
      <c r="U52" s="20">
        <f>'GS &gt; 50 OLS model'!$B$11*I52</f>
        <v>0</v>
      </c>
      <c r="V52" s="20">
        <f>'GS &gt; 50 OLS model'!$B$12*J52</f>
        <v>0</v>
      </c>
      <c r="W52" s="20">
        <f>'GS &gt; 50 OLS model'!$B$13*K52</f>
        <v>0</v>
      </c>
      <c r="X52" s="20">
        <f>'GS &gt; 50 OLS model'!$B$14*L52</f>
        <v>0</v>
      </c>
      <c r="Y52" s="20">
        <f>'GS &gt; 50 OLS model'!$B$15*M52</f>
        <v>0</v>
      </c>
      <c r="Z52" s="20">
        <f t="shared" ca="1" si="4"/>
        <v>13096432.044856805</v>
      </c>
    </row>
    <row r="53" spans="1:26" ht="14.4" x14ac:dyDescent="0.3">
      <c r="A53" s="22">
        <f>'Monthly Data'!A53</f>
        <v>41365</v>
      </c>
      <c r="B53" s="6">
        <f t="shared" si="2"/>
        <v>2013</v>
      </c>
      <c r="C53" s="20">
        <f ca="1">'Monthly Data'!N53</f>
        <v>12517016.774652008</v>
      </c>
      <c r="D53" s="20">
        <f>'Monthly Data'!P53</f>
        <v>209</v>
      </c>
      <c r="E53" s="6">
        <f t="shared" ca="1" si="3"/>
        <v>259.5499999999999</v>
      </c>
      <c r="F53" s="6">
        <f t="shared" ca="1" si="3"/>
        <v>2.4500000000000002</v>
      </c>
      <c r="G53" s="6">
        <f>'Monthly Data'!AJ53</f>
        <v>152.6</v>
      </c>
      <c r="H53" s="6">
        <f>'Monthly Data'!AN53</f>
        <v>52</v>
      </c>
      <c r="I53" s="6">
        <f>'Monthly Data'!AP53</f>
        <v>0</v>
      </c>
      <c r="J53" s="6">
        <f>'Monthly Data'!AV53</f>
        <v>0</v>
      </c>
      <c r="K53" s="6">
        <f>'Monthly Data'!AW53</f>
        <v>0</v>
      </c>
      <c r="L53" s="6">
        <f>'Monthly Data'!AY53</f>
        <v>0</v>
      </c>
      <c r="M53" s="6">
        <f>'Monthly Data'!BB53</f>
        <v>0</v>
      </c>
      <c r="O53" s="20">
        <f>'GS &gt; 50 OLS model'!$B$5</f>
        <v>-11694573.8944258</v>
      </c>
      <c r="P53" s="20">
        <f>'GS &gt; 50 OLS model'!$B$6*D53</f>
        <v>10592012.296262972</v>
      </c>
      <c r="Q53" s="20">
        <f ca="1">'GS &gt; 50 OLS model'!$B$7*E53</f>
        <v>695976.9772606286</v>
      </c>
      <c r="R53" s="20">
        <f ca="1">'GS &gt; 50 OLS model'!$B$8*F53</f>
        <v>36216.433990539394</v>
      </c>
      <c r="S53" s="20">
        <f>'GS &gt; 50 OLS model'!$B$9*G53</f>
        <v>12790781.755184557</v>
      </c>
      <c r="T53" s="20">
        <f>'GS &gt; 50 OLS model'!$B$10*H53</f>
        <v>668745.64558301761</v>
      </c>
      <c r="U53" s="20">
        <f>'GS &gt; 50 OLS model'!$B$11*I53</f>
        <v>0</v>
      </c>
      <c r="V53" s="20">
        <f>'GS &gt; 50 OLS model'!$B$12*J53</f>
        <v>0</v>
      </c>
      <c r="W53" s="20">
        <f>'GS &gt; 50 OLS model'!$B$13*K53</f>
        <v>0</v>
      </c>
      <c r="X53" s="20">
        <f>'GS &gt; 50 OLS model'!$B$14*L53</f>
        <v>0</v>
      </c>
      <c r="Y53" s="20">
        <f>'GS &gt; 50 OLS model'!$B$15*M53</f>
        <v>0</v>
      </c>
      <c r="Z53" s="20">
        <f t="shared" ca="1" si="4"/>
        <v>13089159.213855915</v>
      </c>
    </row>
    <row r="54" spans="1:26" ht="14.4" x14ac:dyDescent="0.3">
      <c r="A54" s="22">
        <f>'Monthly Data'!A54</f>
        <v>41395</v>
      </c>
      <c r="B54" s="6">
        <f t="shared" si="2"/>
        <v>2013</v>
      </c>
      <c r="C54" s="20">
        <f ca="1">'Monthly Data'!N54</f>
        <v>13122967.337625708</v>
      </c>
      <c r="D54" s="20">
        <f>'Monthly Data'!P54</f>
        <v>205</v>
      </c>
      <c r="E54" s="6">
        <f t="shared" ca="1" si="3"/>
        <v>88.880000000000024</v>
      </c>
      <c r="F54" s="6">
        <f t="shared" ca="1" si="3"/>
        <v>43.79999999999999</v>
      </c>
      <c r="G54" s="6">
        <f>'Monthly Data'!AJ54</f>
        <v>154</v>
      </c>
      <c r="H54" s="6">
        <f>'Monthly Data'!AN54</f>
        <v>53</v>
      </c>
      <c r="I54" s="6">
        <f>'Monthly Data'!AP54</f>
        <v>0</v>
      </c>
      <c r="J54" s="6">
        <f>'Monthly Data'!AV54</f>
        <v>0</v>
      </c>
      <c r="K54" s="6">
        <f>'Monthly Data'!AW54</f>
        <v>0</v>
      </c>
      <c r="L54" s="6">
        <f>'Monthly Data'!AY54</f>
        <v>0</v>
      </c>
      <c r="M54" s="6">
        <f>'Monthly Data'!BB54</f>
        <v>0</v>
      </c>
      <c r="O54" s="20">
        <f>'GS &gt; 50 OLS model'!$B$5</f>
        <v>-11694573.8944258</v>
      </c>
      <c r="P54" s="20">
        <f>'GS &gt; 50 OLS model'!$B$6*D54</f>
        <v>10389294.357578512</v>
      </c>
      <c r="Q54" s="20">
        <f ca="1">'GS &gt; 50 OLS model'!$B$7*E54</f>
        <v>238329.54628751572</v>
      </c>
      <c r="R54" s="20">
        <f ca="1">'GS &gt; 50 OLS model'!$B$8*F54</f>
        <v>647461.14644311217</v>
      </c>
      <c r="S54" s="20">
        <f>'GS &gt; 50 OLS model'!$B$9*G54</f>
        <v>12908128.376791757</v>
      </c>
      <c r="T54" s="20">
        <f>'GS &gt; 50 OLS model'!$B$10*H54</f>
        <v>681606.13876730634</v>
      </c>
      <c r="U54" s="20">
        <f>'GS &gt; 50 OLS model'!$B$11*I54</f>
        <v>0</v>
      </c>
      <c r="V54" s="20">
        <f>'GS &gt; 50 OLS model'!$B$12*J54</f>
        <v>0</v>
      </c>
      <c r="W54" s="20">
        <f>'GS &gt; 50 OLS model'!$B$13*K54</f>
        <v>0</v>
      </c>
      <c r="X54" s="20">
        <f>'GS &gt; 50 OLS model'!$B$14*L54</f>
        <v>0</v>
      </c>
      <c r="Y54" s="20">
        <f>'GS &gt; 50 OLS model'!$B$15*M54</f>
        <v>0</v>
      </c>
      <c r="Z54" s="20">
        <f t="shared" ca="1" si="4"/>
        <v>13170245.671442403</v>
      </c>
    </row>
    <row r="55" spans="1:26" ht="14.4" x14ac:dyDescent="0.3">
      <c r="A55" s="22">
        <f>'Monthly Data'!A55</f>
        <v>41426</v>
      </c>
      <c r="B55" s="6">
        <f t="shared" si="2"/>
        <v>2013</v>
      </c>
      <c r="C55" s="20">
        <f ca="1">'Monthly Data'!N55</f>
        <v>13706309.307653708</v>
      </c>
      <c r="D55" s="20">
        <f>'Monthly Data'!P55</f>
        <v>208</v>
      </c>
      <c r="E55" s="6">
        <f t="shared" ca="1" si="3"/>
        <v>9.77</v>
      </c>
      <c r="F55" s="6">
        <f t="shared" ca="1" si="3"/>
        <v>117.38999999999999</v>
      </c>
      <c r="G55" s="6">
        <f>'Monthly Data'!AJ55</f>
        <v>155.9</v>
      </c>
      <c r="H55" s="6">
        <f>'Monthly Data'!AN55</f>
        <v>54</v>
      </c>
      <c r="I55" s="6">
        <f>'Monthly Data'!AP55</f>
        <v>0</v>
      </c>
      <c r="J55" s="6">
        <f>'Monthly Data'!AV55</f>
        <v>0</v>
      </c>
      <c r="K55" s="6">
        <f>'Monthly Data'!AW55</f>
        <v>0</v>
      </c>
      <c r="L55" s="6">
        <f>'Monthly Data'!AY55</f>
        <v>0</v>
      </c>
      <c r="M55" s="6">
        <f>'Monthly Data'!BB55</f>
        <v>0</v>
      </c>
      <c r="O55" s="20">
        <f>'GS &gt; 50 OLS model'!$B$5</f>
        <v>-11694573.8944258</v>
      </c>
      <c r="P55" s="20">
        <f>'GS &gt; 50 OLS model'!$B$6*D55</f>
        <v>10541332.811591856</v>
      </c>
      <c r="Q55" s="20">
        <f ca="1">'GS &gt; 50 OLS model'!$B$7*E55</f>
        <v>26198.016057932356</v>
      </c>
      <c r="R55" s="20">
        <f ca="1">'GS &gt; 50 OLS model'!$B$8*F55</f>
        <v>1735284.5657752729</v>
      </c>
      <c r="S55" s="20">
        <f>'GS &gt; 50 OLS model'!$B$9*G55</f>
        <v>13067384.506115811</v>
      </c>
      <c r="T55" s="20">
        <f>'GS &gt; 50 OLS model'!$B$10*H55</f>
        <v>694466.63195159519</v>
      </c>
      <c r="U55" s="20">
        <f>'GS &gt; 50 OLS model'!$B$11*I55</f>
        <v>0</v>
      </c>
      <c r="V55" s="20">
        <f>'GS &gt; 50 OLS model'!$B$12*J55</f>
        <v>0</v>
      </c>
      <c r="W55" s="20">
        <f>'GS &gt; 50 OLS model'!$B$13*K55</f>
        <v>0</v>
      </c>
      <c r="X55" s="20">
        <f>'GS &gt; 50 OLS model'!$B$14*L55</f>
        <v>0</v>
      </c>
      <c r="Y55" s="20">
        <f>'GS &gt; 50 OLS model'!$B$15*M55</f>
        <v>0</v>
      </c>
      <c r="Z55" s="20">
        <f t="shared" ca="1" si="4"/>
        <v>14370092.637066668</v>
      </c>
    </row>
    <row r="56" spans="1:26" ht="14.4" x14ac:dyDescent="0.3">
      <c r="A56" s="22">
        <f>'Monthly Data'!A56</f>
        <v>41456</v>
      </c>
      <c r="B56" s="6">
        <f t="shared" si="2"/>
        <v>2013</v>
      </c>
      <c r="C56" s="20">
        <f ca="1">'Monthly Data'!N56</f>
        <v>14308336.935974209</v>
      </c>
      <c r="D56" s="20">
        <f>'Monthly Data'!P56</f>
        <v>209</v>
      </c>
      <c r="E56" s="6">
        <f t="shared" ca="1" si="3"/>
        <v>0.58000000000000007</v>
      </c>
      <c r="F56" s="6">
        <f t="shared" ca="1" si="3"/>
        <v>179.70999999999998</v>
      </c>
      <c r="G56" s="6">
        <f>'Monthly Data'!AJ56</f>
        <v>156.6</v>
      </c>
      <c r="H56" s="6">
        <f>'Monthly Data'!AN56</f>
        <v>55</v>
      </c>
      <c r="I56" s="6">
        <f>'Monthly Data'!AP56</f>
        <v>0</v>
      </c>
      <c r="J56" s="6">
        <f>'Monthly Data'!AV56</f>
        <v>0</v>
      </c>
      <c r="K56" s="6">
        <f>'Monthly Data'!AW56</f>
        <v>0</v>
      </c>
      <c r="L56" s="6">
        <f>'Monthly Data'!AY56</f>
        <v>0</v>
      </c>
      <c r="M56" s="6">
        <f>'Monthly Data'!BB56</f>
        <v>0</v>
      </c>
      <c r="O56" s="20">
        <f>'GS &gt; 50 OLS model'!$B$5</f>
        <v>-11694573.8944258</v>
      </c>
      <c r="P56" s="20">
        <f>'GS &gt; 50 OLS model'!$B$6*D56</f>
        <v>10592012.296262972</v>
      </c>
      <c r="Q56" s="20">
        <f ca="1">'GS &gt; 50 OLS model'!$B$7*E56</f>
        <v>1555.2558151075507</v>
      </c>
      <c r="R56" s="20">
        <f ca="1">'GS &gt; 50 OLS model'!$B$8*F56</f>
        <v>2656512.3887509522</v>
      </c>
      <c r="S56" s="20">
        <f>'GS &gt; 50 OLS model'!$B$9*G56</f>
        <v>13126057.816919409</v>
      </c>
      <c r="T56" s="20">
        <f>'GS &gt; 50 OLS model'!$B$10*H56</f>
        <v>707327.12513588404</v>
      </c>
      <c r="U56" s="20">
        <f>'GS &gt; 50 OLS model'!$B$11*I56</f>
        <v>0</v>
      </c>
      <c r="V56" s="20">
        <f>'GS &gt; 50 OLS model'!$B$12*J56</f>
        <v>0</v>
      </c>
      <c r="W56" s="20">
        <f>'GS &gt; 50 OLS model'!$B$13*K56</f>
        <v>0</v>
      </c>
      <c r="X56" s="20">
        <f>'GS &gt; 50 OLS model'!$B$14*L56</f>
        <v>0</v>
      </c>
      <c r="Y56" s="20">
        <f>'GS &gt; 50 OLS model'!$B$15*M56</f>
        <v>0</v>
      </c>
      <c r="Z56" s="20">
        <f t="shared" ca="1" si="4"/>
        <v>15388890.988458524</v>
      </c>
    </row>
    <row r="57" spans="1:26" ht="14.4" x14ac:dyDescent="0.3">
      <c r="A57" s="22">
        <f>'Monthly Data'!A57</f>
        <v>41487</v>
      </c>
      <c r="B57" s="6">
        <f t="shared" si="2"/>
        <v>2013</v>
      </c>
      <c r="C57" s="20">
        <f ca="1">'Monthly Data'!N57</f>
        <v>14823345.522277808</v>
      </c>
      <c r="D57" s="20">
        <f>'Monthly Data'!P57</f>
        <v>208</v>
      </c>
      <c r="E57" s="6">
        <f t="shared" ca="1" si="3"/>
        <v>1.7099999999999997</v>
      </c>
      <c r="F57" s="6">
        <f t="shared" ca="1" si="3"/>
        <v>158.1</v>
      </c>
      <c r="G57" s="6">
        <f>'Monthly Data'!AJ57</f>
        <v>156.5</v>
      </c>
      <c r="H57" s="6">
        <f>'Monthly Data'!AN57</f>
        <v>56</v>
      </c>
      <c r="I57" s="6">
        <f>'Monthly Data'!AP57</f>
        <v>0</v>
      </c>
      <c r="J57" s="6">
        <f>'Monthly Data'!AV57</f>
        <v>1</v>
      </c>
      <c r="K57" s="6">
        <f>'Monthly Data'!AW57</f>
        <v>0</v>
      </c>
      <c r="L57" s="6">
        <f>'Monthly Data'!AY57</f>
        <v>0</v>
      </c>
      <c r="M57" s="6">
        <f>'Monthly Data'!BB57</f>
        <v>0</v>
      </c>
      <c r="O57" s="20">
        <f>'GS &gt; 50 OLS model'!$B$5</f>
        <v>-11694573.8944258</v>
      </c>
      <c r="P57" s="20">
        <f>'GS &gt; 50 OLS model'!$B$6*D57</f>
        <v>10541332.811591856</v>
      </c>
      <c r="Q57" s="20">
        <f ca="1">'GS &gt; 50 OLS model'!$B$7*E57</f>
        <v>4585.3231790239843</v>
      </c>
      <c r="R57" s="20">
        <f ca="1">'GS &gt; 50 OLS model'!$B$8*F57</f>
        <v>2337068.6587364399</v>
      </c>
      <c r="S57" s="20">
        <f>'GS &gt; 50 OLS model'!$B$9*G57</f>
        <v>13117675.915376037</v>
      </c>
      <c r="T57" s="20">
        <f>'GS &gt; 50 OLS model'!$B$10*H57</f>
        <v>720187.61832017277</v>
      </c>
      <c r="U57" s="20">
        <f>'GS &gt; 50 OLS model'!$B$11*I57</f>
        <v>0</v>
      </c>
      <c r="V57" s="20">
        <f>'GS &gt; 50 OLS model'!$B$12*J57</f>
        <v>1257541.23571065</v>
      </c>
      <c r="W57" s="20">
        <f>'GS &gt; 50 OLS model'!$B$13*K57</f>
        <v>0</v>
      </c>
      <c r="X57" s="20">
        <f>'GS &gt; 50 OLS model'!$B$14*L57</f>
        <v>0</v>
      </c>
      <c r="Y57" s="20">
        <f>'GS &gt; 50 OLS model'!$B$15*M57</f>
        <v>0</v>
      </c>
      <c r="Z57" s="20">
        <f t="shared" ca="1" si="4"/>
        <v>16283817.668488381</v>
      </c>
    </row>
    <row r="58" spans="1:26" ht="14.4" x14ac:dyDescent="0.3">
      <c r="A58" s="22">
        <f>'Monthly Data'!A58</f>
        <v>41518</v>
      </c>
      <c r="B58" s="6">
        <f t="shared" si="2"/>
        <v>2013</v>
      </c>
      <c r="C58" s="20">
        <f ca="1">'Monthly Data'!N58</f>
        <v>17407710.791521009</v>
      </c>
      <c r="D58" s="20">
        <f>'Monthly Data'!P58</f>
        <v>212</v>
      </c>
      <c r="E58" s="6">
        <f t="shared" ca="1" si="3"/>
        <v>32.68</v>
      </c>
      <c r="F58" s="6">
        <f t="shared" ca="1" si="3"/>
        <v>67.34</v>
      </c>
      <c r="G58" s="6">
        <f>'Monthly Data'!AJ58</f>
        <v>154.6</v>
      </c>
      <c r="H58" s="6">
        <f>'Monthly Data'!AN58</f>
        <v>57</v>
      </c>
      <c r="I58" s="6">
        <f>'Monthly Data'!AP58</f>
        <v>0</v>
      </c>
      <c r="J58" s="6">
        <f>'Monthly Data'!AV58</f>
        <v>0</v>
      </c>
      <c r="K58" s="6">
        <f>'Monthly Data'!AW58</f>
        <v>1</v>
      </c>
      <c r="L58" s="6">
        <f>'Monthly Data'!AY58</f>
        <v>0</v>
      </c>
      <c r="M58" s="6">
        <f>'Monthly Data'!BB58</f>
        <v>0</v>
      </c>
      <c r="O58" s="20">
        <f>'GS &gt; 50 OLS model'!$B$5</f>
        <v>-11694573.8944258</v>
      </c>
      <c r="P58" s="20">
        <f>'GS &gt; 50 OLS model'!$B$6*D58</f>
        <v>10744050.750276316</v>
      </c>
      <c r="Q58" s="20">
        <f ca="1">'GS &gt; 50 OLS model'!$B$7*E58</f>
        <v>87630.620754680596</v>
      </c>
      <c r="R58" s="20">
        <f ca="1">'GS &gt; 50 OLS model'!$B$8*F58</f>
        <v>995434.55711139692</v>
      </c>
      <c r="S58" s="20">
        <f>'GS &gt; 50 OLS model'!$B$9*G58</f>
        <v>12958419.786051983</v>
      </c>
      <c r="T58" s="20">
        <f>'GS &gt; 50 OLS model'!$B$10*H58</f>
        <v>733048.11150446162</v>
      </c>
      <c r="U58" s="20">
        <f>'GS &gt; 50 OLS model'!$B$11*I58</f>
        <v>0</v>
      </c>
      <c r="V58" s="20">
        <f>'GS &gt; 50 OLS model'!$B$12*J58</f>
        <v>0</v>
      </c>
      <c r="W58" s="20">
        <f>'GS &gt; 50 OLS model'!$B$13*K58</f>
        <v>1979532.62008895</v>
      </c>
      <c r="X58" s="20">
        <f>'GS &gt; 50 OLS model'!$B$14*L58</f>
        <v>0</v>
      </c>
      <c r="Y58" s="20">
        <f>'GS &gt; 50 OLS model'!$B$15*M58</f>
        <v>0</v>
      </c>
      <c r="Z58" s="20">
        <f t="shared" ca="1" si="4"/>
        <v>13824009.931273038</v>
      </c>
    </row>
    <row r="59" spans="1:26" ht="14.4" x14ac:dyDescent="0.3">
      <c r="A59" s="22">
        <f>'Monthly Data'!A59</f>
        <v>41548</v>
      </c>
      <c r="B59" s="6">
        <f t="shared" si="2"/>
        <v>2013</v>
      </c>
      <c r="C59" s="20">
        <f ca="1">'Monthly Data'!N59</f>
        <v>14654921.464652408</v>
      </c>
      <c r="D59" s="20">
        <f>'Monthly Data'!P59</f>
        <v>209</v>
      </c>
      <c r="E59" s="6">
        <f t="shared" ca="1" si="3"/>
        <v>176.42</v>
      </c>
      <c r="F59" s="6">
        <f t="shared" ca="1" si="3"/>
        <v>10.18</v>
      </c>
      <c r="G59" s="6">
        <f>'Monthly Data'!AJ59</f>
        <v>155.80000000000001</v>
      </c>
      <c r="H59" s="6">
        <f>'Monthly Data'!AN59</f>
        <v>58</v>
      </c>
      <c r="I59" s="6">
        <f>'Monthly Data'!AP59</f>
        <v>0</v>
      </c>
      <c r="J59" s="6">
        <f>'Monthly Data'!AV59</f>
        <v>0</v>
      </c>
      <c r="K59" s="6">
        <f>'Monthly Data'!AW59</f>
        <v>0</v>
      </c>
      <c r="L59" s="6">
        <f>'Monthly Data'!AY59</f>
        <v>0</v>
      </c>
      <c r="M59" s="6">
        <f>'Monthly Data'!BB59</f>
        <v>1</v>
      </c>
      <c r="O59" s="20">
        <f>'GS &gt; 50 OLS model'!$B$5</f>
        <v>-11694573.8944258</v>
      </c>
      <c r="P59" s="20">
        <f>'GS &gt; 50 OLS model'!$B$6*D59</f>
        <v>10592012.296262972</v>
      </c>
      <c r="Q59" s="20">
        <f ca="1">'GS &gt; 50 OLS model'!$B$7*E59</f>
        <v>473065.91534702422</v>
      </c>
      <c r="R59" s="20">
        <f ca="1">'GS &gt; 50 OLS model'!$B$8*F59</f>
        <v>150482.97878517999</v>
      </c>
      <c r="S59" s="20">
        <f>'GS &gt; 50 OLS model'!$B$9*G59</f>
        <v>13059002.60457244</v>
      </c>
      <c r="T59" s="20">
        <f>'GS &gt; 50 OLS model'!$B$10*H59</f>
        <v>745908.60468875035</v>
      </c>
      <c r="U59" s="20">
        <f>'GS &gt; 50 OLS model'!$B$11*I59</f>
        <v>0</v>
      </c>
      <c r="V59" s="20">
        <f>'GS &gt; 50 OLS model'!$B$12*J59</f>
        <v>0</v>
      </c>
      <c r="W59" s="20">
        <f>'GS &gt; 50 OLS model'!$B$13*K59</f>
        <v>0</v>
      </c>
      <c r="X59" s="20">
        <f>'GS &gt; 50 OLS model'!$B$14*L59</f>
        <v>0</v>
      </c>
      <c r="Y59" s="20">
        <f>'GS &gt; 50 OLS model'!$B$15*M59</f>
        <v>671693.73401239095</v>
      </c>
      <c r="Z59" s="20">
        <f t="shared" ca="1" si="4"/>
        <v>13325898.505230566</v>
      </c>
    </row>
    <row r="60" spans="1:26" ht="14.4" x14ac:dyDescent="0.3">
      <c r="A60" s="22">
        <f>'Monthly Data'!A60</f>
        <v>41579</v>
      </c>
      <c r="B60" s="6">
        <f t="shared" si="2"/>
        <v>2013</v>
      </c>
      <c r="C60" s="20">
        <f ca="1">'Monthly Data'!N60</f>
        <v>14053596.57630801</v>
      </c>
      <c r="D60" s="20">
        <f>'Monthly Data'!P60</f>
        <v>211</v>
      </c>
      <c r="E60" s="6">
        <f t="shared" ca="1" si="3"/>
        <v>364.2299999999999</v>
      </c>
      <c r="F60" s="6">
        <f t="shared" ca="1" si="3"/>
        <v>0.05</v>
      </c>
      <c r="G60" s="6">
        <f>'Monthly Data'!AJ60</f>
        <v>156.69999999999999</v>
      </c>
      <c r="H60" s="6">
        <f>'Monthly Data'!AN60</f>
        <v>59</v>
      </c>
      <c r="I60" s="6">
        <f>'Monthly Data'!AP60</f>
        <v>0</v>
      </c>
      <c r="J60" s="6">
        <f>'Monthly Data'!AV60</f>
        <v>0</v>
      </c>
      <c r="K60" s="6">
        <f>'Monthly Data'!AW60</f>
        <v>0</v>
      </c>
      <c r="L60" s="6">
        <f>'Monthly Data'!AY60</f>
        <v>1</v>
      </c>
      <c r="M60" s="6">
        <f>'Monthly Data'!BB60</f>
        <v>1</v>
      </c>
      <c r="O60" s="20">
        <f>'GS &gt; 50 OLS model'!$B$5</f>
        <v>-11694573.8944258</v>
      </c>
      <c r="P60" s="20">
        <f>'GS &gt; 50 OLS model'!$B$6*D60</f>
        <v>10693371.2656052</v>
      </c>
      <c r="Q60" s="20">
        <f ca="1">'GS &gt; 50 OLS model'!$B$7*E60</f>
        <v>976673.83713210851</v>
      </c>
      <c r="R60" s="20">
        <f ca="1">'GS &gt; 50 OLS model'!$B$8*F60</f>
        <v>739.11089776611004</v>
      </c>
      <c r="S60" s="20">
        <f>'GS &gt; 50 OLS model'!$B$9*G60</f>
        <v>13134439.71846278</v>
      </c>
      <c r="T60" s="20">
        <f>'GS &gt; 50 OLS model'!$B$10*H60</f>
        <v>758769.09787303919</v>
      </c>
      <c r="U60" s="20">
        <f>'GS &gt; 50 OLS model'!$B$11*I60</f>
        <v>0</v>
      </c>
      <c r="V60" s="20">
        <f>'GS &gt; 50 OLS model'!$B$12*J60</f>
        <v>0</v>
      </c>
      <c r="W60" s="20">
        <f>'GS &gt; 50 OLS model'!$B$13*K60</f>
        <v>0</v>
      </c>
      <c r="X60" s="20">
        <f>'GS &gt; 50 OLS model'!$B$14*L60</f>
        <v>1466841.9423256</v>
      </c>
      <c r="Y60" s="20">
        <f>'GS &gt; 50 OLS model'!$B$15*M60</f>
        <v>671693.73401239095</v>
      </c>
      <c r="Z60" s="20">
        <f t="shared" ca="1" si="4"/>
        <v>13869419.135545094</v>
      </c>
    </row>
    <row r="61" spans="1:26" ht="14.4" x14ac:dyDescent="0.3">
      <c r="A61" s="22">
        <f>'Monthly Data'!A61</f>
        <v>41609</v>
      </c>
      <c r="B61" s="6">
        <f t="shared" si="2"/>
        <v>2013</v>
      </c>
      <c r="C61" s="20">
        <f ca="1">'Monthly Data'!N61</f>
        <v>14070719.674795508</v>
      </c>
      <c r="D61" s="20">
        <f>'Monthly Data'!P61</f>
        <v>214</v>
      </c>
      <c r="E61" s="6">
        <f t="shared" ca="1" si="3"/>
        <v>552.31000000000006</v>
      </c>
      <c r="F61" s="6">
        <f t="shared" ca="1" si="3"/>
        <v>0</v>
      </c>
      <c r="G61" s="6">
        <f>'Monthly Data'!AJ61</f>
        <v>159.19999999999999</v>
      </c>
      <c r="H61" s="6">
        <f>'Monthly Data'!AN61</f>
        <v>60</v>
      </c>
      <c r="I61" s="6">
        <f>'Monthly Data'!AP61</f>
        <v>0</v>
      </c>
      <c r="J61" s="6">
        <f>'Monthly Data'!AV61</f>
        <v>0</v>
      </c>
      <c r="K61" s="6">
        <f>'Monthly Data'!AW61</f>
        <v>0</v>
      </c>
      <c r="L61" s="6">
        <f>'Monthly Data'!AY61</f>
        <v>0</v>
      </c>
      <c r="M61" s="6">
        <f>'Monthly Data'!BB61</f>
        <v>0</v>
      </c>
      <c r="O61" s="20">
        <f>'GS &gt; 50 OLS model'!$B$5</f>
        <v>-11694573.8944258</v>
      </c>
      <c r="P61" s="20">
        <f>'GS &gt; 50 OLS model'!$B$6*D61</f>
        <v>10845409.719618546</v>
      </c>
      <c r="Q61" s="20">
        <f ca="1">'GS &gt; 50 OLS model'!$B$7*E61</f>
        <v>1481005.7573138815</v>
      </c>
      <c r="R61" s="20">
        <f ca="1">'GS &gt; 50 OLS model'!$B$8*F61</f>
        <v>0</v>
      </c>
      <c r="S61" s="20">
        <f>'GS &gt; 50 OLS model'!$B$9*G61</f>
        <v>13343987.257047061</v>
      </c>
      <c r="T61" s="20">
        <f>'GS &gt; 50 OLS model'!$B$10*H61</f>
        <v>771629.59105732804</v>
      </c>
      <c r="U61" s="20">
        <f>'GS &gt; 50 OLS model'!$B$11*I61</f>
        <v>0</v>
      </c>
      <c r="V61" s="20">
        <f>'GS &gt; 50 OLS model'!$B$12*J61</f>
        <v>0</v>
      </c>
      <c r="W61" s="20">
        <f>'GS &gt; 50 OLS model'!$B$13*K61</f>
        <v>0</v>
      </c>
      <c r="X61" s="20">
        <f>'GS &gt; 50 OLS model'!$B$14*L61</f>
        <v>0</v>
      </c>
      <c r="Y61" s="20">
        <f>'GS &gt; 50 OLS model'!$B$15*M61</f>
        <v>0</v>
      </c>
      <c r="Z61" s="20">
        <f t="shared" ca="1" si="4"/>
        <v>14747458.430611016</v>
      </c>
    </row>
    <row r="62" spans="1:26" ht="14.4" x14ac:dyDescent="0.3">
      <c r="A62" s="22">
        <v>41640</v>
      </c>
      <c r="B62" s="6">
        <f t="shared" si="2"/>
        <v>2014</v>
      </c>
      <c r="C62" s="20">
        <f ca="1">'Monthly Data'!N62</f>
        <v>14875645.707828557</v>
      </c>
      <c r="D62" s="20">
        <f>'Monthly Data'!P62</f>
        <v>211</v>
      </c>
      <c r="E62" s="6">
        <f t="shared" ca="1" si="3"/>
        <v>661.18999999999994</v>
      </c>
      <c r="F62" s="6">
        <f t="shared" ca="1" si="3"/>
        <v>0</v>
      </c>
      <c r="G62" s="6">
        <f>'Monthly Data'!AJ62</f>
        <v>157.1</v>
      </c>
      <c r="H62" s="6">
        <f>'Monthly Data'!AN62</f>
        <v>61</v>
      </c>
      <c r="I62" s="6">
        <f>'Monthly Data'!AP62</f>
        <v>0</v>
      </c>
      <c r="J62" s="6">
        <f>'Monthly Data'!AV62</f>
        <v>0</v>
      </c>
      <c r="K62" s="6">
        <f>'Monthly Data'!AW62</f>
        <v>0</v>
      </c>
      <c r="L62" s="6">
        <f>'Monthly Data'!AY62</f>
        <v>0</v>
      </c>
      <c r="M62" s="6">
        <f>'Monthly Data'!BB62</f>
        <v>0</v>
      </c>
      <c r="O62" s="20">
        <f>'GS &gt; 50 OLS model'!$B$5</f>
        <v>-11694573.8944258</v>
      </c>
      <c r="P62" s="20">
        <f>'GS &gt; 50 OLS model'!$B$6*D62</f>
        <v>10693371.2656052</v>
      </c>
      <c r="Q62" s="20">
        <f ca="1">'GS &gt; 50 OLS model'!$B$7*E62</f>
        <v>1772964.8144671745</v>
      </c>
      <c r="R62" s="20">
        <f ca="1">'GS &gt; 50 OLS model'!$B$8*F62</f>
        <v>0</v>
      </c>
      <c r="S62" s="20">
        <f>'GS &gt; 50 OLS model'!$B$9*G62</f>
        <v>13167967.324636266</v>
      </c>
      <c r="T62" s="20">
        <f>'GS &gt; 50 OLS model'!$B$10*H62</f>
        <v>784490.08424161677</v>
      </c>
      <c r="U62" s="20">
        <f>'GS &gt; 50 OLS model'!$B$11*I62</f>
        <v>0</v>
      </c>
      <c r="V62" s="20">
        <f>'GS &gt; 50 OLS model'!$B$12*J62</f>
        <v>0</v>
      </c>
      <c r="W62" s="20">
        <f>'GS &gt; 50 OLS model'!$B$13*K62</f>
        <v>0</v>
      </c>
      <c r="X62" s="20">
        <f>'GS &gt; 50 OLS model'!$B$14*L62</f>
        <v>0</v>
      </c>
      <c r="Y62" s="20">
        <f>'GS &gt; 50 OLS model'!$B$15*M62</f>
        <v>0</v>
      </c>
      <c r="Z62" s="20">
        <f t="shared" ca="1" si="4"/>
        <v>14724219.594524458</v>
      </c>
    </row>
    <row r="63" spans="1:26" ht="14.4" x14ac:dyDescent="0.3">
      <c r="A63" s="22">
        <v>41671</v>
      </c>
      <c r="B63" s="6">
        <f t="shared" si="2"/>
        <v>2014</v>
      </c>
      <c r="C63" s="20">
        <f ca="1">'Monthly Data'!N63</f>
        <v>13682562.631763957</v>
      </c>
      <c r="D63" s="20">
        <f>'Monthly Data'!P63</f>
        <v>210</v>
      </c>
      <c r="E63" s="6">
        <f t="shared" ca="1" si="3"/>
        <v>598.16999999999985</v>
      </c>
      <c r="F63" s="6">
        <f t="shared" ca="1" si="3"/>
        <v>0</v>
      </c>
      <c r="G63" s="6">
        <f>'Monthly Data'!AJ63</f>
        <v>154.69999999999999</v>
      </c>
      <c r="H63" s="6">
        <f>'Monthly Data'!AN63</f>
        <v>62</v>
      </c>
      <c r="I63" s="6">
        <f>'Monthly Data'!AP63</f>
        <v>1</v>
      </c>
      <c r="J63" s="6">
        <f>'Monthly Data'!AV63</f>
        <v>0</v>
      </c>
      <c r="K63" s="6">
        <f>'Monthly Data'!AW63</f>
        <v>0</v>
      </c>
      <c r="L63" s="6">
        <f>'Monthly Data'!AY63</f>
        <v>0</v>
      </c>
      <c r="M63" s="6">
        <f>'Monthly Data'!BB63</f>
        <v>0</v>
      </c>
      <c r="O63" s="20">
        <f>'GS &gt; 50 OLS model'!$B$5</f>
        <v>-11694573.8944258</v>
      </c>
      <c r="P63" s="20">
        <f>'GS &gt; 50 OLS model'!$B$6*D63</f>
        <v>10642691.780934086</v>
      </c>
      <c r="Q63" s="20">
        <f ca="1">'GS &gt; 50 OLS model'!$B$7*E63</f>
        <v>1603978.225729109</v>
      </c>
      <c r="R63" s="20">
        <f ca="1">'GS &gt; 50 OLS model'!$B$8*F63</f>
        <v>0</v>
      </c>
      <c r="S63" s="20">
        <f>'GS &gt; 50 OLS model'!$B$9*G63</f>
        <v>12966801.687595354</v>
      </c>
      <c r="T63" s="20">
        <f>'GS &gt; 50 OLS model'!$B$10*H63</f>
        <v>797350.57742590562</v>
      </c>
      <c r="U63" s="20">
        <f>'GS &gt; 50 OLS model'!$B$11*I63</f>
        <v>-797686.81375559501</v>
      </c>
      <c r="V63" s="20">
        <f>'GS &gt; 50 OLS model'!$B$12*J63</f>
        <v>0</v>
      </c>
      <c r="W63" s="20">
        <f>'GS &gt; 50 OLS model'!$B$13*K63</f>
        <v>0</v>
      </c>
      <c r="X63" s="20">
        <f>'GS &gt; 50 OLS model'!$B$14*L63</f>
        <v>0</v>
      </c>
      <c r="Y63" s="20">
        <f>'GS &gt; 50 OLS model'!$B$15*M63</f>
        <v>0</v>
      </c>
      <c r="Z63" s="20">
        <f t="shared" ca="1" si="4"/>
        <v>13518561.563503062</v>
      </c>
    </row>
    <row r="64" spans="1:26" ht="14.4" x14ac:dyDescent="0.3">
      <c r="A64" s="22">
        <v>41699</v>
      </c>
      <c r="B64" s="6">
        <f t="shared" si="2"/>
        <v>2014</v>
      </c>
      <c r="C64" s="20">
        <f ca="1">'Monthly Data'!N64</f>
        <v>14325269.380689258</v>
      </c>
      <c r="D64" s="20">
        <f>'Monthly Data'!P64</f>
        <v>213</v>
      </c>
      <c r="E64" s="6">
        <f t="shared" ca="1" si="3"/>
        <v>451.34</v>
      </c>
      <c r="F64" s="6">
        <f t="shared" ca="1" si="3"/>
        <v>0.88000000000000012</v>
      </c>
      <c r="G64" s="6">
        <f>'Monthly Data'!AJ64</f>
        <v>152.4</v>
      </c>
      <c r="H64" s="6">
        <f>'Monthly Data'!AN64</f>
        <v>63</v>
      </c>
      <c r="I64" s="6">
        <f>'Monthly Data'!AP64</f>
        <v>0</v>
      </c>
      <c r="J64" s="6">
        <f>'Monthly Data'!AV64</f>
        <v>0</v>
      </c>
      <c r="K64" s="6">
        <f>'Monthly Data'!AW64</f>
        <v>0</v>
      </c>
      <c r="L64" s="6">
        <f>'Monthly Data'!AY64</f>
        <v>0</v>
      </c>
      <c r="M64" s="6">
        <f>'Monthly Data'!BB64</f>
        <v>0</v>
      </c>
      <c r="O64" s="20">
        <f>'GS &gt; 50 OLS model'!$B$5</f>
        <v>-11694573.8944258</v>
      </c>
      <c r="P64" s="20">
        <f>'GS &gt; 50 OLS model'!$B$6*D64</f>
        <v>10794730.23494743</v>
      </c>
      <c r="Q64" s="20">
        <f ca="1">'GS &gt; 50 OLS model'!$B$7*E64</f>
        <v>1210257.1717080032</v>
      </c>
      <c r="R64" s="20">
        <f ca="1">'GS &gt; 50 OLS model'!$B$8*F64</f>
        <v>13008.351800683537</v>
      </c>
      <c r="S64" s="20">
        <f>'GS &gt; 50 OLS model'!$B$9*G64</f>
        <v>12774017.952097816</v>
      </c>
      <c r="T64" s="20">
        <f>'GS &gt; 50 OLS model'!$B$10*H64</f>
        <v>810211.07061019435</v>
      </c>
      <c r="U64" s="20">
        <f>'GS &gt; 50 OLS model'!$B$11*I64</f>
        <v>0</v>
      </c>
      <c r="V64" s="20">
        <f>'GS &gt; 50 OLS model'!$B$12*J64</f>
        <v>0</v>
      </c>
      <c r="W64" s="20">
        <f>'GS &gt; 50 OLS model'!$B$13*K64</f>
        <v>0</v>
      </c>
      <c r="X64" s="20">
        <f>'GS &gt; 50 OLS model'!$B$14*L64</f>
        <v>0</v>
      </c>
      <c r="Y64" s="20">
        <f>'GS &gt; 50 OLS model'!$B$15*M64</f>
        <v>0</v>
      </c>
      <c r="Z64" s="20">
        <f t="shared" ca="1" si="4"/>
        <v>13907650.886738326</v>
      </c>
    </row>
    <row r="65" spans="1:26" ht="14.4" x14ac:dyDescent="0.3">
      <c r="A65" s="22">
        <v>41730</v>
      </c>
      <c r="B65" s="6">
        <f t="shared" si="2"/>
        <v>2014</v>
      </c>
      <c r="C65" s="20">
        <f ca="1">'Monthly Data'!N65</f>
        <v>12347342.329740856</v>
      </c>
      <c r="D65" s="20">
        <f>'Monthly Data'!P65</f>
        <v>211</v>
      </c>
      <c r="E65" s="6">
        <f t="shared" ca="1" si="3"/>
        <v>259.5499999999999</v>
      </c>
      <c r="F65" s="6">
        <f t="shared" ca="1" si="3"/>
        <v>2.4500000000000002</v>
      </c>
      <c r="G65" s="6">
        <f>'Monthly Data'!AJ65</f>
        <v>151.1</v>
      </c>
      <c r="H65" s="6">
        <f>'Monthly Data'!AN65</f>
        <v>64</v>
      </c>
      <c r="I65" s="6">
        <f>'Monthly Data'!AP65</f>
        <v>0</v>
      </c>
      <c r="J65" s="6">
        <f>'Monthly Data'!AV65</f>
        <v>0</v>
      </c>
      <c r="K65" s="6">
        <f>'Monthly Data'!AW65</f>
        <v>0</v>
      </c>
      <c r="L65" s="6">
        <f>'Monthly Data'!AY65</f>
        <v>0</v>
      </c>
      <c r="M65" s="6">
        <f>'Monthly Data'!BB65</f>
        <v>0</v>
      </c>
      <c r="O65" s="20">
        <f>'GS &gt; 50 OLS model'!$B$5</f>
        <v>-11694573.8944258</v>
      </c>
      <c r="P65" s="20">
        <f>'GS &gt; 50 OLS model'!$B$6*D65</f>
        <v>10693371.2656052</v>
      </c>
      <c r="Q65" s="20">
        <f ca="1">'GS &gt; 50 OLS model'!$B$7*E65</f>
        <v>695976.9772606286</v>
      </c>
      <c r="R65" s="20">
        <f ca="1">'GS &gt; 50 OLS model'!$B$8*F65</f>
        <v>36216.433990539394</v>
      </c>
      <c r="S65" s="20">
        <f>'GS &gt; 50 OLS model'!$B$9*G65</f>
        <v>12665053.232033988</v>
      </c>
      <c r="T65" s="20">
        <f>'GS &gt; 50 OLS model'!$B$10*H65</f>
        <v>823071.5637944832</v>
      </c>
      <c r="U65" s="20">
        <f>'GS &gt; 50 OLS model'!$B$11*I65</f>
        <v>0</v>
      </c>
      <c r="V65" s="20">
        <f>'GS &gt; 50 OLS model'!$B$12*J65</f>
        <v>0</v>
      </c>
      <c r="W65" s="20">
        <f>'GS &gt; 50 OLS model'!$B$13*K65</f>
        <v>0</v>
      </c>
      <c r="X65" s="20">
        <f>'GS &gt; 50 OLS model'!$B$14*L65</f>
        <v>0</v>
      </c>
      <c r="Y65" s="20">
        <f>'GS &gt; 50 OLS model'!$B$15*M65</f>
        <v>0</v>
      </c>
      <c r="Z65" s="20">
        <f t="shared" ca="1" si="4"/>
        <v>13219115.57825904</v>
      </c>
    </row>
    <row r="66" spans="1:26" ht="14.4" x14ac:dyDescent="0.3">
      <c r="A66" s="22">
        <v>41760</v>
      </c>
      <c r="B66" s="6">
        <f t="shared" si="2"/>
        <v>2014</v>
      </c>
      <c r="C66" s="20">
        <f ca="1">'Monthly Data'!N66</f>
        <v>13027047.197540756</v>
      </c>
      <c r="D66" s="20">
        <f>'Monthly Data'!P66</f>
        <v>213</v>
      </c>
      <c r="E66" s="6">
        <f t="shared" ca="1" si="3"/>
        <v>88.880000000000024</v>
      </c>
      <c r="F66" s="6">
        <f t="shared" ca="1" si="3"/>
        <v>43.79999999999999</v>
      </c>
      <c r="G66" s="6">
        <f>'Monthly Data'!AJ66</f>
        <v>151.19999999999999</v>
      </c>
      <c r="H66" s="6">
        <f>'Monthly Data'!AN66</f>
        <v>65</v>
      </c>
      <c r="I66" s="6">
        <f>'Monthly Data'!AP66</f>
        <v>0</v>
      </c>
      <c r="J66" s="6">
        <f>'Monthly Data'!AV66</f>
        <v>0</v>
      </c>
      <c r="K66" s="6">
        <f>'Monthly Data'!AW66</f>
        <v>0</v>
      </c>
      <c r="L66" s="6">
        <f>'Monthly Data'!AY66</f>
        <v>0</v>
      </c>
      <c r="M66" s="6">
        <f>'Monthly Data'!BB66</f>
        <v>0</v>
      </c>
      <c r="O66" s="20">
        <f>'GS &gt; 50 OLS model'!$B$5</f>
        <v>-11694573.8944258</v>
      </c>
      <c r="P66" s="20">
        <f>'GS &gt; 50 OLS model'!$B$6*D66</f>
        <v>10794730.23494743</v>
      </c>
      <c r="Q66" s="20">
        <f ca="1">'GS &gt; 50 OLS model'!$B$7*E66</f>
        <v>238329.54628751572</v>
      </c>
      <c r="R66" s="20">
        <f ca="1">'GS &gt; 50 OLS model'!$B$8*F66</f>
        <v>647461.14644311217</v>
      </c>
      <c r="S66" s="20">
        <f>'GS &gt; 50 OLS model'!$B$9*G66</f>
        <v>12673435.13357736</v>
      </c>
      <c r="T66" s="20">
        <f>'GS &gt; 50 OLS model'!$B$10*H66</f>
        <v>835932.05697877205</v>
      </c>
      <c r="U66" s="20">
        <f>'GS &gt; 50 OLS model'!$B$11*I66</f>
        <v>0</v>
      </c>
      <c r="V66" s="20">
        <f>'GS &gt; 50 OLS model'!$B$12*J66</f>
        <v>0</v>
      </c>
      <c r="W66" s="20">
        <f>'GS &gt; 50 OLS model'!$B$13*K66</f>
        <v>0</v>
      </c>
      <c r="X66" s="20">
        <f>'GS &gt; 50 OLS model'!$B$14*L66</f>
        <v>0</v>
      </c>
      <c r="Y66" s="20">
        <f>'GS &gt; 50 OLS model'!$B$15*M66</f>
        <v>0</v>
      </c>
      <c r="Z66" s="20">
        <f t="shared" ref="Z66:Z97" ca="1" si="5">SUM(O66:V66)</f>
        <v>13495314.223808389</v>
      </c>
    </row>
    <row r="67" spans="1:26" ht="14.4" x14ac:dyDescent="0.3">
      <c r="A67" s="22">
        <v>41791</v>
      </c>
      <c r="B67" s="6">
        <f t="shared" ref="B67:B109" si="6">YEAR(A67)</f>
        <v>2014</v>
      </c>
      <c r="C67" s="20">
        <f ca="1">'Monthly Data'!N67</f>
        <v>14734221.274116758</v>
      </c>
      <c r="D67" s="20">
        <f>'Monthly Data'!P67</f>
        <v>214</v>
      </c>
      <c r="E67" s="6">
        <f t="shared" ca="1" si="3"/>
        <v>9.77</v>
      </c>
      <c r="F67" s="6">
        <f t="shared" ca="1" si="3"/>
        <v>117.38999999999999</v>
      </c>
      <c r="G67" s="6">
        <f>'Monthly Data'!AJ67</f>
        <v>150.9</v>
      </c>
      <c r="H67" s="6">
        <f>'Monthly Data'!AN67</f>
        <v>66</v>
      </c>
      <c r="I67" s="6">
        <f>'Monthly Data'!AP67</f>
        <v>0</v>
      </c>
      <c r="J67" s="6">
        <f>'Monthly Data'!AV67</f>
        <v>0</v>
      </c>
      <c r="K67" s="6">
        <f>'Monthly Data'!AW67</f>
        <v>0</v>
      </c>
      <c r="L67" s="6">
        <f>'Monthly Data'!AY67</f>
        <v>0</v>
      </c>
      <c r="M67" s="6">
        <f>'Monthly Data'!BB67</f>
        <v>0</v>
      </c>
      <c r="O67" s="20">
        <f>'GS &gt; 50 OLS model'!$B$5</f>
        <v>-11694573.8944258</v>
      </c>
      <c r="P67" s="20">
        <f>'GS &gt; 50 OLS model'!$B$6*D67</f>
        <v>10845409.719618546</v>
      </c>
      <c r="Q67" s="20">
        <f ca="1">'GS &gt; 50 OLS model'!$B$7*E67</f>
        <v>26198.016057932356</v>
      </c>
      <c r="R67" s="20">
        <f ca="1">'GS &gt; 50 OLS model'!$B$8*F67</f>
        <v>1735284.5657752729</v>
      </c>
      <c r="S67" s="20">
        <f>'GS &gt; 50 OLS model'!$B$9*G67</f>
        <v>12648289.428947248</v>
      </c>
      <c r="T67" s="20">
        <f>'GS &gt; 50 OLS model'!$B$10*H67</f>
        <v>848792.55016306078</v>
      </c>
      <c r="U67" s="20">
        <f>'GS &gt; 50 OLS model'!$B$11*I67</f>
        <v>0</v>
      </c>
      <c r="V67" s="20">
        <f>'GS &gt; 50 OLS model'!$B$12*J67</f>
        <v>0</v>
      </c>
      <c r="W67" s="20">
        <f>'GS &gt; 50 OLS model'!$B$13*K67</f>
        <v>0</v>
      </c>
      <c r="X67" s="20">
        <f>'GS &gt; 50 OLS model'!$B$14*L67</f>
        <v>0</v>
      </c>
      <c r="Y67" s="20">
        <f>'GS &gt; 50 OLS model'!$B$15*M67</f>
        <v>0</v>
      </c>
      <c r="Z67" s="20">
        <f t="shared" ca="1" si="5"/>
        <v>14409400.38613626</v>
      </c>
    </row>
    <row r="68" spans="1:26" ht="14.4" x14ac:dyDescent="0.3">
      <c r="A68" s="22">
        <v>41821</v>
      </c>
      <c r="B68" s="6">
        <f t="shared" si="6"/>
        <v>2014</v>
      </c>
      <c r="C68" s="20">
        <f ca="1">'Monthly Data'!N68</f>
        <v>14543861.212159758</v>
      </c>
      <c r="D68" s="20">
        <f>'Monthly Data'!P68</f>
        <v>214</v>
      </c>
      <c r="E68" s="6">
        <f t="shared" ca="1" si="3"/>
        <v>0.58000000000000007</v>
      </c>
      <c r="F68" s="6">
        <f t="shared" ca="1" si="3"/>
        <v>179.70999999999998</v>
      </c>
      <c r="G68" s="6">
        <f>'Monthly Data'!AJ68</f>
        <v>153.6</v>
      </c>
      <c r="H68" s="6">
        <f>'Monthly Data'!AN68</f>
        <v>67</v>
      </c>
      <c r="I68" s="6">
        <f>'Monthly Data'!AP68</f>
        <v>0</v>
      </c>
      <c r="J68" s="6">
        <f>'Monthly Data'!AV68</f>
        <v>0</v>
      </c>
      <c r="K68" s="6">
        <f>'Monthly Data'!AW68</f>
        <v>0</v>
      </c>
      <c r="L68" s="6">
        <f>'Monthly Data'!AY68</f>
        <v>0</v>
      </c>
      <c r="M68" s="6">
        <f>'Monthly Data'!BB68</f>
        <v>0</v>
      </c>
      <c r="O68" s="20">
        <f>'GS &gt; 50 OLS model'!$B$5</f>
        <v>-11694573.8944258</v>
      </c>
      <c r="P68" s="20">
        <f>'GS &gt; 50 OLS model'!$B$6*D68</f>
        <v>10845409.719618546</v>
      </c>
      <c r="Q68" s="20">
        <f ca="1">'GS &gt; 50 OLS model'!$B$7*E68</f>
        <v>1555.2558151075507</v>
      </c>
      <c r="R68" s="20">
        <f ca="1">'GS &gt; 50 OLS model'!$B$8*F68</f>
        <v>2656512.3887509522</v>
      </c>
      <c r="S68" s="20">
        <f>'GS &gt; 50 OLS model'!$B$9*G68</f>
        <v>12874600.770618271</v>
      </c>
      <c r="T68" s="20">
        <f>'GS &gt; 50 OLS model'!$B$10*H68</f>
        <v>861653.04334734962</v>
      </c>
      <c r="U68" s="20">
        <f>'GS &gt; 50 OLS model'!$B$11*I68</f>
        <v>0</v>
      </c>
      <c r="V68" s="20">
        <f>'GS &gt; 50 OLS model'!$B$12*J68</f>
        <v>0</v>
      </c>
      <c r="W68" s="20">
        <f>'GS &gt; 50 OLS model'!$B$13*K68</f>
        <v>0</v>
      </c>
      <c r="X68" s="20">
        <f>'GS &gt; 50 OLS model'!$B$14*L68</f>
        <v>0</v>
      </c>
      <c r="Y68" s="20">
        <f>'GS &gt; 50 OLS model'!$B$15*M68</f>
        <v>0</v>
      </c>
      <c r="Z68" s="20">
        <f t="shared" ca="1" si="5"/>
        <v>15545157.283724425</v>
      </c>
    </row>
    <row r="69" spans="1:26" ht="14.4" x14ac:dyDescent="0.3">
      <c r="A69" s="22">
        <v>41852</v>
      </c>
      <c r="B69" s="6">
        <f t="shared" si="6"/>
        <v>2014</v>
      </c>
      <c r="C69" s="20">
        <f ca="1">'Monthly Data'!N69</f>
        <v>15553654.723300757</v>
      </c>
      <c r="D69" s="20">
        <f>'Monthly Data'!P69</f>
        <v>213</v>
      </c>
      <c r="E69" s="6">
        <f t="shared" ca="1" si="3"/>
        <v>1.7099999999999997</v>
      </c>
      <c r="F69" s="6">
        <f t="shared" ca="1" si="3"/>
        <v>158.1</v>
      </c>
      <c r="G69" s="6">
        <f>'Monthly Data'!AJ69</f>
        <v>154.5</v>
      </c>
      <c r="H69" s="6">
        <f>'Monthly Data'!AN69</f>
        <v>68</v>
      </c>
      <c r="I69" s="6">
        <f>'Monthly Data'!AP69</f>
        <v>0</v>
      </c>
      <c r="J69" s="6">
        <f>'Monthly Data'!AV69</f>
        <v>1</v>
      </c>
      <c r="K69" s="6">
        <f>'Monthly Data'!AW69</f>
        <v>0</v>
      </c>
      <c r="L69" s="6">
        <f>'Monthly Data'!AY69</f>
        <v>0</v>
      </c>
      <c r="M69" s="6">
        <f>'Monthly Data'!BB69</f>
        <v>0</v>
      </c>
      <c r="O69" s="20">
        <f>'GS &gt; 50 OLS model'!$B$5</f>
        <v>-11694573.8944258</v>
      </c>
      <c r="P69" s="20">
        <f>'GS &gt; 50 OLS model'!$B$6*D69</f>
        <v>10794730.23494743</v>
      </c>
      <c r="Q69" s="20">
        <f ca="1">'GS &gt; 50 OLS model'!$B$7*E69</f>
        <v>4585.3231790239843</v>
      </c>
      <c r="R69" s="20">
        <f ca="1">'GS &gt; 50 OLS model'!$B$8*F69</f>
        <v>2337068.6587364399</v>
      </c>
      <c r="S69" s="20">
        <f>'GS &gt; 50 OLS model'!$B$9*G69</f>
        <v>12950037.884508612</v>
      </c>
      <c r="T69" s="20">
        <f>'GS &gt; 50 OLS model'!$B$10*H69</f>
        <v>874513.53653163835</v>
      </c>
      <c r="U69" s="20">
        <f>'GS &gt; 50 OLS model'!$B$11*I69</f>
        <v>0</v>
      </c>
      <c r="V69" s="20">
        <f>'GS &gt; 50 OLS model'!$B$12*J69</f>
        <v>1257541.23571065</v>
      </c>
      <c r="W69" s="20">
        <f>'GS &gt; 50 OLS model'!$B$13*K69</f>
        <v>0</v>
      </c>
      <c r="X69" s="20">
        <f>'GS &gt; 50 OLS model'!$B$14*L69</f>
        <v>0</v>
      </c>
      <c r="Y69" s="20">
        <f>'GS &gt; 50 OLS model'!$B$15*M69</f>
        <v>0</v>
      </c>
      <c r="Z69" s="20">
        <f t="shared" ca="1" si="5"/>
        <v>16523902.979187995</v>
      </c>
    </row>
    <row r="70" spans="1:26" ht="14.4" x14ac:dyDescent="0.3">
      <c r="A70" s="22">
        <v>41883</v>
      </c>
      <c r="B70" s="6">
        <f t="shared" si="6"/>
        <v>2014</v>
      </c>
      <c r="C70" s="20">
        <f ca="1">'Monthly Data'!N70</f>
        <v>15488003.303288059</v>
      </c>
      <c r="D70" s="20">
        <f>'Monthly Data'!P70</f>
        <v>214</v>
      </c>
      <c r="E70" s="6">
        <f t="shared" ca="1" si="3"/>
        <v>32.68</v>
      </c>
      <c r="F70" s="6">
        <f t="shared" ca="1" si="3"/>
        <v>67.34</v>
      </c>
      <c r="G70" s="6">
        <f>'Monthly Data'!AJ70</f>
        <v>156.6</v>
      </c>
      <c r="H70" s="6">
        <f>'Monthly Data'!AN70</f>
        <v>69</v>
      </c>
      <c r="I70" s="6">
        <f>'Monthly Data'!AP70</f>
        <v>0</v>
      </c>
      <c r="J70" s="6">
        <f>'Monthly Data'!AV70</f>
        <v>0</v>
      </c>
      <c r="K70" s="6">
        <f>'Monthly Data'!AW70</f>
        <v>1</v>
      </c>
      <c r="L70" s="6">
        <f>'Monthly Data'!AY70</f>
        <v>0</v>
      </c>
      <c r="M70" s="6">
        <f>'Monthly Data'!BB70</f>
        <v>0</v>
      </c>
      <c r="O70" s="20">
        <f>'GS &gt; 50 OLS model'!$B$5</f>
        <v>-11694573.8944258</v>
      </c>
      <c r="P70" s="20">
        <f>'GS &gt; 50 OLS model'!$B$6*D70</f>
        <v>10845409.719618546</v>
      </c>
      <c r="Q70" s="20">
        <f ca="1">'GS &gt; 50 OLS model'!$B$7*E70</f>
        <v>87630.620754680596</v>
      </c>
      <c r="R70" s="20">
        <f ca="1">'GS &gt; 50 OLS model'!$B$8*F70</f>
        <v>995434.55711139692</v>
      </c>
      <c r="S70" s="20">
        <f>'GS &gt; 50 OLS model'!$B$9*G70</f>
        <v>13126057.816919409</v>
      </c>
      <c r="T70" s="20">
        <f>'GS &gt; 50 OLS model'!$B$10*H70</f>
        <v>887374.0297159272</v>
      </c>
      <c r="U70" s="20">
        <f>'GS &gt; 50 OLS model'!$B$11*I70</f>
        <v>0</v>
      </c>
      <c r="V70" s="20">
        <f>'GS &gt; 50 OLS model'!$B$12*J70</f>
        <v>0</v>
      </c>
      <c r="W70" s="20">
        <f>'GS &gt; 50 OLS model'!$B$13*K70</f>
        <v>1979532.62008895</v>
      </c>
      <c r="X70" s="20">
        <f>'GS &gt; 50 OLS model'!$B$14*L70</f>
        <v>0</v>
      </c>
      <c r="Y70" s="20">
        <f>'GS &gt; 50 OLS model'!$B$15*M70</f>
        <v>0</v>
      </c>
      <c r="Z70" s="20">
        <f t="shared" ca="1" si="5"/>
        <v>14247332.849694159</v>
      </c>
    </row>
    <row r="71" spans="1:26" ht="14.4" x14ac:dyDescent="0.3">
      <c r="A71" s="22">
        <v>41913</v>
      </c>
      <c r="B71" s="6">
        <f t="shared" si="6"/>
        <v>2014</v>
      </c>
      <c r="C71" s="20">
        <f ca="1">'Monthly Data'!N71</f>
        <v>14136513.320189355</v>
      </c>
      <c r="D71" s="20">
        <f>'Monthly Data'!P71</f>
        <v>214</v>
      </c>
      <c r="E71" s="6">
        <f t="shared" ca="1" si="3"/>
        <v>176.42</v>
      </c>
      <c r="F71" s="6">
        <f t="shared" ca="1" si="3"/>
        <v>10.18</v>
      </c>
      <c r="G71" s="6">
        <f>'Monthly Data'!AJ71</f>
        <v>158.30000000000001</v>
      </c>
      <c r="H71" s="6">
        <f>'Monthly Data'!AN71</f>
        <v>70</v>
      </c>
      <c r="I71" s="6">
        <f>'Monthly Data'!AP71</f>
        <v>0</v>
      </c>
      <c r="J71" s="6">
        <f>'Monthly Data'!AV71</f>
        <v>0</v>
      </c>
      <c r="K71" s="6">
        <f>'Monthly Data'!AW71</f>
        <v>0</v>
      </c>
      <c r="L71" s="6">
        <f>'Monthly Data'!AY71</f>
        <v>0</v>
      </c>
      <c r="M71" s="6">
        <f>'Monthly Data'!BB71</f>
        <v>1</v>
      </c>
      <c r="O71" s="20">
        <f>'GS &gt; 50 OLS model'!$B$5</f>
        <v>-11694573.8944258</v>
      </c>
      <c r="P71" s="20">
        <f>'GS &gt; 50 OLS model'!$B$6*D71</f>
        <v>10845409.719618546</v>
      </c>
      <c r="Q71" s="20">
        <f ca="1">'GS &gt; 50 OLS model'!$B$7*E71</f>
        <v>473065.91534702422</v>
      </c>
      <c r="R71" s="20">
        <f ca="1">'GS &gt; 50 OLS model'!$B$8*F71</f>
        <v>150482.97878517999</v>
      </c>
      <c r="S71" s="20">
        <f>'GS &gt; 50 OLS model'!$B$9*G71</f>
        <v>13268550.143156722</v>
      </c>
      <c r="T71" s="20">
        <f>'GS &gt; 50 OLS model'!$B$10*H71</f>
        <v>900234.52290021605</v>
      </c>
      <c r="U71" s="20">
        <f>'GS &gt; 50 OLS model'!$B$11*I71</f>
        <v>0</v>
      </c>
      <c r="V71" s="20">
        <f>'GS &gt; 50 OLS model'!$B$12*J71</f>
        <v>0</v>
      </c>
      <c r="W71" s="20">
        <f>'GS &gt; 50 OLS model'!$B$13*K71</f>
        <v>0</v>
      </c>
      <c r="X71" s="20">
        <f>'GS &gt; 50 OLS model'!$B$14*L71</f>
        <v>0</v>
      </c>
      <c r="Y71" s="20">
        <f>'GS &gt; 50 OLS model'!$B$15*M71</f>
        <v>671693.73401239095</v>
      </c>
      <c r="Z71" s="20">
        <f t="shared" ca="1" si="5"/>
        <v>13943169.385381889</v>
      </c>
    </row>
    <row r="72" spans="1:26" ht="14.4" x14ac:dyDescent="0.3">
      <c r="A72" s="22">
        <v>41944</v>
      </c>
      <c r="B72" s="6">
        <f t="shared" si="6"/>
        <v>2014</v>
      </c>
      <c r="C72" s="20">
        <f ca="1">'Monthly Data'!N72</f>
        <v>14316064.015974456</v>
      </c>
      <c r="D72" s="20">
        <f>'Monthly Data'!P72</f>
        <v>203</v>
      </c>
      <c r="E72" s="6">
        <f t="shared" ca="1" si="3"/>
        <v>364.2299999999999</v>
      </c>
      <c r="F72" s="6">
        <f t="shared" ca="1" si="3"/>
        <v>0.05</v>
      </c>
      <c r="G72" s="6">
        <f>'Monthly Data'!AJ72</f>
        <v>159.30000000000001</v>
      </c>
      <c r="H72" s="6">
        <f>'Monthly Data'!AN72</f>
        <v>71</v>
      </c>
      <c r="I72" s="6">
        <f>'Monthly Data'!AP72</f>
        <v>0</v>
      </c>
      <c r="J72" s="6">
        <f>'Monthly Data'!AV72</f>
        <v>0</v>
      </c>
      <c r="K72" s="6">
        <f>'Monthly Data'!AW72</f>
        <v>0</v>
      </c>
      <c r="L72" s="6">
        <f>'Monthly Data'!AY72</f>
        <v>1</v>
      </c>
      <c r="M72" s="6">
        <f>'Monthly Data'!BB72</f>
        <v>1</v>
      </c>
      <c r="O72" s="20">
        <f>'GS &gt; 50 OLS model'!$B$5</f>
        <v>-11694573.8944258</v>
      </c>
      <c r="P72" s="20">
        <f>'GS &gt; 50 OLS model'!$B$6*D72</f>
        <v>10287935.388236284</v>
      </c>
      <c r="Q72" s="20">
        <f ca="1">'GS &gt; 50 OLS model'!$B$7*E72</f>
        <v>976673.83713210851</v>
      </c>
      <c r="R72" s="20">
        <f ca="1">'GS &gt; 50 OLS model'!$B$8*F72</f>
        <v>739.11089776611004</v>
      </c>
      <c r="S72" s="20">
        <f>'GS &gt; 50 OLS model'!$B$9*G72</f>
        <v>13352369.158590434</v>
      </c>
      <c r="T72" s="20">
        <f>'GS &gt; 50 OLS model'!$B$10*H72</f>
        <v>913095.01608450478</v>
      </c>
      <c r="U72" s="20">
        <f>'GS &gt; 50 OLS model'!$B$11*I72</f>
        <v>0</v>
      </c>
      <c r="V72" s="20">
        <f>'GS &gt; 50 OLS model'!$B$12*J72</f>
        <v>0</v>
      </c>
      <c r="W72" s="20">
        <f>'GS &gt; 50 OLS model'!$B$13*K72</f>
        <v>0</v>
      </c>
      <c r="X72" s="20">
        <f>'GS &gt; 50 OLS model'!$B$14*L72</f>
        <v>1466841.9423256</v>
      </c>
      <c r="Y72" s="20">
        <f>'GS &gt; 50 OLS model'!$B$15*M72</f>
        <v>671693.73401239095</v>
      </c>
      <c r="Z72" s="20">
        <f t="shared" ca="1" si="5"/>
        <v>13836238.616515297</v>
      </c>
    </row>
    <row r="73" spans="1:26" ht="14.4" x14ac:dyDescent="0.3">
      <c r="A73" s="22">
        <v>41974</v>
      </c>
      <c r="B73" s="6">
        <f t="shared" si="6"/>
        <v>2014</v>
      </c>
      <c r="C73" s="20">
        <f ca="1">'Monthly Data'!N73</f>
        <v>14393324.346090155</v>
      </c>
      <c r="D73" s="20">
        <f>'Monthly Data'!P73</f>
        <v>207</v>
      </c>
      <c r="E73" s="6">
        <f t="shared" ca="1" si="3"/>
        <v>552.31000000000006</v>
      </c>
      <c r="F73" s="6">
        <f t="shared" ca="1" si="3"/>
        <v>0</v>
      </c>
      <c r="G73" s="6">
        <f>'Monthly Data'!AJ73</f>
        <v>161.1</v>
      </c>
      <c r="H73" s="6">
        <f>'Monthly Data'!AN73</f>
        <v>72</v>
      </c>
      <c r="I73" s="6">
        <f>'Monthly Data'!AP73</f>
        <v>0</v>
      </c>
      <c r="J73" s="6">
        <f>'Monthly Data'!AV73</f>
        <v>0</v>
      </c>
      <c r="K73" s="6">
        <f>'Monthly Data'!AW73</f>
        <v>0</v>
      </c>
      <c r="L73" s="6">
        <f>'Monthly Data'!AY73</f>
        <v>0</v>
      </c>
      <c r="M73" s="6">
        <f>'Monthly Data'!BB73</f>
        <v>0</v>
      </c>
      <c r="O73" s="20">
        <f>'GS &gt; 50 OLS model'!$B$5</f>
        <v>-11694573.8944258</v>
      </c>
      <c r="P73" s="20">
        <f>'GS &gt; 50 OLS model'!$B$6*D73</f>
        <v>10490653.326920742</v>
      </c>
      <c r="Q73" s="20">
        <f ca="1">'GS &gt; 50 OLS model'!$B$7*E73</f>
        <v>1481005.7573138815</v>
      </c>
      <c r="R73" s="20">
        <f ca="1">'GS &gt; 50 OLS model'!$B$8*F73</f>
        <v>0</v>
      </c>
      <c r="S73" s="20">
        <f>'GS &gt; 50 OLS model'!$B$9*G73</f>
        <v>13503243.386371115</v>
      </c>
      <c r="T73" s="20">
        <f>'GS &gt; 50 OLS model'!$B$10*H73</f>
        <v>925955.50926879363</v>
      </c>
      <c r="U73" s="20">
        <f>'GS &gt; 50 OLS model'!$B$11*I73</f>
        <v>0</v>
      </c>
      <c r="V73" s="20">
        <f>'GS &gt; 50 OLS model'!$B$12*J73</f>
        <v>0</v>
      </c>
      <c r="W73" s="20">
        <f>'GS &gt; 50 OLS model'!$B$13*K73</f>
        <v>0</v>
      </c>
      <c r="X73" s="20">
        <f>'GS &gt; 50 OLS model'!$B$14*L73</f>
        <v>0</v>
      </c>
      <c r="Y73" s="20">
        <f>'GS &gt; 50 OLS model'!$B$15*M73</f>
        <v>0</v>
      </c>
      <c r="Z73" s="20">
        <f t="shared" ca="1" si="5"/>
        <v>14706284.085448733</v>
      </c>
    </row>
    <row r="74" spans="1:26" ht="14.4" x14ac:dyDescent="0.3">
      <c r="A74" s="22">
        <v>42005</v>
      </c>
      <c r="B74" s="6">
        <f t="shared" si="6"/>
        <v>2015</v>
      </c>
      <c r="C74" s="20">
        <f ca="1">'Monthly Data'!N74</f>
        <v>15177771.982996177</v>
      </c>
      <c r="D74" s="20">
        <f>'Monthly Data'!P74</f>
        <v>210</v>
      </c>
      <c r="E74" s="6">
        <f t="shared" ca="1" si="3"/>
        <v>661.18999999999994</v>
      </c>
      <c r="F74" s="6">
        <f t="shared" ca="1" si="3"/>
        <v>0</v>
      </c>
      <c r="G74" s="6">
        <f>'Monthly Data'!AJ74</f>
        <v>159.30000000000001</v>
      </c>
      <c r="H74" s="6">
        <f>'Monthly Data'!AN74</f>
        <v>73</v>
      </c>
      <c r="I74" s="6">
        <f>'Monthly Data'!AP74</f>
        <v>0</v>
      </c>
      <c r="J74" s="6">
        <f>'Monthly Data'!AV74</f>
        <v>0</v>
      </c>
      <c r="K74" s="6">
        <f>'Monthly Data'!AW74</f>
        <v>0</v>
      </c>
      <c r="L74" s="6">
        <f>'Monthly Data'!AY74</f>
        <v>0</v>
      </c>
      <c r="M74" s="6">
        <f>'Monthly Data'!BB74</f>
        <v>0</v>
      </c>
      <c r="O74" s="20">
        <f>'GS &gt; 50 OLS model'!$B$5</f>
        <v>-11694573.8944258</v>
      </c>
      <c r="P74" s="20">
        <f>'GS &gt; 50 OLS model'!$B$6*D74</f>
        <v>10642691.780934086</v>
      </c>
      <c r="Q74" s="20">
        <f ca="1">'GS &gt; 50 OLS model'!$B$7*E74</f>
        <v>1772964.8144671745</v>
      </c>
      <c r="R74" s="20">
        <f ca="1">'GS &gt; 50 OLS model'!$B$8*F74</f>
        <v>0</v>
      </c>
      <c r="S74" s="20">
        <f>'GS &gt; 50 OLS model'!$B$9*G74</f>
        <v>13352369.158590434</v>
      </c>
      <c r="T74" s="20">
        <f>'GS &gt; 50 OLS model'!$B$10*H74</f>
        <v>938816.00245308236</v>
      </c>
      <c r="U74" s="20">
        <f>'GS &gt; 50 OLS model'!$B$11*I74</f>
        <v>0</v>
      </c>
      <c r="V74" s="20">
        <f>'GS &gt; 50 OLS model'!$B$12*J74</f>
        <v>0</v>
      </c>
      <c r="W74" s="20">
        <f>'GS &gt; 50 OLS model'!$B$13*K74</f>
        <v>0</v>
      </c>
      <c r="X74" s="20">
        <f>'GS &gt; 50 OLS model'!$B$14*L74</f>
        <v>0</v>
      </c>
      <c r="Y74" s="20">
        <f>'GS &gt; 50 OLS model'!$B$15*M74</f>
        <v>0</v>
      </c>
      <c r="Z74" s="20">
        <f t="shared" ca="1" si="5"/>
        <v>15012267.862018978</v>
      </c>
    </row>
    <row r="75" spans="1:26" ht="14.4" x14ac:dyDescent="0.3">
      <c r="A75" s="22">
        <v>42036</v>
      </c>
      <c r="B75" s="6">
        <f t="shared" si="6"/>
        <v>2015</v>
      </c>
      <c r="C75" s="20">
        <f ca="1">'Monthly Data'!N75</f>
        <v>13603697.950717775</v>
      </c>
      <c r="D75" s="20">
        <f>'Monthly Data'!P75</f>
        <v>209</v>
      </c>
      <c r="E75" s="6">
        <f t="shared" ca="1" si="3"/>
        <v>598.16999999999985</v>
      </c>
      <c r="F75" s="6">
        <f t="shared" ca="1" si="3"/>
        <v>0</v>
      </c>
      <c r="G75" s="6">
        <f>'Monthly Data'!AJ75</f>
        <v>159.1</v>
      </c>
      <c r="H75" s="6">
        <f>'Monthly Data'!AN75</f>
        <v>74</v>
      </c>
      <c r="I75" s="6">
        <f>'Monthly Data'!AP75</f>
        <v>1</v>
      </c>
      <c r="J75" s="6">
        <f>'Monthly Data'!AV75</f>
        <v>0</v>
      </c>
      <c r="K75" s="6">
        <f>'Monthly Data'!AW75</f>
        <v>0</v>
      </c>
      <c r="L75" s="6">
        <f>'Monthly Data'!AY75</f>
        <v>0</v>
      </c>
      <c r="M75" s="6">
        <f>'Monthly Data'!BB75</f>
        <v>0</v>
      </c>
      <c r="O75" s="20">
        <f>'GS &gt; 50 OLS model'!$B$5</f>
        <v>-11694573.8944258</v>
      </c>
      <c r="P75" s="20">
        <f>'GS &gt; 50 OLS model'!$B$6*D75</f>
        <v>10592012.296262972</v>
      </c>
      <c r="Q75" s="20">
        <f ca="1">'GS &gt; 50 OLS model'!$B$7*E75</f>
        <v>1603978.225729109</v>
      </c>
      <c r="R75" s="20">
        <f ca="1">'GS &gt; 50 OLS model'!$B$8*F75</f>
        <v>0</v>
      </c>
      <c r="S75" s="20">
        <f>'GS &gt; 50 OLS model'!$B$9*G75</f>
        <v>13335605.355503691</v>
      </c>
      <c r="T75" s="20">
        <f>'GS &gt; 50 OLS model'!$B$10*H75</f>
        <v>951676.4956373712</v>
      </c>
      <c r="U75" s="20">
        <f>'GS &gt; 50 OLS model'!$B$11*I75</f>
        <v>-797686.81375559501</v>
      </c>
      <c r="V75" s="20">
        <f>'GS &gt; 50 OLS model'!$B$12*J75</f>
        <v>0</v>
      </c>
      <c r="W75" s="20">
        <f>'GS &gt; 50 OLS model'!$B$13*K75</f>
        <v>0</v>
      </c>
      <c r="X75" s="20">
        <f>'GS &gt; 50 OLS model'!$B$14*L75</f>
        <v>0</v>
      </c>
      <c r="Y75" s="20">
        <f>'GS &gt; 50 OLS model'!$B$15*M75</f>
        <v>0</v>
      </c>
      <c r="Z75" s="20">
        <f t="shared" ca="1" si="5"/>
        <v>13991011.664951749</v>
      </c>
    </row>
    <row r="76" spans="1:26" ht="14.4" x14ac:dyDescent="0.3">
      <c r="A76" s="22">
        <v>42064</v>
      </c>
      <c r="B76" s="6">
        <f t="shared" si="6"/>
        <v>2015</v>
      </c>
      <c r="C76" s="20">
        <f ca="1">'Monthly Data'!N76</f>
        <v>14133898.267234076</v>
      </c>
      <c r="D76" s="20">
        <f>'Monthly Data'!P76</f>
        <v>209</v>
      </c>
      <c r="E76" s="6">
        <f t="shared" ca="1" si="3"/>
        <v>451.34</v>
      </c>
      <c r="F76" s="6">
        <f t="shared" ca="1" si="3"/>
        <v>0.88000000000000012</v>
      </c>
      <c r="G76" s="6">
        <f>'Monthly Data'!AJ76</f>
        <v>156.1</v>
      </c>
      <c r="H76" s="6">
        <f>'Monthly Data'!AN76</f>
        <v>75</v>
      </c>
      <c r="I76" s="6">
        <f>'Monthly Data'!AP76</f>
        <v>0</v>
      </c>
      <c r="J76" s="6">
        <f>'Monthly Data'!AV76</f>
        <v>0</v>
      </c>
      <c r="K76" s="6">
        <f>'Monthly Data'!AW76</f>
        <v>0</v>
      </c>
      <c r="L76" s="6">
        <f>'Monthly Data'!AY76</f>
        <v>0</v>
      </c>
      <c r="M76" s="6">
        <f>'Monthly Data'!BB76</f>
        <v>0</v>
      </c>
      <c r="O76" s="20">
        <f>'GS &gt; 50 OLS model'!$B$5</f>
        <v>-11694573.8944258</v>
      </c>
      <c r="P76" s="20">
        <f>'GS &gt; 50 OLS model'!$B$6*D76</f>
        <v>10592012.296262972</v>
      </c>
      <c r="Q76" s="20">
        <f ca="1">'GS &gt; 50 OLS model'!$B$7*E76</f>
        <v>1210257.1717080032</v>
      </c>
      <c r="R76" s="20">
        <f ca="1">'GS &gt; 50 OLS model'!$B$8*F76</f>
        <v>13008.351800683537</v>
      </c>
      <c r="S76" s="20">
        <f>'GS &gt; 50 OLS model'!$B$9*G76</f>
        <v>13084148.309202552</v>
      </c>
      <c r="T76" s="20">
        <f>'GS &gt; 50 OLS model'!$B$10*H76</f>
        <v>964536.98882166005</v>
      </c>
      <c r="U76" s="20">
        <f>'GS &gt; 50 OLS model'!$B$11*I76</f>
        <v>0</v>
      </c>
      <c r="V76" s="20">
        <f>'GS &gt; 50 OLS model'!$B$12*J76</f>
        <v>0</v>
      </c>
      <c r="W76" s="20">
        <f>'GS &gt; 50 OLS model'!$B$13*K76</f>
        <v>0</v>
      </c>
      <c r="X76" s="20">
        <f>'GS &gt; 50 OLS model'!$B$14*L76</f>
        <v>0</v>
      </c>
      <c r="Y76" s="20">
        <f>'GS &gt; 50 OLS model'!$B$15*M76</f>
        <v>0</v>
      </c>
      <c r="Z76" s="20">
        <f t="shared" ca="1" si="5"/>
        <v>14169389.22337007</v>
      </c>
    </row>
    <row r="77" spans="1:26" ht="14.4" x14ac:dyDescent="0.3">
      <c r="A77" s="22">
        <v>42095</v>
      </c>
      <c r="B77" s="6">
        <f t="shared" si="6"/>
        <v>2015</v>
      </c>
      <c r="C77" s="20">
        <f ca="1">'Monthly Data'!N77</f>
        <v>13435674.575831477</v>
      </c>
      <c r="D77" s="20">
        <f>'Monthly Data'!P77</f>
        <v>209</v>
      </c>
      <c r="E77" s="6">
        <f t="shared" ca="1" si="3"/>
        <v>259.5499999999999</v>
      </c>
      <c r="F77" s="6">
        <f t="shared" ca="1" si="3"/>
        <v>2.4500000000000002</v>
      </c>
      <c r="G77" s="6">
        <f>'Monthly Data'!AJ77</f>
        <v>156.4</v>
      </c>
      <c r="H77" s="6">
        <f>'Monthly Data'!AN77</f>
        <v>76</v>
      </c>
      <c r="I77" s="6">
        <f>'Monthly Data'!AP77</f>
        <v>0</v>
      </c>
      <c r="J77" s="6">
        <f>'Monthly Data'!AV77</f>
        <v>0</v>
      </c>
      <c r="K77" s="6">
        <f>'Monthly Data'!AW77</f>
        <v>0</v>
      </c>
      <c r="L77" s="6">
        <f>'Monthly Data'!AY77</f>
        <v>0</v>
      </c>
      <c r="M77" s="6">
        <f>'Monthly Data'!BB77</f>
        <v>0</v>
      </c>
      <c r="O77" s="20">
        <f>'GS &gt; 50 OLS model'!$B$5</f>
        <v>-11694573.8944258</v>
      </c>
      <c r="P77" s="20">
        <f>'GS &gt; 50 OLS model'!$B$6*D77</f>
        <v>10592012.296262972</v>
      </c>
      <c r="Q77" s="20">
        <f ca="1">'GS &gt; 50 OLS model'!$B$7*E77</f>
        <v>695976.9772606286</v>
      </c>
      <c r="R77" s="20">
        <f ca="1">'GS &gt; 50 OLS model'!$B$8*F77</f>
        <v>36216.433990539394</v>
      </c>
      <c r="S77" s="20">
        <f>'GS &gt; 50 OLS model'!$B$9*G77</f>
        <v>13109294.013832668</v>
      </c>
      <c r="T77" s="20">
        <f>'GS &gt; 50 OLS model'!$B$10*H77</f>
        <v>977397.48200594878</v>
      </c>
      <c r="U77" s="20">
        <f>'GS &gt; 50 OLS model'!$B$11*I77</f>
        <v>0</v>
      </c>
      <c r="V77" s="20">
        <f>'GS &gt; 50 OLS model'!$B$12*J77</f>
        <v>0</v>
      </c>
      <c r="W77" s="20">
        <f>'GS &gt; 50 OLS model'!$B$13*K77</f>
        <v>0</v>
      </c>
      <c r="X77" s="20">
        <f>'GS &gt; 50 OLS model'!$B$14*L77</f>
        <v>0</v>
      </c>
      <c r="Y77" s="20">
        <f>'GS &gt; 50 OLS model'!$B$15*M77</f>
        <v>0</v>
      </c>
      <c r="Z77" s="20">
        <f t="shared" ca="1" si="5"/>
        <v>13716323.308926957</v>
      </c>
    </row>
    <row r="78" spans="1:26" ht="14.4" x14ac:dyDescent="0.3">
      <c r="A78" s="22">
        <v>42125</v>
      </c>
      <c r="B78" s="6">
        <f t="shared" si="6"/>
        <v>2015</v>
      </c>
      <c r="C78" s="20">
        <f ca="1">'Monthly Data'!N78</f>
        <v>14011800.138445877</v>
      </c>
      <c r="D78" s="20">
        <f>'Monthly Data'!P78</f>
        <v>209</v>
      </c>
      <c r="E78" s="6">
        <f t="shared" ca="1" si="3"/>
        <v>88.880000000000024</v>
      </c>
      <c r="F78" s="6">
        <f t="shared" ca="1" si="3"/>
        <v>43.79999999999999</v>
      </c>
      <c r="G78" s="6">
        <f>'Monthly Data'!AJ78</f>
        <v>159.1</v>
      </c>
      <c r="H78" s="6">
        <f>'Monthly Data'!AN78</f>
        <v>77</v>
      </c>
      <c r="I78" s="6">
        <f>'Monthly Data'!AP78</f>
        <v>0</v>
      </c>
      <c r="J78" s="6">
        <f>'Monthly Data'!AV78</f>
        <v>0</v>
      </c>
      <c r="K78" s="6">
        <f>'Monthly Data'!AW78</f>
        <v>0</v>
      </c>
      <c r="L78" s="6">
        <f>'Monthly Data'!AY78</f>
        <v>0</v>
      </c>
      <c r="M78" s="6">
        <f>'Monthly Data'!BB78</f>
        <v>0</v>
      </c>
      <c r="O78" s="20">
        <f>'GS &gt; 50 OLS model'!$B$5</f>
        <v>-11694573.8944258</v>
      </c>
      <c r="P78" s="20">
        <f>'GS &gt; 50 OLS model'!$B$6*D78</f>
        <v>10592012.296262972</v>
      </c>
      <c r="Q78" s="20">
        <f ca="1">'GS &gt; 50 OLS model'!$B$7*E78</f>
        <v>238329.54628751572</v>
      </c>
      <c r="R78" s="20">
        <f ca="1">'GS &gt; 50 OLS model'!$B$8*F78</f>
        <v>647461.14644311217</v>
      </c>
      <c r="S78" s="20">
        <f>'GS &gt; 50 OLS model'!$B$9*G78</f>
        <v>13335605.355503691</v>
      </c>
      <c r="T78" s="20">
        <f>'GS &gt; 50 OLS model'!$B$10*H78</f>
        <v>990257.97519023763</v>
      </c>
      <c r="U78" s="20">
        <f>'GS &gt; 50 OLS model'!$B$11*I78</f>
        <v>0</v>
      </c>
      <c r="V78" s="20">
        <f>'GS &gt; 50 OLS model'!$B$12*J78</f>
        <v>0</v>
      </c>
      <c r="W78" s="20">
        <f>'GS &gt; 50 OLS model'!$B$13*K78</f>
        <v>0</v>
      </c>
      <c r="X78" s="20">
        <f>'GS &gt; 50 OLS model'!$B$14*L78</f>
        <v>0</v>
      </c>
      <c r="Y78" s="20">
        <f>'GS &gt; 50 OLS model'!$B$15*M78</f>
        <v>0</v>
      </c>
      <c r="Z78" s="20">
        <f t="shared" ca="1" si="5"/>
        <v>14109092.425261728</v>
      </c>
    </row>
    <row r="79" spans="1:26" ht="14.4" x14ac:dyDescent="0.3">
      <c r="A79" s="22">
        <v>42156</v>
      </c>
      <c r="B79" s="6">
        <f t="shared" si="6"/>
        <v>2015</v>
      </c>
      <c r="C79" s="20">
        <f ca="1">'Monthly Data'!N79</f>
        <v>14704464.368572976</v>
      </c>
      <c r="D79" s="20">
        <f>'Monthly Data'!P79</f>
        <v>210</v>
      </c>
      <c r="E79" s="6">
        <f t="shared" ref="E79:F121" ca="1" si="7">E67</f>
        <v>9.77</v>
      </c>
      <c r="F79" s="6">
        <f t="shared" ca="1" si="7"/>
        <v>117.38999999999999</v>
      </c>
      <c r="G79" s="6">
        <f>'Monthly Data'!AJ79</f>
        <v>163.9</v>
      </c>
      <c r="H79" s="6">
        <f>'Monthly Data'!AN79</f>
        <v>78</v>
      </c>
      <c r="I79" s="6">
        <f>'Monthly Data'!AP79</f>
        <v>0</v>
      </c>
      <c r="J79" s="6">
        <f>'Monthly Data'!AV79</f>
        <v>0</v>
      </c>
      <c r="K79" s="6">
        <f>'Monthly Data'!AW79</f>
        <v>0</v>
      </c>
      <c r="L79" s="6">
        <f>'Monthly Data'!AY79</f>
        <v>0</v>
      </c>
      <c r="M79" s="6">
        <f>'Monthly Data'!BB79</f>
        <v>0</v>
      </c>
      <c r="O79" s="20">
        <f>'GS &gt; 50 OLS model'!$B$5</f>
        <v>-11694573.8944258</v>
      </c>
      <c r="P79" s="20">
        <f>'GS &gt; 50 OLS model'!$B$6*D79</f>
        <v>10642691.780934086</v>
      </c>
      <c r="Q79" s="20">
        <f ca="1">'GS &gt; 50 OLS model'!$B$7*E79</f>
        <v>26198.016057932356</v>
      </c>
      <c r="R79" s="20">
        <f ca="1">'GS &gt; 50 OLS model'!$B$8*F79</f>
        <v>1735284.5657752729</v>
      </c>
      <c r="S79" s="20">
        <f>'GS &gt; 50 OLS model'!$B$9*G79</f>
        <v>13737936.629585512</v>
      </c>
      <c r="T79" s="20">
        <f>'GS &gt; 50 OLS model'!$B$10*H79</f>
        <v>1003118.4683745264</v>
      </c>
      <c r="U79" s="20">
        <f>'GS &gt; 50 OLS model'!$B$11*I79</f>
        <v>0</v>
      </c>
      <c r="V79" s="20">
        <f>'GS &gt; 50 OLS model'!$B$12*J79</f>
        <v>0</v>
      </c>
      <c r="W79" s="20">
        <f>'GS &gt; 50 OLS model'!$B$13*K79</f>
        <v>0</v>
      </c>
      <c r="X79" s="20">
        <f>'GS &gt; 50 OLS model'!$B$14*L79</f>
        <v>0</v>
      </c>
      <c r="Y79" s="20">
        <f>'GS &gt; 50 OLS model'!$B$15*M79</f>
        <v>0</v>
      </c>
      <c r="Z79" s="20">
        <f t="shared" ca="1" si="5"/>
        <v>15450655.56630153</v>
      </c>
    </row>
    <row r="80" spans="1:26" ht="14.4" x14ac:dyDescent="0.3">
      <c r="A80" s="22">
        <v>42186</v>
      </c>
      <c r="B80" s="6">
        <f t="shared" si="6"/>
        <v>2015</v>
      </c>
      <c r="C80" s="20">
        <f ca="1">'Monthly Data'!N80</f>
        <v>17048932.617466077</v>
      </c>
      <c r="D80" s="20">
        <f>'Monthly Data'!P80</f>
        <v>211</v>
      </c>
      <c r="E80" s="6">
        <f t="shared" ca="1" si="7"/>
        <v>0.58000000000000007</v>
      </c>
      <c r="F80" s="6">
        <f t="shared" ca="1" si="7"/>
        <v>179.70999999999998</v>
      </c>
      <c r="G80" s="6">
        <f>'Monthly Data'!AJ80</f>
        <v>164.8</v>
      </c>
      <c r="H80" s="6">
        <f>'Monthly Data'!AN80</f>
        <v>79</v>
      </c>
      <c r="I80" s="6">
        <f>'Monthly Data'!AP80</f>
        <v>0</v>
      </c>
      <c r="J80" s="6">
        <f>'Monthly Data'!AV80</f>
        <v>0</v>
      </c>
      <c r="K80" s="6">
        <f>'Monthly Data'!AW80</f>
        <v>0</v>
      </c>
      <c r="L80" s="6">
        <f>'Monthly Data'!AY80</f>
        <v>0</v>
      </c>
      <c r="M80" s="6">
        <f>'Monthly Data'!BB80</f>
        <v>0</v>
      </c>
      <c r="O80" s="20">
        <f>'GS &gt; 50 OLS model'!$B$5</f>
        <v>-11694573.8944258</v>
      </c>
      <c r="P80" s="20">
        <f>'GS &gt; 50 OLS model'!$B$6*D80</f>
        <v>10693371.2656052</v>
      </c>
      <c r="Q80" s="20">
        <f ca="1">'GS &gt; 50 OLS model'!$B$7*E80</f>
        <v>1555.2558151075507</v>
      </c>
      <c r="R80" s="20">
        <f ca="1">'GS &gt; 50 OLS model'!$B$8*F80</f>
        <v>2656512.3887509522</v>
      </c>
      <c r="S80" s="20">
        <f>'GS &gt; 50 OLS model'!$B$9*G80</f>
        <v>13813373.743475854</v>
      </c>
      <c r="T80" s="20">
        <f>'GS &gt; 50 OLS model'!$B$10*H80</f>
        <v>1015978.9615588152</v>
      </c>
      <c r="U80" s="20">
        <f>'GS &gt; 50 OLS model'!$B$11*I80</f>
        <v>0</v>
      </c>
      <c r="V80" s="20">
        <f>'GS &gt; 50 OLS model'!$B$12*J80</f>
        <v>0</v>
      </c>
      <c r="W80" s="20">
        <f>'GS &gt; 50 OLS model'!$B$13*K80</f>
        <v>0</v>
      </c>
      <c r="X80" s="20">
        <f>'GS &gt; 50 OLS model'!$B$14*L80</f>
        <v>0</v>
      </c>
      <c r="Y80" s="20">
        <f>'GS &gt; 50 OLS model'!$B$15*M80</f>
        <v>0</v>
      </c>
      <c r="Z80" s="20">
        <f t="shared" ca="1" si="5"/>
        <v>16486217.720780129</v>
      </c>
    </row>
    <row r="81" spans="1:26" ht="14.4" x14ac:dyDescent="0.3">
      <c r="A81" s="22">
        <v>42217</v>
      </c>
      <c r="B81" s="6">
        <f t="shared" si="6"/>
        <v>2015</v>
      </c>
      <c r="C81" s="20">
        <f ca="1">'Monthly Data'!N81</f>
        <v>17102513.859410278</v>
      </c>
      <c r="D81" s="20">
        <f>'Monthly Data'!P81</f>
        <v>213</v>
      </c>
      <c r="E81" s="6">
        <f t="shared" ca="1" si="7"/>
        <v>1.7099999999999997</v>
      </c>
      <c r="F81" s="6">
        <f t="shared" ca="1" si="7"/>
        <v>158.1</v>
      </c>
      <c r="G81" s="6">
        <f>'Monthly Data'!AJ81</f>
        <v>160.80000000000001</v>
      </c>
      <c r="H81" s="6">
        <f>'Monthly Data'!AN81</f>
        <v>80</v>
      </c>
      <c r="I81" s="6">
        <f>'Monthly Data'!AP81</f>
        <v>0</v>
      </c>
      <c r="J81" s="6">
        <f>'Monthly Data'!AV81</f>
        <v>1</v>
      </c>
      <c r="K81" s="6">
        <f>'Monthly Data'!AW81</f>
        <v>0</v>
      </c>
      <c r="L81" s="6">
        <f>'Monthly Data'!AY81</f>
        <v>0</v>
      </c>
      <c r="M81" s="6">
        <f>'Monthly Data'!BB81</f>
        <v>0</v>
      </c>
      <c r="O81" s="20">
        <f>'GS &gt; 50 OLS model'!$B$5</f>
        <v>-11694573.8944258</v>
      </c>
      <c r="P81" s="20">
        <f>'GS &gt; 50 OLS model'!$B$6*D81</f>
        <v>10794730.23494743</v>
      </c>
      <c r="Q81" s="20">
        <f ca="1">'GS &gt; 50 OLS model'!$B$7*E81</f>
        <v>4585.3231790239843</v>
      </c>
      <c r="R81" s="20">
        <f ca="1">'GS &gt; 50 OLS model'!$B$8*F81</f>
        <v>2337068.6587364399</v>
      </c>
      <c r="S81" s="20">
        <f>'GS &gt; 50 OLS model'!$B$9*G81</f>
        <v>13478097.681741003</v>
      </c>
      <c r="T81" s="20">
        <f>'GS &gt; 50 OLS model'!$B$10*H81</f>
        <v>1028839.4547431041</v>
      </c>
      <c r="U81" s="20">
        <f>'GS &gt; 50 OLS model'!$B$11*I81</f>
        <v>0</v>
      </c>
      <c r="V81" s="20">
        <f>'GS &gt; 50 OLS model'!$B$12*J81</f>
        <v>1257541.23571065</v>
      </c>
      <c r="W81" s="20">
        <f>'GS &gt; 50 OLS model'!$B$13*K81</f>
        <v>0</v>
      </c>
      <c r="X81" s="20">
        <f>'GS &gt; 50 OLS model'!$B$14*L81</f>
        <v>0</v>
      </c>
      <c r="Y81" s="20">
        <f>'GS &gt; 50 OLS model'!$B$15*M81</f>
        <v>0</v>
      </c>
      <c r="Z81" s="20">
        <f t="shared" ca="1" si="5"/>
        <v>17206288.694631852</v>
      </c>
    </row>
    <row r="82" spans="1:26" ht="14.4" x14ac:dyDescent="0.3">
      <c r="A82" s="22">
        <v>42248</v>
      </c>
      <c r="B82" s="6">
        <f t="shared" si="6"/>
        <v>2015</v>
      </c>
      <c r="C82" s="20">
        <f ca="1">'Monthly Data'!N82</f>
        <v>17704161.987049073</v>
      </c>
      <c r="D82" s="20">
        <f>'Monthly Data'!P82</f>
        <v>221</v>
      </c>
      <c r="E82" s="6">
        <f t="shared" ca="1" si="7"/>
        <v>32.68</v>
      </c>
      <c r="F82" s="6">
        <f t="shared" ca="1" si="7"/>
        <v>67.34</v>
      </c>
      <c r="G82" s="6">
        <f>'Monthly Data'!AJ82</f>
        <v>156.69999999999999</v>
      </c>
      <c r="H82" s="6">
        <f>'Monthly Data'!AN82</f>
        <v>81</v>
      </c>
      <c r="I82" s="6">
        <f>'Monthly Data'!AP82</f>
        <v>0</v>
      </c>
      <c r="J82" s="6">
        <f>'Monthly Data'!AV82</f>
        <v>0</v>
      </c>
      <c r="K82" s="6">
        <f>'Monthly Data'!AW82</f>
        <v>1</v>
      </c>
      <c r="L82" s="6">
        <f>'Monthly Data'!AY82</f>
        <v>0</v>
      </c>
      <c r="M82" s="6">
        <f>'Monthly Data'!BB82</f>
        <v>0</v>
      </c>
      <c r="O82" s="20">
        <f>'GS &gt; 50 OLS model'!$B$5</f>
        <v>-11694573.8944258</v>
      </c>
      <c r="P82" s="20">
        <f>'GS &gt; 50 OLS model'!$B$6*D82</f>
        <v>11200166.112316348</v>
      </c>
      <c r="Q82" s="20">
        <f ca="1">'GS &gt; 50 OLS model'!$B$7*E82</f>
        <v>87630.620754680596</v>
      </c>
      <c r="R82" s="20">
        <f ca="1">'GS &gt; 50 OLS model'!$B$8*F82</f>
        <v>995434.55711139692</v>
      </c>
      <c r="S82" s="20">
        <f>'GS &gt; 50 OLS model'!$B$9*G82</f>
        <v>13134439.71846278</v>
      </c>
      <c r="T82" s="20">
        <f>'GS &gt; 50 OLS model'!$B$10*H82</f>
        <v>1041699.9479273928</v>
      </c>
      <c r="U82" s="20">
        <f>'GS &gt; 50 OLS model'!$B$11*I82</f>
        <v>0</v>
      </c>
      <c r="V82" s="20">
        <f>'GS &gt; 50 OLS model'!$B$12*J82</f>
        <v>0</v>
      </c>
      <c r="W82" s="20">
        <f>'GS &gt; 50 OLS model'!$B$13*K82</f>
        <v>1979532.62008895</v>
      </c>
      <c r="X82" s="20">
        <f>'GS &gt; 50 OLS model'!$B$14*L82</f>
        <v>0</v>
      </c>
      <c r="Y82" s="20">
        <f>'GS &gt; 50 OLS model'!$B$15*M82</f>
        <v>0</v>
      </c>
      <c r="Z82" s="20">
        <f t="shared" ca="1" si="5"/>
        <v>14764797.062146798</v>
      </c>
    </row>
    <row r="83" spans="1:26" ht="14.4" x14ac:dyDescent="0.3">
      <c r="A83" s="22">
        <v>42278</v>
      </c>
      <c r="B83" s="6">
        <f t="shared" si="6"/>
        <v>2015</v>
      </c>
      <c r="C83" s="20">
        <f ca="1">'Monthly Data'!N83</f>
        <v>15731209.866388276</v>
      </c>
      <c r="D83" s="20">
        <f>'Monthly Data'!P83</f>
        <v>212</v>
      </c>
      <c r="E83" s="6">
        <f t="shared" ca="1" si="7"/>
        <v>176.42</v>
      </c>
      <c r="F83" s="6">
        <f t="shared" ca="1" si="7"/>
        <v>10.18</v>
      </c>
      <c r="G83" s="6">
        <f>'Monthly Data'!AJ83</f>
        <v>155.1</v>
      </c>
      <c r="H83" s="6">
        <f>'Monthly Data'!AN83</f>
        <v>82</v>
      </c>
      <c r="I83" s="6">
        <f>'Monthly Data'!AP83</f>
        <v>0</v>
      </c>
      <c r="J83" s="6">
        <f>'Monthly Data'!AV83</f>
        <v>0</v>
      </c>
      <c r="K83" s="6">
        <f>'Monthly Data'!AW83</f>
        <v>0</v>
      </c>
      <c r="L83" s="6">
        <f>'Monthly Data'!AY83</f>
        <v>0</v>
      </c>
      <c r="M83" s="6">
        <f>'Monthly Data'!BB83</f>
        <v>1</v>
      </c>
      <c r="O83" s="20">
        <f>'GS &gt; 50 OLS model'!$B$5</f>
        <v>-11694573.8944258</v>
      </c>
      <c r="P83" s="20">
        <f>'GS &gt; 50 OLS model'!$B$6*D83</f>
        <v>10744050.750276316</v>
      </c>
      <c r="Q83" s="20">
        <f ca="1">'GS &gt; 50 OLS model'!$B$7*E83</f>
        <v>473065.91534702422</v>
      </c>
      <c r="R83" s="20">
        <f ca="1">'GS &gt; 50 OLS model'!$B$8*F83</f>
        <v>150482.97878517999</v>
      </c>
      <c r="S83" s="20">
        <f>'GS &gt; 50 OLS model'!$B$9*G83</f>
        <v>13000329.29376884</v>
      </c>
      <c r="T83" s="20">
        <f>'GS &gt; 50 OLS model'!$B$10*H83</f>
        <v>1054560.4411116815</v>
      </c>
      <c r="U83" s="20">
        <f>'GS &gt; 50 OLS model'!$B$11*I83</f>
        <v>0</v>
      </c>
      <c r="V83" s="20">
        <f>'GS &gt; 50 OLS model'!$B$12*J83</f>
        <v>0</v>
      </c>
      <c r="W83" s="20">
        <f>'GS &gt; 50 OLS model'!$B$13*K83</f>
        <v>0</v>
      </c>
      <c r="X83" s="20">
        <f>'GS &gt; 50 OLS model'!$B$14*L83</f>
        <v>0</v>
      </c>
      <c r="Y83" s="20">
        <f>'GS &gt; 50 OLS model'!$B$15*M83</f>
        <v>671693.73401239095</v>
      </c>
      <c r="Z83" s="20">
        <f t="shared" ca="1" si="5"/>
        <v>13727915.484863242</v>
      </c>
    </row>
    <row r="84" spans="1:26" ht="14.4" x14ac:dyDescent="0.3">
      <c r="A84" s="22">
        <v>42309</v>
      </c>
      <c r="B84" s="6">
        <f t="shared" si="6"/>
        <v>2015</v>
      </c>
      <c r="C84" s="20">
        <f ca="1">'Monthly Data'!N84</f>
        <v>15114579.494740076</v>
      </c>
      <c r="D84" s="20">
        <f>'Monthly Data'!P84</f>
        <v>214</v>
      </c>
      <c r="E84" s="6">
        <f t="shared" ca="1" si="7"/>
        <v>364.2299999999999</v>
      </c>
      <c r="F84" s="6">
        <f t="shared" ca="1" si="7"/>
        <v>0.05</v>
      </c>
      <c r="G84" s="6">
        <f>'Monthly Data'!AJ84</f>
        <v>155.19999999999999</v>
      </c>
      <c r="H84" s="6">
        <f>'Monthly Data'!AN84</f>
        <v>83</v>
      </c>
      <c r="I84" s="6">
        <f>'Monthly Data'!AP84</f>
        <v>0</v>
      </c>
      <c r="J84" s="6">
        <f>'Monthly Data'!AV84</f>
        <v>0</v>
      </c>
      <c r="K84" s="6">
        <f>'Monthly Data'!AW84</f>
        <v>0</v>
      </c>
      <c r="L84" s="6">
        <f>'Monthly Data'!AY84</f>
        <v>1</v>
      </c>
      <c r="M84" s="6">
        <f>'Monthly Data'!BB84</f>
        <v>1</v>
      </c>
      <c r="O84" s="20">
        <f>'GS &gt; 50 OLS model'!$B$5</f>
        <v>-11694573.8944258</v>
      </c>
      <c r="P84" s="20">
        <f>'GS &gt; 50 OLS model'!$B$6*D84</f>
        <v>10845409.719618546</v>
      </c>
      <c r="Q84" s="20">
        <f ca="1">'GS &gt; 50 OLS model'!$B$7*E84</f>
        <v>976673.83713210851</v>
      </c>
      <c r="R84" s="20">
        <f ca="1">'GS &gt; 50 OLS model'!$B$8*F84</f>
        <v>739.11089776611004</v>
      </c>
      <c r="S84" s="20">
        <f>'GS &gt; 50 OLS model'!$B$9*G84</f>
        <v>13008711.195312211</v>
      </c>
      <c r="T84" s="20">
        <f>'GS &gt; 50 OLS model'!$B$10*H84</f>
        <v>1067420.9342959705</v>
      </c>
      <c r="U84" s="20">
        <f>'GS &gt; 50 OLS model'!$B$11*I84</f>
        <v>0</v>
      </c>
      <c r="V84" s="20">
        <f>'GS &gt; 50 OLS model'!$B$12*J84</f>
        <v>0</v>
      </c>
      <c r="W84" s="20">
        <f>'GS &gt; 50 OLS model'!$B$13*K84</f>
        <v>0</v>
      </c>
      <c r="X84" s="20">
        <f>'GS &gt; 50 OLS model'!$B$14*L84</f>
        <v>1466841.9423256</v>
      </c>
      <c r="Y84" s="20">
        <f>'GS &gt; 50 OLS model'!$B$15*M84</f>
        <v>671693.73401239095</v>
      </c>
      <c r="Z84" s="20">
        <f t="shared" ca="1" si="5"/>
        <v>14204380.902830802</v>
      </c>
    </row>
    <row r="85" spans="1:26" ht="14.4" x14ac:dyDescent="0.3">
      <c r="A85" s="22">
        <v>42339</v>
      </c>
      <c r="B85" s="6">
        <f t="shared" si="6"/>
        <v>2015</v>
      </c>
      <c r="C85" s="20">
        <f ca="1">'Monthly Data'!N85</f>
        <v>14249803.554450776</v>
      </c>
      <c r="D85" s="20">
        <f>'Monthly Data'!P85</f>
        <v>216</v>
      </c>
      <c r="E85" s="6">
        <f t="shared" ca="1" si="7"/>
        <v>552.31000000000006</v>
      </c>
      <c r="F85" s="6">
        <f t="shared" ca="1" si="7"/>
        <v>0</v>
      </c>
      <c r="G85" s="6">
        <f>'Monthly Data'!AJ85</f>
        <v>155.19999999999999</v>
      </c>
      <c r="H85" s="6">
        <f>'Monthly Data'!AN85</f>
        <v>84</v>
      </c>
      <c r="I85" s="6">
        <f>'Monthly Data'!AP85</f>
        <v>0</v>
      </c>
      <c r="J85" s="6">
        <f>'Monthly Data'!AV85</f>
        <v>0</v>
      </c>
      <c r="K85" s="6">
        <f>'Monthly Data'!AW85</f>
        <v>0</v>
      </c>
      <c r="L85" s="6">
        <f>'Monthly Data'!AY85</f>
        <v>0</v>
      </c>
      <c r="M85" s="6">
        <f>'Monthly Data'!BB85</f>
        <v>0</v>
      </c>
      <c r="O85" s="20">
        <f>'GS &gt; 50 OLS model'!$B$5</f>
        <v>-11694573.8944258</v>
      </c>
      <c r="P85" s="20">
        <f>'GS &gt; 50 OLS model'!$B$6*D85</f>
        <v>10946768.688960774</v>
      </c>
      <c r="Q85" s="20">
        <f ca="1">'GS &gt; 50 OLS model'!$B$7*E85</f>
        <v>1481005.7573138815</v>
      </c>
      <c r="R85" s="20">
        <f ca="1">'GS &gt; 50 OLS model'!$B$8*F85</f>
        <v>0</v>
      </c>
      <c r="S85" s="20">
        <f>'GS &gt; 50 OLS model'!$B$9*G85</f>
        <v>13008711.195312211</v>
      </c>
      <c r="T85" s="20">
        <f>'GS &gt; 50 OLS model'!$B$10*H85</f>
        <v>1080281.4274802592</v>
      </c>
      <c r="U85" s="20">
        <f>'GS &gt; 50 OLS model'!$B$11*I85</f>
        <v>0</v>
      </c>
      <c r="V85" s="20">
        <f>'GS &gt; 50 OLS model'!$B$12*J85</f>
        <v>0</v>
      </c>
      <c r="W85" s="20">
        <f>'GS &gt; 50 OLS model'!$B$13*K85</f>
        <v>0</v>
      </c>
      <c r="X85" s="20">
        <f>'GS &gt; 50 OLS model'!$B$14*L85</f>
        <v>0</v>
      </c>
      <c r="Y85" s="20">
        <f>'GS &gt; 50 OLS model'!$B$15*M85</f>
        <v>0</v>
      </c>
      <c r="Z85" s="20">
        <f t="shared" ca="1" si="5"/>
        <v>14822193.174641326</v>
      </c>
    </row>
    <row r="86" spans="1:26" ht="14.4" x14ac:dyDescent="0.3">
      <c r="A86" s="22">
        <v>42370</v>
      </c>
      <c r="B86" s="6">
        <f t="shared" si="6"/>
        <v>2016</v>
      </c>
      <c r="C86" s="20">
        <f ca="1">'Monthly Data'!N86</f>
        <v>15169746.811950468</v>
      </c>
      <c r="D86" s="20">
        <f>'Monthly Data'!P86</f>
        <v>213</v>
      </c>
      <c r="E86" s="6">
        <f t="shared" ca="1" si="7"/>
        <v>661.18999999999994</v>
      </c>
      <c r="F86" s="6">
        <f t="shared" ca="1" si="7"/>
        <v>0</v>
      </c>
      <c r="G86" s="6">
        <f>'Monthly Data'!AJ86</f>
        <v>155</v>
      </c>
      <c r="H86" s="6">
        <f>'Monthly Data'!AN86</f>
        <v>85</v>
      </c>
      <c r="I86" s="6">
        <f>'Monthly Data'!AP86</f>
        <v>0</v>
      </c>
      <c r="J86" s="6">
        <f>'Monthly Data'!AV86</f>
        <v>0</v>
      </c>
      <c r="K86" s="6">
        <f>'Monthly Data'!AW86</f>
        <v>0</v>
      </c>
      <c r="L86" s="6">
        <f>'Monthly Data'!AY86</f>
        <v>0</v>
      </c>
      <c r="M86" s="6">
        <f>'Monthly Data'!BB86</f>
        <v>0</v>
      </c>
      <c r="O86" s="20">
        <f>'GS &gt; 50 OLS model'!$B$5</f>
        <v>-11694573.8944258</v>
      </c>
      <c r="P86" s="20">
        <f>'GS &gt; 50 OLS model'!$B$6*D86</f>
        <v>10794730.23494743</v>
      </c>
      <c r="Q86" s="20">
        <f ca="1">'GS &gt; 50 OLS model'!$B$7*E86</f>
        <v>1772964.8144671745</v>
      </c>
      <c r="R86" s="20">
        <f ca="1">'GS &gt; 50 OLS model'!$B$8*F86</f>
        <v>0</v>
      </c>
      <c r="S86" s="20">
        <f>'GS &gt; 50 OLS model'!$B$9*G86</f>
        <v>12991947.392225469</v>
      </c>
      <c r="T86" s="20">
        <f>'GS &gt; 50 OLS model'!$B$10*H86</f>
        <v>1093141.9206645479</v>
      </c>
      <c r="U86" s="20">
        <f>'GS &gt; 50 OLS model'!$B$11*I86</f>
        <v>0</v>
      </c>
      <c r="V86" s="20">
        <f>'GS &gt; 50 OLS model'!$B$12*J86</f>
        <v>0</v>
      </c>
      <c r="W86" s="20">
        <f>'GS &gt; 50 OLS model'!$B$13*K86</f>
        <v>0</v>
      </c>
      <c r="X86" s="20">
        <f>'GS &gt; 50 OLS model'!$B$14*L86</f>
        <v>0</v>
      </c>
      <c r="Y86" s="20">
        <f>'GS &gt; 50 OLS model'!$B$15*M86</f>
        <v>0</v>
      </c>
      <c r="Z86" s="20">
        <f t="shared" ca="1" si="5"/>
        <v>14958210.467878822</v>
      </c>
    </row>
    <row r="87" spans="1:26" ht="14.4" x14ac:dyDescent="0.3">
      <c r="A87" s="22">
        <v>42401</v>
      </c>
      <c r="B87" s="6">
        <f t="shared" si="6"/>
        <v>2016</v>
      </c>
      <c r="C87" s="20">
        <f ca="1">'Monthly Data'!N87</f>
        <v>14769186.220313367</v>
      </c>
      <c r="D87" s="20">
        <f>'Monthly Data'!P87</f>
        <v>213</v>
      </c>
      <c r="E87" s="6">
        <f t="shared" ca="1" si="7"/>
        <v>598.16999999999985</v>
      </c>
      <c r="F87" s="6">
        <f t="shared" ca="1" si="7"/>
        <v>0</v>
      </c>
      <c r="G87" s="6">
        <f>'Monthly Data'!AJ87</f>
        <v>156</v>
      </c>
      <c r="H87" s="6">
        <f>'Monthly Data'!AN87</f>
        <v>86</v>
      </c>
      <c r="I87" s="6">
        <f>'Monthly Data'!AP87</f>
        <v>1</v>
      </c>
      <c r="J87" s="6">
        <f>'Monthly Data'!AV87</f>
        <v>0</v>
      </c>
      <c r="K87" s="6">
        <f>'Monthly Data'!AW87</f>
        <v>0</v>
      </c>
      <c r="L87" s="6">
        <f>'Monthly Data'!AY87</f>
        <v>0</v>
      </c>
      <c r="M87" s="6">
        <f>'Monthly Data'!BB87</f>
        <v>0</v>
      </c>
      <c r="O87" s="20">
        <f>'GS &gt; 50 OLS model'!$B$5</f>
        <v>-11694573.8944258</v>
      </c>
      <c r="P87" s="20">
        <f>'GS &gt; 50 OLS model'!$B$6*D87</f>
        <v>10794730.23494743</v>
      </c>
      <c r="Q87" s="20">
        <f ca="1">'GS &gt; 50 OLS model'!$B$7*E87</f>
        <v>1603978.225729109</v>
      </c>
      <c r="R87" s="20">
        <f ca="1">'GS &gt; 50 OLS model'!$B$8*F87</f>
        <v>0</v>
      </c>
      <c r="S87" s="20">
        <f>'GS &gt; 50 OLS model'!$B$9*G87</f>
        <v>13075766.407659182</v>
      </c>
      <c r="T87" s="20">
        <f>'GS &gt; 50 OLS model'!$B$10*H87</f>
        <v>1106002.4138488369</v>
      </c>
      <c r="U87" s="20">
        <f>'GS &gt; 50 OLS model'!$B$11*I87</f>
        <v>-797686.81375559501</v>
      </c>
      <c r="V87" s="20">
        <f>'GS &gt; 50 OLS model'!$B$12*J87</f>
        <v>0</v>
      </c>
      <c r="W87" s="20">
        <f>'GS &gt; 50 OLS model'!$B$13*K87</f>
        <v>0</v>
      </c>
      <c r="X87" s="20">
        <f>'GS &gt; 50 OLS model'!$B$14*L87</f>
        <v>0</v>
      </c>
      <c r="Y87" s="20">
        <f>'GS &gt; 50 OLS model'!$B$15*M87</f>
        <v>0</v>
      </c>
      <c r="Z87" s="20">
        <f t="shared" ca="1" si="5"/>
        <v>14088216.574003164</v>
      </c>
    </row>
    <row r="88" spans="1:26" ht="14.4" x14ac:dyDescent="0.3">
      <c r="A88" s="22">
        <v>42430</v>
      </c>
      <c r="B88" s="6">
        <f t="shared" si="6"/>
        <v>2016</v>
      </c>
      <c r="C88" s="20">
        <f ca="1">'Monthly Data'!N88</f>
        <v>14860679.595221367</v>
      </c>
      <c r="D88" s="20">
        <f>'Monthly Data'!P88</f>
        <v>214</v>
      </c>
      <c r="E88" s="6">
        <f t="shared" ca="1" si="7"/>
        <v>451.34</v>
      </c>
      <c r="F88" s="6">
        <f t="shared" ca="1" si="7"/>
        <v>0.88000000000000012</v>
      </c>
      <c r="G88" s="6">
        <f>'Monthly Data'!AJ88</f>
        <v>156.80000000000001</v>
      </c>
      <c r="H88" s="6">
        <f>'Monthly Data'!AN88</f>
        <v>87</v>
      </c>
      <c r="I88" s="6">
        <f>'Monthly Data'!AP88</f>
        <v>0</v>
      </c>
      <c r="J88" s="6">
        <f>'Monthly Data'!AV88</f>
        <v>0</v>
      </c>
      <c r="K88" s="6">
        <f>'Monthly Data'!AW88</f>
        <v>0</v>
      </c>
      <c r="L88" s="6">
        <f>'Monthly Data'!AY88</f>
        <v>0</v>
      </c>
      <c r="M88" s="6">
        <f>'Monthly Data'!BB88</f>
        <v>0</v>
      </c>
      <c r="O88" s="20">
        <f>'GS &gt; 50 OLS model'!$B$5</f>
        <v>-11694573.8944258</v>
      </c>
      <c r="P88" s="20">
        <f>'GS &gt; 50 OLS model'!$B$6*D88</f>
        <v>10845409.719618546</v>
      </c>
      <c r="Q88" s="20">
        <f ca="1">'GS &gt; 50 OLS model'!$B$7*E88</f>
        <v>1210257.1717080032</v>
      </c>
      <c r="R88" s="20">
        <f ca="1">'GS &gt; 50 OLS model'!$B$8*F88</f>
        <v>13008.351800683537</v>
      </c>
      <c r="S88" s="20">
        <f>'GS &gt; 50 OLS model'!$B$9*G88</f>
        <v>13142821.620006153</v>
      </c>
      <c r="T88" s="20">
        <f>'GS &gt; 50 OLS model'!$B$10*H88</f>
        <v>1118862.9070331256</v>
      </c>
      <c r="U88" s="20">
        <f>'GS &gt; 50 OLS model'!$B$11*I88</f>
        <v>0</v>
      </c>
      <c r="V88" s="20">
        <f>'GS &gt; 50 OLS model'!$B$12*J88</f>
        <v>0</v>
      </c>
      <c r="W88" s="20">
        <f>'GS &gt; 50 OLS model'!$B$13*K88</f>
        <v>0</v>
      </c>
      <c r="X88" s="20">
        <f>'GS &gt; 50 OLS model'!$B$14*L88</f>
        <v>0</v>
      </c>
      <c r="Y88" s="20">
        <f>'GS &gt; 50 OLS model'!$B$15*M88</f>
        <v>0</v>
      </c>
      <c r="Z88" s="20">
        <f t="shared" ca="1" si="5"/>
        <v>14635785.875740711</v>
      </c>
    </row>
    <row r="89" spans="1:26" ht="14.4" x14ac:dyDescent="0.3">
      <c r="A89" s="22">
        <v>42461</v>
      </c>
      <c r="B89" s="6">
        <f t="shared" si="6"/>
        <v>2016</v>
      </c>
      <c r="C89" s="20">
        <f ca="1">'Monthly Data'!N89</f>
        <v>14541974.589204766</v>
      </c>
      <c r="D89" s="20">
        <f>'Monthly Data'!P89</f>
        <v>218</v>
      </c>
      <c r="E89" s="6">
        <f t="shared" ca="1" si="7"/>
        <v>259.5499999999999</v>
      </c>
      <c r="F89" s="6">
        <f t="shared" ca="1" si="7"/>
        <v>2.4500000000000002</v>
      </c>
      <c r="G89" s="6">
        <f>'Monthly Data'!AJ89</f>
        <v>159.30000000000001</v>
      </c>
      <c r="H89" s="6">
        <f>'Monthly Data'!AN89</f>
        <v>88</v>
      </c>
      <c r="I89" s="6">
        <f>'Monthly Data'!AP89</f>
        <v>0</v>
      </c>
      <c r="J89" s="6">
        <f>'Monthly Data'!AV89</f>
        <v>0</v>
      </c>
      <c r="K89" s="6">
        <f>'Monthly Data'!AW89</f>
        <v>0</v>
      </c>
      <c r="L89" s="6">
        <f>'Monthly Data'!AY89</f>
        <v>0</v>
      </c>
      <c r="M89" s="6">
        <f>'Monthly Data'!BB89</f>
        <v>0</v>
      </c>
      <c r="O89" s="20">
        <f>'GS &gt; 50 OLS model'!$B$5</f>
        <v>-11694573.8944258</v>
      </c>
      <c r="P89" s="20">
        <f>'GS &gt; 50 OLS model'!$B$6*D89</f>
        <v>11048127.658303004</v>
      </c>
      <c r="Q89" s="20">
        <f ca="1">'GS &gt; 50 OLS model'!$B$7*E89</f>
        <v>695976.9772606286</v>
      </c>
      <c r="R89" s="20">
        <f ca="1">'GS &gt; 50 OLS model'!$B$8*F89</f>
        <v>36216.433990539394</v>
      </c>
      <c r="S89" s="20">
        <f>'GS &gt; 50 OLS model'!$B$9*G89</f>
        <v>13352369.158590434</v>
      </c>
      <c r="T89" s="20">
        <f>'GS &gt; 50 OLS model'!$B$10*H89</f>
        <v>1131723.4002174144</v>
      </c>
      <c r="U89" s="20">
        <f>'GS &gt; 50 OLS model'!$B$11*I89</f>
        <v>0</v>
      </c>
      <c r="V89" s="20">
        <f>'GS &gt; 50 OLS model'!$B$12*J89</f>
        <v>0</v>
      </c>
      <c r="W89" s="20">
        <f>'GS &gt; 50 OLS model'!$B$13*K89</f>
        <v>0</v>
      </c>
      <c r="X89" s="20">
        <f>'GS &gt; 50 OLS model'!$B$14*L89</f>
        <v>0</v>
      </c>
      <c r="Y89" s="20">
        <f>'GS &gt; 50 OLS model'!$B$15*M89</f>
        <v>0</v>
      </c>
      <c r="Z89" s="20">
        <f t="shared" ca="1" si="5"/>
        <v>14569839.73393622</v>
      </c>
    </row>
    <row r="90" spans="1:26" ht="14.4" x14ac:dyDescent="0.3">
      <c r="A90" s="22">
        <v>42491</v>
      </c>
      <c r="B90" s="6">
        <f t="shared" si="6"/>
        <v>2016</v>
      </c>
      <c r="C90" s="20">
        <f ca="1">'Monthly Data'!N90</f>
        <v>15021598.285015468</v>
      </c>
      <c r="D90" s="20">
        <f>'Monthly Data'!P90</f>
        <v>220</v>
      </c>
      <c r="E90" s="6">
        <f t="shared" ca="1" si="7"/>
        <v>88.880000000000024</v>
      </c>
      <c r="F90" s="6">
        <f t="shared" ca="1" si="7"/>
        <v>43.79999999999999</v>
      </c>
      <c r="G90" s="6">
        <f>'Monthly Data'!AJ90</f>
        <v>162.1</v>
      </c>
      <c r="H90" s="6">
        <f>'Monthly Data'!AN90</f>
        <v>89</v>
      </c>
      <c r="I90" s="6">
        <f>'Monthly Data'!AP90</f>
        <v>0</v>
      </c>
      <c r="J90" s="6">
        <f>'Monthly Data'!AV90</f>
        <v>0</v>
      </c>
      <c r="K90" s="6">
        <f>'Monthly Data'!AW90</f>
        <v>0</v>
      </c>
      <c r="L90" s="6">
        <f>'Monthly Data'!AY90</f>
        <v>0</v>
      </c>
      <c r="M90" s="6">
        <f>'Monthly Data'!BB90</f>
        <v>0</v>
      </c>
      <c r="O90" s="20">
        <f>'GS &gt; 50 OLS model'!$B$5</f>
        <v>-11694573.8944258</v>
      </c>
      <c r="P90" s="20">
        <f>'GS &gt; 50 OLS model'!$B$6*D90</f>
        <v>11149486.627645234</v>
      </c>
      <c r="Q90" s="20">
        <f ca="1">'GS &gt; 50 OLS model'!$B$7*E90</f>
        <v>238329.54628751572</v>
      </c>
      <c r="R90" s="20">
        <f ca="1">'GS &gt; 50 OLS model'!$B$8*F90</f>
        <v>647461.14644311217</v>
      </c>
      <c r="S90" s="20">
        <f>'GS &gt; 50 OLS model'!$B$9*G90</f>
        <v>13587062.401804829</v>
      </c>
      <c r="T90" s="20">
        <f>'GS &gt; 50 OLS model'!$B$10*H90</f>
        <v>1144583.8934017031</v>
      </c>
      <c r="U90" s="20">
        <f>'GS &gt; 50 OLS model'!$B$11*I90</f>
        <v>0</v>
      </c>
      <c r="V90" s="20">
        <f>'GS &gt; 50 OLS model'!$B$12*J90</f>
        <v>0</v>
      </c>
      <c r="W90" s="20">
        <f>'GS &gt; 50 OLS model'!$B$13*K90</f>
        <v>0</v>
      </c>
      <c r="X90" s="20">
        <f>'GS &gt; 50 OLS model'!$B$14*L90</f>
        <v>0</v>
      </c>
      <c r="Y90" s="20">
        <f>'GS &gt; 50 OLS model'!$B$15*M90</f>
        <v>0</v>
      </c>
      <c r="Z90" s="20">
        <f t="shared" ca="1" si="5"/>
        <v>15072349.721156593</v>
      </c>
    </row>
    <row r="91" spans="1:26" ht="14.4" x14ac:dyDescent="0.3">
      <c r="A91" s="22">
        <v>42522</v>
      </c>
      <c r="B91" s="6">
        <f t="shared" si="6"/>
        <v>2016</v>
      </c>
      <c r="C91" s="20">
        <f ca="1">'Monthly Data'!N91</f>
        <v>16752273.439745067</v>
      </c>
      <c r="D91" s="20">
        <f>'Monthly Data'!P91</f>
        <v>221</v>
      </c>
      <c r="E91" s="6">
        <f t="shared" ca="1" si="7"/>
        <v>9.77</v>
      </c>
      <c r="F91" s="6">
        <f t="shared" ca="1" si="7"/>
        <v>117.38999999999999</v>
      </c>
      <c r="G91" s="6">
        <f>'Monthly Data'!AJ91</f>
        <v>166.7</v>
      </c>
      <c r="H91" s="6">
        <f>'Monthly Data'!AN91</f>
        <v>90</v>
      </c>
      <c r="I91" s="6">
        <f>'Monthly Data'!AP91</f>
        <v>0</v>
      </c>
      <c r="J91" s="6">
        <f>'Monthly Data'!AV91</f>
        <v>0</v>
      </c>
      <c r="K91" s="6">
        <f>'Monthly Data'!AW91</f>
        <v>0</v>
      </c>
      <c r="L91" s="6">
        <f>'Monthly Data'!AY91</f>
        <v>0</v>
      </c>
      <c r="M91" s="6">
        <f>'Monthly Data'!BB91</f>
        <v>0</v>
      </c>
      <c r="O91" s="20">
        <f>'GS &gt; 50 OLS model'!$B$5</f>
        <v>-11694573.8944258</v>
      </c>
      <c r="P91" s="20">
        <f>'GS &gt; 50 OLS model'!$B$6*D91</f>
        <v>11200166.112316348</v>
      </c>
      <c r="Q91" s="20">
        <f ca="1">'GS &gt; 50 OLS model'!$B$7*E91</f>
        <v>26198.016057932356</v>
      </c>
      <c r="R91" s="20">
        <f ca="1">'GS &gt; 50 OLS model'!$B$8*F91</f>
        <v>1735284.5657752729</v>
      </c>
      <c r="S91" s="20">
        <f>'GS &gt; 50 OLS model'!$B$9*G91</f>
        <v>13972629.872799907</v>
      </c>
      <c r="T91" s="20">
        <f>'GS &gt; 50 OLS model'!$B$10*H91</f>
        <v>1157444.3865859921</v>
      </c>
      <c r="U91" s="20">
        <f>'GS &gt; 50 OLS model'!$B$11*I91</f>
        <v>0</v>
      </c>
      <c r="V91" s="20">
        <f>'GS &gt; 50 OLS model'!$B$12*J91</f>
        <v>0</v>
      </c>
      <c r="W91" s="20">
        <f>'GS &gt; 50 OLS model'!$B$13*K91</f>
        <v>0</v>
      </c>
      <c r="X91" s="20">
        <f>'GS &gt; 50 OLS model'!$B$14*L91</f>
        <v>0</v>
      </c>
      <c r="Y91" s="20">
        <f>'GS &gt; 50 OLS model'!$B$15*M91</f>
        <v>0</v>
      </c>
      <c r="Z91" s="20">
        <f t="shared" ca="1" si="5"/>
        <v>16397149.059109651</v>
      </c>
    </row>
    <row r="92" spans="1:26" ht="14.4" x14ac:dyDescent="0.3">
      <c r="A92" s="22">
        <v>42552</v>
      </c>
      <c r="B92" s="6">
        <f t="shared" si="6"/>
        <v>2016</v>
      </c>
      <c r="C92" s="20">
        <f ca="1">'Monthly Data'!N92</f>
        <v>18719740.134575665</v>
      </c>
      <c r="D92" s="20">
        <f>'Monthly Data'!P92</f>
        <v>247</v>
      </c>
      <c r="E92" s="6">
        <f t="shared" ca="1" si="7"/>
        <v>0.58000000000000007</v>
      </c>
      <c r="F92" s="6">
        <f t="shared" ca="1" si="7"/>
        <v>179.70999999999998</v>
      </c>
      <c r="G92" s="6">
        <f>'Monthly Data'!AJ92</f>
        <v>169.9</v>
      </c>
      <c r="H92" s="6">
        <f>'Monthly Data'!AN92</f>
        <v>91</v>
      </c>
      <c r="I92" s="6">
        <f>'Monthly Data'!AP92</f>
        <v>0</v>
      </c>
      <c r="J92" s="6">
        <f>'Monthly Data'!AV92</f>
        <v>0</v>
      </c>
      <c r="K92" s="6">
        <f>'Monthly Data'!AW92</f>
        <v>0</v>
      </c>
      <c r="L92" s="6">
        <f>'Monthly Data'!AY92</f>
        <v>0</v>
      </c>
      <c r="M92" s="6">
        <f>'Monthly Data'!BB92</f>
        <v>0</v>
      </c>
      <c r="O92" s="20">
        <f>'GS &gt; 50 OLS model'!$B$5</f>
        <v>-11694573.8944258</v>
      </c>
      <c r="P92" s="20">
        <f>'GS &gt; 50 OLS model'!$B$6*D92</f>
        <v>12517832.713765331</v>
      </c>
      <c r="Q92" s="20">
        <f ca="1">'GS &gt; 50 OLS model'!$B$7*E92</f>
        <v>1555.2558151075507</v>
      </c>
      <c r="R92" s="20">
        <f ca="1">'GS &gt; 50 OLS model'!$B$8*F92</f>
        <v>2656512.3887509522</v>
      </c>
      <c r="S92" s="20">
        <f>'GS &gt; 50 OLS model'!$B$9*G92</f>
        <v>14240850.722187789</v>
      </c>
      <c r="T92" s="20">
        <f>'GS &gt; 50 OLS model'!$B$10*H92</f>
        <v>1170304.8797702808</v>
      </c>
      <c r="U92" s="20">
        <f>'GS &gt; 50 OLS model'!$B$11*I92</f>
        <v>0</v>
      </c>
      <c r="V92" s="20">
        <f>'GS &gt; 50 OLS model'!$B$12*J92</f>
        <v>0</v>
      </c>
      <c r="W92" s="20">
        <f>'GS &gt; 50 OLS model'!$B$13*K92</f>
        <v>0</v>
      </c>
      <c r="X92" s="20">
        <f>'GS &gt; 50 OLS model'!$B$14*L92</f>
        <v>0</v>
      </c>
      <c r="Y92" s="20">
        <f>'GS &gt; 50 OLS model'!$B$15*M92</f>
        <v>0</v>
      </c>
      <c r="Z92" s="20">
        <f t="shared" ca="1" si="5"/>
        <v>18892482.065863661</v>
      </c>
    </row>
    <row r="93" spans="1:26" ht="14.4" x14ac:dyDescent="0.3">
      <c r="A93" s="22">
        <v>42583</v>
      </c>
      <c r="B93" s="6">
        <f t="shared" si="6"/>
        <v>2016</v>
      </c>
      <c r="C93" s="20">
        <f ca="1">'Monthly Data'!N93</f>
        <v>20897368.232487865</v>
      </c>
      <c r="D93" s="20">
        <f>'Monthly Data'!P93</f>
        <v>218</v>
      </c>
      <c r="E93" s="6">
        <f t="shared" ca="1" si="7"/>
        <v>1.7099999999999997</v>
      </c>
      <c r="F93" s="6">
        <f t="shared" ca="1" si="7"/>
        <v>158.1</v>
      </c>
      <c r="G93" s="6">
        <f>'Monthly Data'!AJ93</f>
        <v>171.7</v>
      </c>
      <c r="H93" s="6">
        <f>'Monthly Data'!AN93</f>
        <v>92</v>
      </c>
      <c r="I93" s="6">
        <f>'Monthly Data'!AP93</f>
        <v>0</v>
      </c>
      <c r="J93" s="6">
        <f>'Monthly Data'!AV93</f>
        <v>1</v>
      </c>
      <c r="K93" s="6">
        <f>'Monthly Data'!AW93</f>
        <v>0</v>
      </c>
      <c r="L93" s="6">
        <f>'Monthly Data'!AY93</f>
        <v>0</v>
      </c>
      <c r="M93" s="6">
        <f>'Monthly Data'!BB93</f>
        <v>0</v>
      </c>
      <c r="O93" s="20">
        <f>'GS &gt; 50 OLS model'!$B$5</f>
        <v>-11694573.8944258</v>
      </c>
      <c r="P93" s="20">
        <f>'GS &gt; 50 OLS model'!$B$6*D93</f>
        <v>11048127.658303004</v>
      </c>
      <c r="Q93" s="20">
        <f ca="1">'GS &gt; 50 OLS model'!$B$7*E93</f>
        <v>4585.3231790239843</v>
      </c>
      <c r="R93" s="20">
        <f ca="1">'GS &gt; 50 OLS model'!$B$8*F93</f>
        <v>2337068.6587364399</v>
      </c>
      <c r="S93" s="20">
        <f>'GS &gt; 50 OLS model'!$B$9*G93</f>
        <v>14391724.94996847</v>
      </c>
      <c r="T93" s="20">
        <f>'GS &gt; 50 OLS model'!$B$10*H93</f>
        <v>1183165.3729545695</v>
      </c>
      <c r="U93" s="20">
        <f>'GS &gt; 50 OLS model'!$B$11*I93</f>
        <v>0</v>
      </c>
      <c r="V93" s="20">
        <f>'GS &gt; 50 OLS model'!$B$12*J93</f>
        <v>1257541.23571065</v>
      </c>
      <c r="W93" s="20">
        <f>'GS &gt; 50 OLS model'!$B$13*K93</f>
        <v>0</v>
      </c>
      <c r="X93" s="20">
        <f>'GS &gt; 50 OLS model'!$B$14*L93</f>
        <v>0</v>
      </c>
      <c r="Y93" s="20">
        <f>'GS &gt; 50 OLS model'!$B$15*M93</f>
        <v>0</v>
      </c>
      <c r="Z93" s="20">
        <f t="shared" ca="1" si="5"/>
        <v>18527639.304426357</v>
      </c>
    </row>
    <row r="94" spans="1:26" ht="14.4" x14ac:dyDescent="0.3">
      <c r="A94" s="22">
        <v>42614</v>
      </c>
      <c r="B94" s="6">
        <f t="shared" si="6"/>
        <v>2016</v>
      </c>
      <c r="C94" s="20">
        <f ca="1">'Monthly Data'!N94</f>
        <v>20018808.978007965</v>
      </c>
      <c r="D94" s="20">
        <f>'Monthly Data'!P94</f>
        <v>218</v>
      </c>
      <c r="E94" s="6">
        <f t="shared" ca="1" si="7"/>
        <v>32.68</v>
      </c>
      <c r="F94" s="6">
        <f t="shared" ca="1" si="7"/>
        <v>67.34</v>
      </c>
      <c r="G94" s="6">
        <f>'Monthly Data'!AJ94</f>
        <v>170.5</v>
      </c>
      <c r="H94" s="6">
        <f>'Monthly Data'!AN94</f>
        <v>93</v>
      </c>
      <c r="I94" s="6">
        <f>'Monthly Data'!AP94</f>
        <v>0</v>
      </c>
      <c r="J94" s="6">
        <f>'Monthly Data'!AV94</f>
        <v>0</v>
      </c>
      <c r="K94" s="6">
        <f>'Monthly Data'!AW94</f>
        <v>1</v>
      </c>
      <c r="L94" s="6">
        <f>'Monthly Data'!AY94</f>
        <v>0</v>
      </c>
      <c r="M94" s="6">
        <f>'Monthly Data'!BB94</f>
        <v>0</v>
      </c>
      <c r="O94" s="20">
        <f>'GS &gt; 50 OLS model'!$B$5</f>
        <v>-11694573.8944258</v>
      </c>
      <c r="P94" s="20">
        <f>'GS &gt; 50 OLS model'!$B$6*D94</f>
        <v>11048127.658303004</v>
      </c>
      <c r="Q94" s="20">
        <f ca="1">'GS &gt; 50 OLS model'!$B$7*E94</f>
        <v>87630.620754680596</v>
      </c>
      <c r="R94" s="20">
        <f ca="1">'GS &gt; 50 OLS model'!$B$8*F94</f>
        <v>995434.55711139692</v>
      </c>
      <c r="S94" s="20">
        <f>'GS &gt; 50 OLS model'!$B$9*G94</f>
        <v>14291142.131448016</v>
      </c>
      <c r="T94" s="20">
        <f>'GS &gt; 50 OLS model'!$B$10*H94</f>
        <v>1196025.8661388585</v>
      </c>
      <c r="U94" s="20">
        <f>'GS &gt; 50 OLS model'!$B$11*I94</f>
        <v>0</v>
      </c>
      <c r="V94" s="20">
        <f>'GS &gt; 50 OLS model'!$B$12*J94</f>
        <v>0</v>
      </c>
      <c r="W94" s="20">
        <f>'GS &gt; 50 OLS model'!$B$13*K94</f>
        <v>1979532.62008895</v>
      </c>
      <c r="X94" s="20">
        <f>'GS &gt; 50 OLS model'!$B$14*L94</f>
        <v>0</v>
      </c>
      <c r="Y94" s="20">
        <f>'GS &gt; 50 OLS model'!$B$15*M94</f>
        <v>0</v>
      </c>
      <c r="Z94" s="20">
        <f t="shared" ca="1" si="5"/>
        <v>15923786.939330155</v>
      </c>
    </row>
    <row r="95" spans="1:26" ht="14.4" x14ac:dyDescent="0.3">
      <c r="A95" s="22">
        <v>42644</v>
      </c>
      <c r="B95" s="6">
        <f t="shared" si="6"/>
        <v>2016</v>
      </c>
      <c r="C95" s="20">
        <f ca="1">'Monthly Data'!N95</f>
        <v>17604410.628520165</v>
      </c>
      <c r="D95" s="20">
        <f>'Monthly Data'!P95</f>
        <v>217</v>
      </c>
      <c r="E95" s="6">
        <f t="shared" ca="1" si="7"/>
        <v>176.42</v>
      </c>
      <c r="F95" s="6">
        <f t="shared" ca="1" si="7"/>
        <v>10.18</v>
      </c>
      <c r="G95" s="6">
        <f>'Monthly Data'!AJ95</f>
        <v>169.2</v>
      </c>
      <c r="H95" s="6">
        <f>'Monthly Data'!AN95</f>
        <v>94</v>
      </c>
      <c r="I95" s="6">
        <f>'Monthly Data'!AP95</f>
        <v>0</v>
      </c>
      <c r="J95" s="6">
        <f>'Monthly Data'!AV95</f>
        <v>0</v>
      </c>
      <c r="K95" s="6">
        <f>'Monthly Data'!AW95</f>
        <v>0</v>
      </c>
      <c r="L95" s="6">
        <f>'Monthly Data'!AY95</f>
        <v>0</v>
      </c>
      <c r="M95" s="6">
        <f>'Monthly Data'!BB95</f>
        <v>1</v>
      </c>
      <c r="O95" s="20">
        <f>'GS &gt; 50 OLS model'!$B$5</f>
        <v>-11694573.8944258</v>
      </c>
      <c r="P95" s="20">
        <f>'GS &gt; 50 OLS model'!$B$6*D95</f>
        <v>10997448.17363189</v>
      </c>
      <c r="Q95" s="20">
        <f ca="1">'GS &gt; 50 OLS model'!$B$7*E95</f>
        <v>473065.91534702422</v>
      </c>
      <c r="R95" s="20">
        <f ca="1">'GS &gt; 50 OLS model'!$B$8*F95</f>
        <v>150482.97878517999</v>
      </c>
      <c r="S95" s="20">
        <f>'GS &gt; 50 OLS model'!$B$9*G95</f>
        <v>14182177.411384188</v>
      </c>
      <c r="T95" s="20">
        <f>'GS &gt; 50 OLS model'!$B$10*H95</f>
        <v>1208886.3593231472</v>
      </c>
      <c r="U95" s="20">
        <f>'GS &gt; 50 OLS model'!$B$11*I95</f>
        <v>0</v>
      </c>
      <c r="V95" s="20">
        <f>'GS &gt; 50 OLS model'!$B$12*J95</f>
        <v>0</v>
      </c>
      <c r="W95" s="20">
        <f>'GS &gt; 50 OLS model'!$B$13*K95</f>
        <v>0</v>
      </c>
      <c r="X95" s="20">
        <f>'GS &gt; 50 OLS model'!$B$14*L95</f>
        <v>0</v>
      </c>
      <c r="Y95" s="20">
        <f>'GS &gt; 50 OLS model'!$B$15*M95</f>
        <v>671693.73401239095</v>
      </c>
      <c r="Z95" s="20">
        <f t="shared" ca="1" si="5"/>
        <v>15317486.944045629</v>
      </c>
    </row>
    <row r="96" spans="1:26" ht="14.4" x14ac:dyDescent="0.3">
      <c r="A96" s="22">
        <v>42675</v>
      </c>
      <c r="B96" s="6">
        <f t="shared" si="6"/>
        <v>2016</v>
      </c>
      <c r="C96" s="20">
        <f ca="1">'Monthly Data'!N96</f>
        <v>16645874.179800866</v>
      </c>
      <c r="D96" s="20">
        <f>'Monthly Data'!P96</f>
        <v>218</v>
      </c>
      <c r="E96" s="6">
        <f t="shared" ca="1" si="7"/>
        <v>364.2299999999999</v>
      </c>
      <c r="F96" s="6">
        <f t="shared" ca="1" si="7"/>
        <v>0.05</v>
      </c>
      <c r="G96" s="6">
        <f>'Monthly Data'!AJ96</f>
        <v>165.5</v>
      </c>
      <c r="H96" s="6">
        <f>'Monthly Data'!AN96</f>
        <v>95</v>
      </c>
      <c r="I96" s="6">
        <f>'Monthly Data'!AP96</f>
        <v>0</v>
      </c>
      <c r="J96" s="6">
        <f>'Monthly Data'!AV96</f>
        <v>0</v>
      </c>
      <c r="K96" s="6">
        <f>'Monthly Data'!AW96</f>
        <v>0</v>
      </c>
      <c r="L96" s="6">
        <f>'Monthly Data'!AY96</f>
        <v>1</v>
      </c>
      <c r="M96" s="6">
        <f>'Monthly Data'!BB96</f>
        <v>1</v>
      </c>
      <c r="O96" s="20">
        <f>'GS &gt; 50 OLS model'!$B$5</f>
        <v>-11694573.8944258</v>
      </c>
      <c r="P96" s="20">
        <f>'GS &gt; 50 OLS model'!$B$6*D96</f>
        <v>11048127.658303004</v>
      </c>
      <c r="Q96" s="20">
        <f ca="1">'GS &gt; 50 OLS model'!$B$7*E96</f>
        <v>976673.83713210851</v>
      </c>
      <c r="R96" s="20">
        <f ca="1">'GS &gt; 50 OLS model'!$B$8*F96</f>
        <v>739.11089776611004</v>
      </c>
      <c r="S96" s="20">
        <f>'GS &gt; 50 OLS model'!$B$9*G96</f>
        <v>13872047.054279452</v>
      </c>
      <c r="T96" s="20">
        <f>'GS &gt; 50 OLS model'!$B$10*H96</f>
        <v>1221746.8525074359</v>
      </c>
      <c r="U96" s="20">
        <f>'GS &gt; 50 OLS model'!$B$11*I96</f>
        <v>0</v>
      </c>
      <c r="V96" s="20">
        <f>'GS &gt; 50 OLS model'!$B$12*J96</f>
        <v>0</v>
      </c>
      <c r="W96" s="20">
        <f>'GS &gt; 50 OLS model'!$B$13*K96</f>
        <v>0</v>
      </c>
      <c r="X96" s="20">
        <f>'GS &gt; 50 OLS model'!$B$14*L96</f>
        <v>1466841.9423256</v>
      </c>
      <c r="Y96" s="20">
        <f>'GS &gt; 50 OLS model'!$B$15*M96</f>
        <v>671693.73401239095</v>
      </c>
      <c r="Z96" s="20">
        <f t="shared" ca="1" si="5"/>
        <v>15424760.618693966</v>
      </c>
    </row>
    <row r="97" spans="1:26" ht="14.4" x14ac:dyDescent="0.3">
      <c r="A97" s="22">
        <v>42705</v>
      </c>
      <c r="B97" s="6">
        <f t="shared" si="6"/>
        <v>2016</v>
      </c>
      <c r="C97" s="20">
        <f ca="1">'Monthly Data'!N97</f>
        <v>16217008.323777767</v>
      </c>
      <c r="D97" s="20">
        <f>'Monthly Data'!P97</f>
        <v>218</v>
      </c>
      <c r="E97" s="6">
        <f t="shared" ca="1" si="7"/>
        <v>552.31000000000006</v>
      </c>
      <c r="F97" s="6">
        <f t="shared" ca="1" si="7"/>
        <v>0</v>
      </c>
      <c r="G97" s="6">
        <f>'Monthly Data'!AJ97</f>
        <v>162.5</v>
      </c>
      <c r="H97" s="6">
        <f>'Monthly Data'!AN97</f>
        <v>96</v>
      </c>
      <c r="I97" s="6">
        <f>'Monthly Data'!AP97</f>
        <v>0</v>
      </c>
      <c r="J97" s="6">
        <f>'Monthly Data'!AV97</f>
        <v>0</v>
      </c>
      <c r="K97" s="6">
        <f>'Monthly Data'!AW97</f>
        <v>0</v>
      </c>
      <c r="L97" s="6">
        <f>'Monthly Data'!AY97</f>
        <v>0</v>
      </c>
      <c r="M97" s="6">
        <f>'Monthly Data'!BB97</f>
        <v>0</v>
      </c>
      <c r="O97" s="20">
        <f>'GS &gt; 50 OLS model'!$B$5</f>
        <v>-11694573.8944258</v>
      </c>
      <c r="P97" s="20">
        <f>'GS &gt; 50 OLS model'!$B$6*D97</f>
        <v>11048127.658303004</v>
      </c>
      <c r="Q97" s="20">
        <f ca="1">'GS &gt; 50 OLS model'!$B$7*E97</f>
        <v>1481005.7573138815</v>
      </c>
      <c r="R97" s="20">
        <f ca="1">'GS &gt; 50 OLS model'!$B$8*F97</f>
        <v>0</v>
      </c>
      <c r="S97" s="20">
        <f>'GS &gt; 50 OLS model'!$B$9*G97</f>
        <v>13620590.007978315</v>
      </c>
      <c r="T97" s="20">
        <f>'GS &gt; 50 OLS model'!$B$10*H97</f>
        <v>1234607.3456917247</v>
      </c>
      <c r="U97" s="20">
        <f>'GS &gt; 50 OLS model'!$B$11*I97</f>
        <v>0</v>
      </c>
      <c r="V97" s="20">
        <f>'GS &gt; 50 OLS model'!$B$12*J97</f>
        <v>0</v>
      </c>
      <c r="W97" s="20">
        <f>'GS &gt; 50 OLS model'!$B$13*K97</f>
        <v>0</v>
      </c>
      <c r="X97" s="20">
        <f>'GS &gt; 50 OLS model'!$B$14*L97</f>
        <v>0</v>
      </c>
      <c r="Y97" s="20">
        <f>'GS &gt; 50 OLS model'!$B$15*M97</f>
        <v>0</v>
      </c>
      <c r="Z97" s="20">
        <f t="shared" ca="1" si="5"/>
        <v>15689756.874861125</v>
      </c>
    </row>
    <row r="98" spans="1:26" ht="14.4" x14ac:dyDescent="0.3">
      <c r="A98" s="22">
        <v>42736</v>
      </c>
      <c r="B98" s="6">
        <f t="shared" si="6"/>
        <v>2017</v>
      </c>
      <c r="D98" s="20">
        <f>'Connection count '!K$12</f>
        <v>219.32267070024369</v>
      </c>
      <c r="E98" s="6">
        <f t="shared" ca="1" si="7"/>
        <v>661.18999999999994</v>
      </c>
      <c r="F98" s="6">
        <f t="shared" ca="1" si="7"/>
        <v>0</v>
      </c>
      <c r="G98" s="6">
        <f>G86*(1+Employment!J$3)</f>
        <v>157.0925</v>
      </c>
      <c r="H98" s="6">
        <f>H97+1</f>
        <v>97</v>
      </c>
      <c r="I98" s="6">
        <f t="shared" ref="I98:M98" si="8">I86</f>
        <v>0</v>
      </c>
      <c r="J98" s="6">
        <f t="shared" ref="H98:M109" si="9">J86</f>
        <v>0</v>
      </c>
      <c r="K98" s="6">
        <f t="shared" si="8"/>
        <v>0</v>
      </c>
      <c r="L98" s="6">
        <f t="shared" si="8"/>
        <v>0</v>
      </c>
      <c r="M98" s="6">
        <f t="shared" si="8"/>
        <v>0</v>
      </c>
      <c r="O98" s="20">
        <f>'GS &gt; 50 OLS model'!$B$5</f>
        <v>-11694573.8944258</v>
      </c>
      <c r="P98" s="20">
        <f>'GS &gt; 50 OLS model'!$B$6*D98</f>
        <v>11115159.927780937</v>
      </c>
      <c r="Q98" s="20">
        <f ca="1">'GS &gt; 50 OLS model'!$B$7*E98</f>
        <v>1772964.8144671745</v>
      </c>
      <c r="R98" s="20">
        <f ca="1">'GS &gt; 50 OLS model'!$B$8*F98</f>
        <v>0</v>
      </c>
      <c r="S98" s="20">
        <f>'GS &gt; 50 OLS model'!$B$9*G98</f>
        <v>13167338.682020513</v>
      </c>
      <c r="T98" s="20">
        <f>'GS &gt; 50 OLS model'!$B$10*H98</f>
        <v>1247467.8388760136</v>
      </c>
      <c r="U98" s="20">
        <f>'GS &gt; 50 OLS model'!$B$11*I98</f>
        <v>0</v>
      </c>
      <c r="V98" s="20">
        <f>'GS &gt; 50 OLS model'!$B$12*J98</f>
        <v>0</v>
      </c>
      <c r="W98" s="20">
        <f>'GS &gt; 50 OLS model'!$B$13*K98</f>
        <v>0</v>
      </c>
      <c r="X98" s="20">
        <f>'GS &gt; 50 OLS model'!$B$14*L98</f>
        <v>0</v>
      </c>
      <c r="Y98" s="20">
        <f>'GS &gt; 50 OLS model'!$B$15*M98</f>
        <v>0</v>
      </c>
      <c r="Z98" s="20">
        <f t="shared" ref="Z98:Z121" ca="1" si="10">SUM(O98:V98)</f>
        <v>15608357.36871884</v>
      </c>
    </row>
    <row r="99" spans="1:26" ht="14.4" x14ac:dyDescent="0.3">
      <c r="A99" s="22">
        <v>42767</v>
      </c>
      <c r="B99" s="6">
        <f t="shared" si="6"/>
        <v>2017</v>
      </c>
      <c r="D99" s="20">
        <f>'Connection count '!K$12</f>
        <v>219.32267070024369</v>
      </c>
      <c r="E99" s="6">
        <f t="shared" ca="1" si="7"/>
        <v>598.16999999999985</v>
      </c>
      <c r="F99" s="6">
        <f t="shared" ca="1" si="7"/>
        <v>0</v>
      </c>
      <c r="G99" s="6">
        <f>G87*(1+Employment!J$3)</f>
        <v>158.10600000000002</v>
      </c>
      <c r="H99" s="6">
        <f t="shared" ref="H99:H121" si="11">H98+1</f>
        <v>98</v>
      </c>
      <c r="I99" s="6">
        <f t="shared" ref="I99:M99" si="12">I87</f>
        <v>1</v>
      </c>
      <c r="J99" s="6">
        <f t="shared" si="9"/>
        <v>0</v>
      </c>
      <c r="K99" s="6">
        <f t="shared" si="12"/>
        <v>0</v>
      </c>
      <c r="L99" s="6">
        <f t="shared" si="12"/>
        <v>0</v>
      </c>
      <c r="M99" s="6">
        <f t="shared" si="12"/>
        <v>0</v>
      </c>
      <c r="O99" s="20">
        <f>'GS &gt; 50 OLS model'!$B$5</f>
        <v>-11694573.8944258</v>
      </c>
      <c r="P99" s="20">
        <f>'GS &gt; 50 OLS model'!$B$6*D99</f>
        <v>11115159.927780937</v>
      </c>
      <c r="Q99" s="20">
        <f ca="1">'GS &gt; 50 OLS model'!$B$7*E99</f>
        <v>1603978.225729109</v>
      </c>
      <c r="R99" s="20">
        <f ca="1">'GS &gt; 50 OLS model'!$B$8*F99</f>
        <v>0</v>
      </c>
      <c r="S99" s="20">
        <f>'GS &gt; 50 OLS model'!$B$9*G99</f>
        <v>13252289.254162582</v>
      </c>
      <c r="T99" s="20">
        <f>'GS &gt; 50 OLS model'!$B$10*H99</f>
        <v>1260328.3320603024</v>
      </c>
      <c r="U99" s="20">
        <f>'GS &gt; 50 OLS model'!$B$11*I99</f>
        <v>-797686.81375559501</v>
      </c>
      <c r="V99" s="20">
        <f>'GS &gt; 50 OLS model'!$B$12*J99</f>
        <v>0</v>
      </c>
      <c r="W99" s="20">
        <f>'GS &gt; 50 OLS model'!$B$13*K99</f>
        <v>0</v>
      </c>
      <c r="X99" s="20">
        <f>'GS &gt; 50 OLS model'!$B$14*L99</f>
        <v>0</v>
      </c>
      <c r="Y99" s="20">
        <f>'GS &gt; 50 OLS model'!$B$15*M99</f>
        <v>0</v>
      </c>
      <c r="Z99" s="20">
        <f t="shared" ca="1" si="10"/>
        <v>14739495.031551536</v>
      </c>
    </row>
    <row r="100" spans="1:26" ht="14.4" x14ac:dyDescent="0.3">
      <c r="A100" s="22">
        <v>42795</v>
      </c>
      <c r="B100" s="6">
        <f t="shared" si="6"/>
        <v>2017</v>
      </c>
      <c r="D100" s="20">
        <f>'Connection count '!K$12</f>
        <v>219.32267070024369</v>
      </c>
      <c r="E100" s="6">
        <f t="shared" ca="1" si="7"/>
        <v>451.34</v>
      </c>
      <c r="F100" s="6">
        <f t="shared" ca="1" si="7"/>
        <v>0.88000000000000012</v>
      </c>
      <c r="G100" s="6">
        <f>G88*(1+Employment!J$3)</f>
        <v>158.91680000000002</v>
      </c>
      <c r="H100" s="6">
        <f t="shared" si="11"/>
        <v>99</v>
      </c>
      <c r="I100" s="6">
        <f t="shared" ref="H100:I109" si="13">I88</f>
        <v>0</v>
      </c>
      <c r="J100" s="6">
        <f t="shared" si="9"/>
        <v>0</v>
      </c>
      <c r="K100" s="6">
        <f t="shared" si="9"/>
        <v>0</v>
      </c>
      <c r="L100" s="6">
        <f t="shared" si="9"/>
        <v>0</v>
      </c>
      <c r="M100" s="6">
        <f t="shared" si="9"/>
        <v>0</v>
      </c>
      <c r="O100" s="20">
        <f>'GS &gt; 50 OLS model'!$B$5</f>
        <v>-11694573.8944258</v>
      </c>
      <c r="P100" s="20">
        <f>'GS &gt; 50 OLS model'!$B$6*D100</f>
        <v>11115159.927780937</v>
      </c>
      <c r="Q100" s="20">
        <f ca="1">'GS &gt; 50 OLS model'!$B$7*E100</f>
        <v>1210257.1717080032</v>
      </c>
      <c r="R100" s="20">
        <f ca="1">'GS &gt; 50 OLS model'!$B$8*F100</f>
        <v>13008.351800683537</v>
      </c>
      <c r="S100" s="20">
        <f>'GS &gt; 50 OLS model'!$B$9*G100</f>
        <v>13320249.711876236</v>
      </c>
      <c r="T100" s="20">
        <f>'GS &gt; 50 OLS model'!$B$10*H100</f>
        <v>1273188.8252445911</v>
      </c>
      <c r="U100" s="20">
        <f>'GS &gt; 50 OLS model'!$B$11*I100</f>
        <v>0</v>
      </c>
      <c r="V100" s="20">
        <f>'GS &gt; 50 OLS model'!$B$12*J100</f>
        <v>0</v>
      </c>
      <c r="W100" s="20">
        <f>'GS &gt; 50 OLS model'!$B$13*K100</f>
        <v>0</v>
      </c>
      <c r="X100" s="20">
        <f>'GS &gt; 50 OLS model'!$B$14*L100</f>
        <v>0</v>
      </c>
      <c r="Y100" s="20">
        <f>'GS &gt; 50 OLS model'!$B$15*M100</f>
        <v>0</v>
      </c>
      <c r="Z100" s="20">
        <f t="shared" ca="1" si="10"/>
        <v>15237290.09398465</v>
      </c>
    </row>
    <row r="101" spans="1:26" ht="14.4" x14ac:dyDescent="0.3">
      <c r="A101" s="22">
        <v>42826</v>
      </c>
      <c r="B101" s="6">
        <f t="shared" si="6"/>
        <v>2017</v>
      </c>
      <c r="D101" s="20">
        <f>'Connection count '!K$12</f>
        <v>219.32267070024369</v>
      </c>
      <c r="E101" s="6">
        <f t="shared" ca="1" si="7"/>
        <v>259.5499999999999</v>
      </c>
      <c r="F101" s="6">
        <f t="shared" ca="1" si="7"/>
        <v>2.4500000000000002</v>
      </c>
      <c r="G101" s="6">
        <f>G89*(1+Employment!J$3)</f>
        <v>161.45055000000002</v>
      </c>
      <c r="H101" s="6">
        <f t="shared" si="11"/>
        <v>100</v>
      </c>
      <c r="I101" s="6">
        <f t="shared" si="13"/>
        <v>0</v>
      </c>
      <c r="J101" s="6">
        <f t="shared" si="9"/>
        <v>0</v>
      </c>
      <c r="K101" s="6">
        <f t="shared" si="9"/>
        <v>0</v>
      </c>
      <c r="L101" s="6">
        <f t="shared" si="9"/>
        <v>0</v>
      </c>
      <c r="M101" s="6">
        <f t="shared" si="9"/>
        <v>0</v>
      </c>
      <c r="O101" s="20">
        <f>'GS &gt; 50 OLS model'!$B$5</f>
        <v>-11694573.8944258</v>
      </c>
      <c r="P101" s="20">
        <f>'GS &gt; 50 OLS model'!$B$6*D101</f>
        <v>11115159.927780937</v>
      </c>
      <c r="Q101" s="20">
        <f ca="1">'GS &gt; 50 OLS model'!$B$7*E101</f>
        <v>695976.9772606286</v>
      </c>
      <c r="R101" s="20">
        <f ca="1">'GS &gt; 50 OLS model'!$B$8*F101</f>
        <v>36216.433990539394</v>
      </c>
      <c r="S101" s="20">
        <f>'GS &gt; 50 OLS model'!$B$9*G101</f>
        <v>13532626.142231407</v>
      </c>
      <c r="T101" s="20">
        <f>'GS &gt; 50 OLS model'!$B$10*H101</f>
        <v>1286049.3184288801</v>
      </c>
      <c r="U101" s="20">
        <f>'GS &gt; 50 OLS model'!$B$11*I101</f>
        <v>0</v>
      </c>
      <c r="V101" s="20">
        <f>'GS &gt; 50 OLS model'!$B$12*J101</f>
        <v>0</v>
      </c>
      <c r="W101" s="20">
        <f>'GS &gt; 50 OLS model'!$B$13*K101</f>
        <v>0</v>
      </c>
      <c r="X101" s="20">
        <f>'GS &gt; 50 OLS model'!$B$14*L101</f>
        <v>0</v>
      </c>
      <c r="Y101" s="20">
        <f>'GS &gt; 50 OLS model'!$B$15*M101</f>
        <v>0</v>
      </c>
      <c r="Z101" s="20">
        <f t="shared" ca="1" si="10"/>
        <v>14971454.905266592</v>
      </c>
    </row>
    <row r="102" spans="1:26" ht="14.4" x14ac:dyDescent="0.3">
      <c r="A102" s="22">
        <v>42856</v>
      </c>
      <c r="B102" s="6">
        <f t="shared" si="6"/>
        <v>2017</v>
      </c>
      <c r="D102" s="20">
        <f>'Connection count '!K$12</f>
        <v>219.32267070024369</v>
      </c>
      <c r="E102" s="6">
        <f t="shared" ca="1" si="7"/>
        <v>88.880000000000024</v>
      </c>
      <c r="F102" s="6">
        <f t="shared" ca="1" si="7"/>
        <v>43.79999999999999</v>
      </c>
      <c r="G102" s="6">
        <f>G90*(1+Employment!J$3)</f>
        <v>164.28835000000001</v>
      </c>
      <c r="H102" s="6">
        <f t="shared" si="11"/>
        <v>101</v>
      </c>
      <c r="I102" s="6">
        <f t="shared" si="13"/>
        <v>0</v>
      </c>
      <c r="J102" s="6">
        <f t="shared" si="9"/>
        <v>0</v>
      </c>
      <c r="K102" s="6">
        <f t="shared" si="9"/>
        <v>0</v>
      </c>
      <c r="L102" s="6">
        <f t="shared" si="9"/>
        <v>0</v>
      </c>
      <c r="M102" s="6">
        <f t="shared" si="9"/>
        <v>0</v>
      </c>
      <c r="O102" s="20">
        <f>'GS &gt; 50 OLS model'!$B$5</f>
        <v>-11694573.8944258</v>
      </c>
      <c r="P102" s="20">
        <f>'GS &gt; 50 OLS model'!$B$6*D102</f>
        <v>11115159.927780937</v>
      </c>
      <c r="Q102" s="20">
        <f ca="1">'GS &gt; 50 OLS model'!$B$7*E102</f>
        <v>238329.54628751572</v>
      </c>
      <c r="R102" s="20">
        <f ca="1">'GS &gt; 50 OLS model'!$B$8*F102</f>
        <v>647461.14644311217</v>
      </c>
      <c r="S102" s="20">
        <f>'GS &gt; 50 OLS model'!$B$9*G102</f>
        <v>13770487.744229196</v>
      </c>
      <c r="T102" s="20">
        <f>'GS &gt; 50 OLS model'!$B$10*H102</f>
        <v>1298909.8116131688</v>
      </c>
      <c r="U102" s="20">
        <f>'GS &gt; 50 OLS model'!$B$11*I102</f>
        <v>0</v>
      </c>
      <c r="V102" s="20">
        <f>'GS &gt; 50 OLS model'!$B$12*J102</f>
        <v>0</v>
      </c>
      <c r="W102" s="20">
        <f>'GS &gt; 50 OLS model'!$B$13*K102</f>
        <v>0</v>
      </c>
      <c r="X102" s="20">
        <f>'GS &gt; 50 OLS model'!$B$14*L102</f>
        <v>0</v>
      </c>
      <c r="Y102" s="20">
        <f>'GS &gt; 50 OLS model'!$B$15*M102</f>
        <v>0</v>
      </c>
      <c r="Z102" s="20">
        <f t="shared" ca="1" si="10"/>
        <v>15375774.281928129</v>
      </c>
    </row>
    <row r="103" spans="1:26" ht="14.4" x14ac:dyDescent="0.3">
      <c r="A103" s="22">
        <v>42887</v>
      </c>
      <c r="B103" s="6">
        <f t="shared" si="6"/>
        <v>2017</v>
      </c>
      <c r="D103" s="20">
        <f>'Connection count '!K$12</f>
        <v>219.32267070024369</v>
      </c>
      <c r="E103" s="6">
        <f t="shared" ca="1" si="7"/>
        <v>9.77</v>
      </c>
      <c r="F103" s="6">
        <f t="shared" ca="1" si="7"/>
        <v>117.38999999999999</v>
      </c>
      <c r="G103" s="6">
        <f>G91*(1+Employment!J$3)</f>
        <v>168.95044999999999</v>
      </c>
      <c r="H103" s="6">
        <f t="shared" si="11"/>
        <v>102</v>
      </c>
      <c r="I103" s="6">
        <f t="shared" si="13"/>
        <v>0</v>
      </c>
      <c r="J103" s="6">
        <f t="shared" si="9"/>
        <v>0</v>
      </c>
      <c r="K103" s="6">
        <f t="shared" si="9"/>
        <v>0</v>
      </c>
      <c r="L103" s="6">
        <f t="shared" si="9"/>
        <v>0</v>
      </c>
      <c r="M103" s="6">
        <f t="shared" si="9"/>
        <v>0</v>
      </c>
      <c r="O103" s="20">
        <f>'GS &gt; 50 OLS model'!$B$5</f>
        <v>-11694573.8944258</v>
      </c>
      <c r="P103" s="20">
        <f>'GS &gt; 50 OLS model'!$B$6*D103</f>
        <v>11115159.927780937</v>
      </c>
      <c r="Q103" s="20">
        <f ca="1">'GS &gt; 50 OLS model'!$B$7*E103</f>
        <v>26198.016057932356</v>
      </c>
      <c r="R103" s="20">
        <f ca="1">'GS &gt; 50 OLS model'!$B$8*F103</f>
        <v>1735284.5657752729</v>
      </c>
      <c r="S103" s="20">
        <f>'GS &gt; 50 OLS model'!$B$9*G103</f>
        <v>14161260.376082705</v>
      </c>
      <c r="T103" s="20">
        <f>'GS &gt; 50 OLS model'!$B$10*H103</f>
        <v>1311770.3047974575</v>
      </c>
      <c r="U103" s="20">
        <f>'GS &gt; 50 OLS model'!$B$11*I103</f>
        <v>0</v>
      </c>
      <c r="V103" s="20">
        <f>'GS &gt; 50 OLS model'!$B$12*J103</f>
        <v>0</v>
      </c>
      <c r="W103" s="20">
        <f>'GS &gt; 50 OLS model'!$B$13*K103</f>
        <v>0</v>
      </c>
      <c r="X103" s="20">
        <f>'GS &gt; 50 OLS model'!$B$14*L103</f>
        <v>0</v>
      </c>
      <c r="Y103" s="20">
        <f>'GS &gt; 50 OLS model'!$B$15*M103</f>
        <v>0</v>
      </c>
      <c r="Z103" s="20">
        <f t="shared" ca="1" si="10"/>
        <v>16655099.296068506</v>
      </c>
    </row>
    <row r="104" spans="1:26" ht="14.4" x14ac:dyDescent="0.3">
      <c r="A104" s="22">
        <v>42917</v>
      </c>
      <c r="B104" s="6">
        <f t="shared" si="6"/>
        <v>2017</v>
      </c>
      <c r="D104" s="20">
        <f>'Connection count '!K$12</f>
        <v>219.32267070024369</v>
      </c>
      <c r="E104" s="6">
        <f t="shared" ca="1" si="7"/>
        <v>0.58000000000000007</v>
      </c>
      <c r="F104" s="6">
        <f t="shared" ca="1" si="7"/>
        <v>179.70999999999998</v>
      </c>
      <c r="G104" s="6">
        <f>G92*(1+Employment!J$3)</f>
        <v>172.19365000000002</v>
      </c>
      <c r="H104" s="6">
        <f t="shared" si="11"/>
        <v>103</v>
      </c>
      <c r="I104" s="6">
        <f t="shared" si="13"/>
        <v>0</v>
      </c>
      <c r="J104" s="6">
        <f t="shared" si="9"/>
        <v>0</v>
      </c>
      <c r="K104" s="6">
        <f t="shared" si="9"/>
        <v>0</v>
      </c>
      <c r="L104" s="6">
        <f t="shared" si="9"/>
        <v>0</v>
      </c>
      <c r="M104" s="6">
        <f t="shared" si="9"/>
        <v>0</v>
      </c>
      <c r="O104" s="20">
        <f>'GS &gt; 50 OLS model'!$B$5</f>
        <v>-11694573.8944258</v>
      </c>
      <c r="P104" s="20">
        <f>'GS &gt; 50 OLS model'!$B$6*D104</f>
        <v>11115159.927780937</v>
      </c>
      <c r="Q104" s="20">
        <f ca="1">'GS &gt; 50 OLS model'!$B$7*E104</f>
        <v>1555.2558151075507</v>
      </c>
      <c r="R104" s="20">
        <f ca="1">'GS &gt; 50 OLS model'!$B$8*F104</f>
        <v>2656512.3887509522</v>
      </c>
      <c r="S104" s="20">
        <f>'GS &gt; 50 OLS model'!$B$9*G104</f>
        <v>14433102.206937324</v>
      </c>
      <c r="T104" s="20">
        <f>'GS &gt; 50 OLS model'!$B$10*H104</f>
        <v>1324630.7979817465</v>
      </c>
      <c r="U104" s="20">
        <f>'GS &gt; 50 OLS model'!$B$11*I104</f>
        <v>0</v>
      </c>
      <c r="V104" s="20">
        <f>'GS &gt; 50 OLS model'!$B$12*J104</f>
        <v>0</v>
      </c>
      <c r="W104" s="20">
        <f>'GS &gt; 50 OLS model'!$B$13*K104</f>
        <v>0</v>
      </c>
      <c r="X104" s="20">
        <f>'GS &gt; 50 OLS model'!$B$14*L104</f>
        <v>0</v>
      </c>
      <c r="Y104" s="20">
        <f>'GS &gt; 50 OLS model'!$B$15*M104</f>
        <v>0</v>
      </c>
      <c r="Z104" s="20">
        <f t="shared" ca="1" si="10"/>
        <v>17836386.682840265</v>
      </c>
    </row>
    <row r="105" spans="1:26" ht="14.4" x14ac:dyDescent="0.3">
      <c r="A105" s="22">
        <v>42948</v>
      </c>
      <c r="B105" s="6">
        <f t="shared" si="6"/>
        <v>2017</v>
      </c>
      <c r="D105" s="20">
        <f>'Connection count '!K$12</f>
        <v>219.32267070024369</v>
      </c>
      <c r="E105" s="6">
        <f t="shared" ca="1" si="7"/>
        <v>1.7099999999999997</v>
      </c>
      <c r="F105" s="6">
        <f t="shared" ca="1" si="7"/>
        <v>158.1</v>
      </c>
      <c r="G105" s="6">
        <f>G93*(1+Employment!J$3)</f>
        <v>174.01795000000001</v>
      </c>
      <c r="H105" s="6">
        <f t="shared" si="11"/>
        <v>104</v>
      </c>
      <c r="I105" s="6">
        <f t="shared" si="13"/>
        <v>0</v>
      </c>
      <c r="J105" s="6">
        <f t="shared" si="9"/>
        <v>1</v>
      </c>
      <c r="K105" s="6">
        <f t="shared" si="9"/>
        <v>0</v>
      </c>
      <c r="L105" s="6">
        <f t="shared" si="9"/>
        <v>0</v>
      </c>
      <c r="M105" s="6">
        <f t="shared" si="9"/>
        <v>0</v>
      </c>
      <c r="O105" s="20">
        <f>'GS &gt; 50 OLS model'!$B$5</f>
        <v>-11694573.8944258</v>
      </c>
      <c r="P105" s="20">
        <f>'GS &gt; 50 OLS model'!$B$6*D105</f>
        <v>11115159.927780937</v>
      </c>
      <c r="Q105" s="20">
        <f ca="1">'GS &gt; 50 OLS model'!$B$7*E105</f>
        <v>4585.3231790239843</v>
      </c>
      <c r="R105" s="20">
        <f ca="1">'GS &gt; 50 OLS model'!$B$8*F105</f>
        <v>2337068.6587364399</v>
      </c>
      <c r="S105" s="20">
        <f>'GS &gt; 50 OLS model'!$B$9*G105</f>
        <v>14586013.236793047</v>
      </c>
      <c r="T105" s="20">
        <f>'GS &gt; 50 OLS model'!$B$10*H105</f>
        <v>1337491.2911660352</v>
      </c>
      <c r="U105" s="20">
        <f>'GS &gt; 50 OLS model'!$B$11*I105</f>
        <v>0</v>
      </c>
      <c r="V105" s="20">
        <f>'GS &gt; 50 OLS model'!$B$12*J105</f>
        <v>1257541.23571065</v>
      </c>
      <c r="W105" s="20">
        <f>'GS &gt; 50 OLS model'!$B$13*K105</f>
        <v>0</v>
      </c>
      <c r="X105" s="20">
        <f>'GS &gt; 50 OLS model'!$B$14*L105</f>
        <v>0</v>
      </c>
      <c r="Y105" s="20">
        <f>'GS &gt; 50 OLS model'!$B$15*M105</f>
        <v>0</v>
      </c>
      <c r="Z105" s="20">
        <f t="shared" ca="1" si="10"/>
        <v>18943285.778940335</v>
      </c>
    </row>
    <row r="106" spans="1:26" ht="14.4" x14ac:dyDescent="0.3">
      <c r="A106" s="22">
        <v>42979</v>
      </c>
      <c r="B106" s="6">
        <f t="shared" si="6"/>
        <v>2017</v>
      </c>
      <c r="D106" s="20">
        <f>'Connection count '!K$12</f>
        <v>219.32267070024369</v>
      </c>
      <c r="E106" s="6">
        <f t="shared" ca="1" si="7"/>
        <v>32.68</v>
      </c>
      <c r="F106" s="6">
        <f t="shared" ca="1" si="7"/>
        <v>67.34</v>
      </c>
      <c r="G106" s="6">
        <f>G94*(1+Employment!J$3)</f>
        <v>172.80175</v>
      </c>
      <c r="H106" s="6">
        <f t="shared" si="11"/>
        <v>105</v>
      </c>
      <c r="I106" s="6">
        <f t="shared" si="13"/>
        <v>0</v>
      </c>
      <c r="J106" s="6">
        <f t="shared" si="9"/>
        <v>0</v>
      </c>
      <c r="K106" s="6">
        <f t="shared" si="9"/>
        <v>1</v>
      </c>
      <c r="L106" s="6">
        <f t="shared" si="9"/>
        <v>0</v>
      </c>
      <c r="M106" s="6">
        <f t="shared" si="9"/>
        <v>0</v>
      </c>
      <c r="O106" s="20">
        <f>'GS &gt; 50 OLS model'!$B$5</f>
        <v>-11694573.8944258</v>
      </c>
      <c r="P106" s="20">
        <f>'GS &gt; 50 OLS model'!$B$6*D106</f>
        <v>11115159.927780937</v>
      </c>
      <c r="Q106" s="20">
        <f ca="1">'GS &gt; 50 OLS model'!$B$7*E106</f>
        <v>87630.620754680596</v>
      </c>
      <c r="R106" s="20">
        <f ca="1">'GS &gt; 50 OLS model'!$B$8*F106</f>
        <v>995434.55711139692</v>
      </c>
      <c r="S106" s="20">
        <f>'GS &gt; 50 OLS model'!$B$9*G106</f>
        <v>14484072.550222564</v>
      </c>
      <c r="T106" s="20">
        <f>'GS &gt; 50 OLS model'!$B$10*H106</f>
        <v>1350351.784350324</v>
      </c>
      <c r="U106" s="20">
        <f>'GS &gt; 50 OLS model'!$B$11*I106</f>
        <v>0</v>
      </c>
      <c r="V106" s="20">
        <f>'GS &gt; 50 OLS model'!$B$12*J106</f>
        <v>0</v>
      </c>
      <c r="W106" s="20">
        <f>'GS &gt; 50 OLS model'!$B$13*K106</f>
        <v>1979532.62008895</v>
      </c>
      <c r="X106" s="20">
        <f>'GS &gt; 50 OLS model'!$B$14*L106</f>
        <v>0</v>
      </c>
      <c r="Y106" s="20">
        <f>'GS &gt; 50 OLS model'!$B$15*M106</f>
        <v>0</v>
      </c>
      <c r="Z106" s="20">
        <f t="shared" ca="1" si="10"/>
        <v>16338075.545794103</v>
      </c>
    </row>
    <row r="107" spans="1:26" ht="14.4" x14ac:dyDescent="0.3">
      <c r="A107" s="22">
        <v>43009</v>
      </c>
      <c r="B107" s="6">
        <f t="shared" si="6"/>
        <v>2017</v>
      </c>
      <c r="D107" s="20">
        <f>'Connection count '!K$12</f>
        <v>219.32267070024369</v>
      </c>
      <c r="E107" s="6">
        <f t="shared" ca="1" si="7"/>
        <v>176.42</v>
      </c>
      <c r="F107" s="6">
        <f t="shared" ca="1" si="7"/>
        <v>10.18</v>
      </c>
      <c r="G107" s="6">
        <f>G95*(1+Employment!J$3)</f>
        <v>171.48419999999999</v>
      </c>
      <c r="H107" s="6">
        <f t="shared" si="11"/>
        <v>106</v>
      </c>
      <c r="I107" s="6">
        <f t="shared" si="13"/>
        <v>0</v>
      </c>
      <c r="J107" s="6">
        <f t="shared" si="9"/>
        <v>0</v>
      </c>
      <c r="K107" s="6">
        <f t="shared" si="9"/>
        <v>0</v>
      </c>
      <c r="L107" s="6">
        <f t="shared" si="9"/>
        <v>0</v>
      </c>
      <c r="M107" s="6">
        <f t="shared" si="9"/>
        <v>1</v>
      </c>
      <c r="O107" s="20">
        <f>'GS &gt; 50 OLS model'!$B$5</f>
        <v>-11694573.8944258</v>
      </c>
      <c r="P107" s="20">
        <f>'GS &gt; 50 OLS model'!$B$6*D107</f>
        <v>11115159.927780937</v>
      </c>
      <c r="Q107" s="20">
        <f ca="1">'GS &gt; 50 OLS model'!$B$7*E107</f>
        <v>473065.91534702422</v>
      </c>
      <c r="R107" s="20">
        <f ca="1">'GS &gt; 50 OLS model'!$B$8*F107</f>
        <v>150482.97878517999</v>
      </c>
      <c r="S107" s="20">
        <f>'GS &gt; 50 OLS model'!$B$9*G107</f>
        <v>14373636.806437874</v>
      </c>
      <c r="T107" s="20">
        <f>'GS &gt; 50 OLS model'!$B$10*H107</f>
        <v>1363212.2775346127</v>
      </c>
      <c r="U107" s="20">
        <f>'GS &gt; 50 OLS model'!$B$11*I107</f>
        <v>0</v>
      </c>
      <c r="V107" s="20">
        <f>'GS &gt; 50 OLS model'!$B$12*J107</f>
        <v>0</v>
      </c>
      <c r="W107" s="20">
        <f>'GS &gt; 50 OLS model'!$B$13*K107</f>
        <v>0</v>
      </c>
      <c r="X107" s="20">
        <f>'GS &gt; 50 OLS model'!$B$14*L107</f>
        <v>0</v>
      </c>
      <c r="Y107" s="20">
        <f>'GS &gt; 50 OLS model'!$B$15*M107</f>
        <v>671693.73401239095</v>
      </c>
      <c r="Z107" s="20">
        <f t="shared" ca="1" si="10"/>
        <v>15780984.011459829</v>
      </c>
    </row>
    <row r="108" spans="1:26" ht="14.4" x14ac:dyDescent="0.3">
      <c r="A108" s="22">
        <v>43040</v>
      </c>
      <c r="B108" s="6">
        <f t="shared" si="6"/>
        <v>2017</v>
      </c>
      <c r="D108" s="20">
        <f>'Connection count '!K$12</f>
        <v>219.32267070024369</v>
      </c>
      <c r="E108" s="6">
        <f t="shared" ca="1" si="7"/>
        <v>364.2299999999999</v>
      </c>
      <c r="F108" s="6">
        <f t="shared" ca="1" si="7"/>
        <v>0.05</v>
      </c>
      <c r="G108" s="6">
        <f>G96*(1+Employment!J$3)</f>
        <v>167.73425</v>
      </c>
      <c r="H108" s="6">
        <f t="shared" si="11"/>
        <v>107</v>
      </c>
      <c r="I108" s="6">
        <f t="shared" si="13"/>
        <v>0</v>
      </c>
      <c r="J108" s="6">
        <f t="shared" si="9"/>
        <v>0</v>
      </c>
      <c r="K108" s="6">
        <f t="shared" si="9"/>
        <v>0</v>
      </c>
      <c r="L108" s="6">
        <f t="shared" si="9"/>
        <v>1</v>
      </c>
      <c r="M108" s="6">
        <f t="shared" si="9"/>
        <v>1</v>
      </c>
      <c r="O108" s="20">
        <f>'GS &gt; 50 OLS model'!$B$5</f>
        <v>-11694573.8944258</v>
      </c>
      <c r="P108" s="20">
        <f>'GS &gt; 50 OLS model'!$B$6*D108</f>
        <v>11115159.927780937</v>
      </c>
      <c r="Q108" s="20">
        <f ca="1">'GS &gt; 50 OLS model'!$B$7*E108</f>
        <v>976673.83713210851</v>
      </c>
      <c r="R108" s="20">
        <f ca="1">'GS &gt; 50 OLS model'!$B$8*F108</f>
        <v>739.11089776611004</v>
      </c>
      <c r="S108" s="20">
        <f>'GS &gt; 50 OLS model'!$B$9*G108</f>
        <v>14059319.689512225</v>
      </c>
      <c r="T108" s="20">
        <f>'GS &gt; 50 OLS model'!$B$10*H108</f>
        <v>1376072.7707189017</v>
      </c>
      <c r="U108" s="20">
        <f>'GS &gt; 50 OLS model'!$B$11*I108</f>
        <v>0</v>
      </c>
      <c r="V108" s="20">
        <f>'GS &gt; 50 OLS model'!$B$12*J108</f>
        <v>0</v>
      </c>
      <c r="W108" s="20">
        <f>'GS &gt; 50 OLS model'!$B$13*K108</f>
        <v>0</v>
      </c>
      <c r="X108" s="20">
        <f>'GS &gt; 50 OLS model'!$B$14*L108</f>
        <v>1466841.9423256</v>
      </c>
      <c r="Y108" s="20">
        <f>'GS &gt; 50 OLS model'!$B$15*M108</f>
        <v>671693.73401239095</v>
      </c>
      <c r="Z108" s="20">
        <f t="shared" ca="1" si="10"/>
        <v>15833391.441616138</v>
      </c>
    </row>
    <row r="109" spans="1:26" ht="14.4" x14ac:dyDescent="0.3">
      <c r="A109" s="22">
        <v>43070</v>
      </c>
      <c r="B109" s="6">
        <f t="shared" si="6"/>
        <v>2017</v>
      </c>
      <c r="D109" s="20">
        <f>'Connection count '!K$12</f>
        <v>219.32267070024369</v>
      </c>
      <c r="E109" s="6">
        <f t="shared" ca="1" si="7"/>
        <v>552.31000000000006</v>
      </c>
      <c r="F109" s="6">
        <f t="shared" ca="1" si="7"/>
        <v>0</v>
      </c>
      <c r="G109" s="6">
        <f>G97*(1+Employment!J$3)</f>
        <v>164.69375000000002</v>
      </c>
      <c r="H109" s="6">
        <f t="shared" si="11"/>
        <v>108</v>
      </c>
      <c r="I109" s="6">
        <f t="shared" si="13"/>
        <v>0</v>
      </c>
      <c r="J109" s="6">
        <f t="shared" si="9"/>
        <v>0</v>
      </c>
      <c r="K109" s="6">
        <f t="shared" si="9"/>
        <v>0</v>
      </c>
      <c r="L109" s="6">
        <f t="shared" si="9"/>
        <v>0</v>
      </c>
      <c r="M109" s="6">
        <f t="shared" si="9"/>
        <v>0</v>
      </c>
      <c r="O109" s="20">
        <f>'GS &gt; 50 OLS model'!$B$5</f>
        <v>-11694573.8944258</v>
      </c>
      <c r="P109" s="20">
        <f>'GS &gt; 50 OLS model'!$B$6*D109</f>
        <v>11115159.927780937</v>
      </c>
      <c r="Q109" s="20">
        <f ca="1">'GS &gt; 50 OLS model'!$B$7*E109</f>
        <v>1481005.7573138815</v>
      </c>
      <c r="R109" s="20">
        <f ca="1">'GS &gt; 50 OLS model'!$B$8*F109</f>
        <v>0</v>
      </c>
      <c r="S109" s="20">
        <f>'GS &gt; 50 OLS model'!$B$9*G109</f>
        <v>13804467.973086024</v>
      </c>
      <c r="T109" s="20">
        <f>'GS &gt; 50 OLS model'!$B$10*H109</f>
        <v>1388933.2639031904</v>
      </c>
      <c r="U109" s="20">
        <f>'GS &gt; 50 OLS model'!$B$11*I109</f>
        <v>0</v>
      </c>
      <c r="V109" s="20">
        <f>'GS &gt; 50 OLS model'!$B$12*J109</f>
        <v>0</v>
      </c>
      <c r="W109" s="20">
        <f>'GS &gt; 50 OLS model'!$B$13*K109</f>
        <v>0</v>
      </c>
      <c r="X109" s="20">
        <f>'GS &gt; 50 OLS model'!$B$14*L109</f>
        <v>0</v>
      </c>
      <c r="Y109" s="20">
        <f>'GS &gt; 50 OLS model'!$B$15*M109</f>
        <v>0</v>
      </c>
      <c r="Z109" s="20">
        <f t="shared" ca="1" si="10"/>
        <v>16094993.027658232</v>
      </c>
    </row>
    <row r="110" spans="1:26" ht="14.4" x14ac:dyDescent="0.3">
      <c r="A110" s="22">
        <v>43101</v>
      </c>
      <c r="B110" s="6">
        <f t="shared" ref="B110:B121" si="14">YEAR(A110)</f>
        <v>2018</v>
      </c>
      <c r="D110" s="20">
        <f>'Connection count '!K$13</f>
        <v>219.06231749413675</v>
      </c>
      <c r="E110" s="6">
        <f t="shared" ca="1" si="7"/>
        <v>661.18999999999994</v>
      </c>
      <c r="F110" s="6">
        <f t="shared" ca="1" si="7"/>
        <v>0</v>
      </c>
      <c r="G110" s="6">
        <f>G98*(1+Employment!J$4)</f>
        <v>158.46705937500002</v>
      </c>
      <c r="H110" s="6">
        <f t="shared" si="11"/>
        <v>109</v>
      </c>
      <c r="I110" s="6">
        <f t="shared" ref="I110:M110" si="15">I98</f>
        <v>0</v>
      </c>
      <c r="J110" s="6">
        <f t="shared" ref="H110:J121" si="16">J98</f>
        <v>0</v>
      </c>
      <c r="K110" s="6">
        <f t="shared" si="15"/>
        <v>0</v>
      </c>
      <c r="L110" s="6">
        <f t="shared" si="15"/>
        <v>0</v>
      </c>
      <c r="M110" s="6">
        <f t="shared" si="15"/>
        <v>0</v>
      </c>
      <c r="O110" s="20">
        <f>'GS &gt; 50 OLS model'!$B$5</f>
        <v>-11694573.8944258</v>
      </c>
      <c r="P110" s="20">
        <f>'GS &gt; 50 OLS model'!$B$6*D110</f>
        <v>11101965.361462964</v>
      </c>
      <c r="Q110" s="20">
        <f ca="1">'GS &gt; 50 OLS model'!$B$7*E110</f>
        <v>1772964.8144671745</v>
      </c>
      <c r="R110" s="20">
        <f ca="1">'GS &gt; 50 OLS model'!$B$8*F110</f>
        <v>0</v>
      </c>
      <c r="S110" s="20">
        <f>'GS &gt; 50 OLS model'!$B$9*G110</f>
        <v>13282552.895488193</v>
      </c>
      <c r="T110" s="20">
        <f>'GS &gt; 50 OLS model'!$B$10*H110</f>
        <v>1401793.7570874791</v>
      </c>
      <c r="U110" s="20">
        <f>'GS &gt; 50 OLS model'!$B$11*I110</f>
        <v>0</v>
      </c>
      <c r="V110" s="20">
        <f>'GS &gt; 50 OLS model'!$B$12*J110</f>
        <v>0</v>
      </c>
      <c r="W110" s="20">
        <f>'GS &gt; 50 OLS model'!$B$13*K110</f>
        <v>0</v>
      </c>
      <c r="X110" s="20">
        <f>'GS &gt; 50 OLS model'!$B$14*L110</f>
        <v>0</v>
      </c>
      <c r="Y110" s="20">
        <f>'GS &gt; 50 OLS model'!$B$15*M110</f>
        <v>0</v>
      </c>
      <c r="Z110" s="20">
        <f t="shared" ca="1" si="10"/>
        <v>15864702.93408001</v>
      </c>
    </row>
    <row r="111" spans="1:26" ht="14.4" x14ac:dyDescent="0.3">
      <c r="A111" s="22">
        <v>43132</v>
      </c>
      <c r="B111" s="6">
        <f t="shared" si="14"/>
        <v>2018</v>
      </c>
      <c r="D111" s="20">
        <f>'Connection count '!K$13</f>
        <v>219.06231749413675</v>
      </c>
      <c r="E111" s="6">
        <f t="shared" ca="1" si="7"/>
        <v>598.16999999999985</v>
      </c>
      <c r="F111" s="6">
        <f t="shared" ca="1" si="7"/>
        <v>0</v>
      </c>
      <c r="G111" s="6">
        <f>G99*(1+Employment!J$4)</f>
        <v>159.48942750000003</v>
      </c>
      <c r="H111" s="6">
        <f t="shared" si="11"/>
        <v>110</v>
      </c>
      <c r="I111" s="6">
        <f t="shared" ref="I111:M111" si="17">I99</f>
        <v>1</v>
      </c>
      <c r="J111" s="6">
        <f t="shared" si="16"/>
        <v>0</v>
      </c>
      <c r="K111" s="6">
        <f t="shared" si="17"/>
        <v>0</v>
      </c>
      <c r="L111" s="6">
        <f t="shared" si="17"/>
        <v>0</v>
      </c>
      <c r="M111" s="6">
        <f t="shared" si="17"/>
        <v>0</v>
      </c>
      <c r="O111" s="20">
        <f>'GS &gt; 50 OLS model'!$B$5</f>
        <v>-11694573.8944258</v>
      </c>
      <c r="P111" s="20">
        <f>'GS &gt; 50 OLS model'!$B$6*D111</f>
        <v>11101965.361462964</v>
      </c>
      <c r="Q111" s="20">
        <f ca="1">'GS &gt; 50 OLS model'!$B$7*E111</f>
        <v>1603978.225729109</v>
      </c>
      <c r="R111" s="20">
        <f ca="1">'GS &gt; 50 OLS model'!$B$8*F111</f>
        <v>0</v>
      </c>
      <c r="S111" s="20">
        <f>'GS &gt; 50 OLS model'!$B$9*G111</f>
        <v>13368246.785136506</v>
      </c>
      <c r="T111" s="20">
        <f>'GS &gt; 50 OLS model'!$B$10*H111</f>
        <v>1414654.2502717681</v>
      </c>
      <c r="U111" s="20">
        <f>'GS &gt; 50 OLS model'!$B$11*I111</f>
        <v>-797686.81375559501</v>
      </c>
      <c r="V111" s="20">
        <f>'GS &gt; 50 OLS model'!$B$12*J111</f>
        <v>0</v>
      </c>
      <c r="W111" s="20">
        <f>'GS &gt; 50 OLS model'!$B$13*K111</f>
        <v>0</v>
      </c>
      <c r="X111" s="20">
        <f>'GS &gt; 50 OLS model'!$B$14*L111</f>
        <v>0</v>
      </c>
      <c r="Y111" s="20">
        <f>'GS &gt; 50 OLS model'!$B$15*M111</f>
        <v>0</v>
      </c>
      <c r="Z111" s="20">
        <f t="shared" ca="1" si="10"/>
        <v>14996583.914418953</v>
      </c>
    </row>
    <row r="112" spans="1:26" ht="14.4" x14ac:dyDescent="0.3">
      <c r="A112" s="22">
        <v>43160</v>
      </c>
      <c r="B112" s="6">
        <f t="shared" si="14"/>
        <v>2018</v>
      </c>
      <c r="D112" s="20">
        <f>'Connection count '!K$13</f>
        <v>219.06231749413675</v>
      </c>
      <c r="E112" s="6">
        <f t="shared" ca="1" si="7"/>
        <v>451.34</v>
      </c>
      <c r="F112" s="6">
        <f t="shared" ca="1" si="7"/>
        <v>0.88000000000000012</v>
      </c>
      <c r="G112" s="6">
        <f>G100*(1+Employment!J$4)</f>
        <v>160.30732200000003</v>
      </c>
      <c r="H112" s="6">
        <f t="shared" si="11"/>
        <v>111</v>
      </c>
      <c r="I112" s="6">
        <f t="shared" ref="I112:M112" si="18">I100</f>
        <v>0</v>
      </c>
      <c r="J112" s="6">
        <f t="shared" si="16"/>
        <v>0</v>
      </c>
      <c r="K112" s="6">
        <f t="shared" si="18"/>
        <v>0</v>
      </c>
      <c r="L112" s="6">
        <f t="shared" si="18"/>
        <v>0</v>
      </c>
      <c r="M112" s="6">
        <f t="shared" si="18"/>
        <v>0</v>
      </c>
      <c r="O112" s="20">
        <f>'GS &gt; 50 OLS model'!$B$5</f>
        <v>-11694573.8944258</v>
      </c>
      <c r="P112" s="20">
        <f>'GS &gt; 50 OLS model'!$B$6*D112</f>
        <v>11101965.361462964</v>
      </c>
      <c r="Q112" s="20">
        <f ca="1">'GS &gt; 50 OLS model'!$B$7*E112</f>
        <v>1210257.1717080032</v>
      </c>
      <c r="R112" s="20">
        <f ca="1">'GS &gt; 50 OLS model'!$B$8*F112</f>
        <v>13008.351800683537</v>
      </c>
      <c r="S112" s="20">
        <f>'GS &gt; 50 OLS model'!$B$9*G112</f>
        <v>13436801.896855155</v>
      </c>
      <c r="T112" s="20">
        <f>'GS &gt; 50 OLS model'!$B$10*H112</f>
        <v>1427514.7434560568</v>
      </c>
      <c r="U112" s="20">
        <f>'GS &gt; 50 OLS model'!$B$11*I112</f>
        <v>0</v>
      </c>
      <c r="V112" s="20">
        <f>'GS &gt; 50 OLS model'!$B$12*J112</f>
        <v>0</v>
      </c>
      <c r="W112" s="20">
        <f>'GS &gt; 50 OLS model'!$B$13*K112</f>
        <v>0</v>
      </c>
      <c r="X112" s="20">
        <f>'GS &gt; 50 OLS model'!$B$14*L112</f>
        <v>0</v>
      </c>
      <c r="Y112" s="20">
        <f>'GS &gt; 50 OLS model'!$B$15*M112</f>
        <v>0</v>
      </c>
      <c r="Z112" s="20">
        <f t="shared" ca="1" si="10"/>
        <v>15494973.630857062</v>
      </c>
    </row>
    <row r="113" spans="1:26" ht="14.4" x14ac:dyDescent="0.3">
      <c r="A113" s="22">
        <v>43191</v>
      </c>
      <c r="B113" s="6">
        <f t="shared" si="14"/>
        <v>2018</v>
      </c>
      <c r="D113" s="20">
        <f>'Connection count '!K$13</f>
        <v>219.06231749413675</v>
      </c>
      <c r="E113" s="6">
        <f t="shared" ca="1" si="7"/>
        <v>259.5499999999999</v>
      </c>
      <c r="F113" s="6">
        <f t="shared" ca="1" si="7"/>
        <v>2.4500000000000002</v>
      </c>
      <c r="G113" s="6">
        <f>G101*(1+Employment!J$4)</f>
        <v>162.86324231250003</v>
      </c>
      <c r="H113" s="6">
        <f t="shared" si="11"/>
        <v>112</v>
      </c>
      <c r="I113" s="6">
        <f t="shared" ref="I113:M113" si="19">I101</f>
        <v>0</v>
      </c>
      <c r="J113" s="6">
        <f t="shared" si="16"/>
        <v>0</v>
      </c>
      <c r="K113" s="6">
        <f t="shared" si="19"/>
        <v>0</v>
      </c>
      <c r="L113" s="6">
        <f t="shared" si="19"/>
        <v>0</v>
      </c>
      <c r="M113" s="6">
        <f t="shared" si="19"/>
        <v>0</v>
      </c>
      <c r="O113" s="20">
        <f>'GS &gt; 50 OLS model'!$B$5</f>
        <v>-11694573.8944258</v>
      </c>
      <c r="P113" s="20">
        <f>'GS &gt; 50 OLS model'!$B$6*D113</f>
        <v>11101965.361462964</v>
      </c>
      <c r="Q113" s="20">
        <f ca="1">'GS &gt; 50 OLS model'!$B$7*E113</f>
        <v>695976.9772606286</v>
      </c>
      <c r="R113" s="20">
        <f ca="1">'GS &gt; 50 OLS model'!$B$8*F113</f>
        <v>36216.433990539394</v>
      </c>
      <c r="S113" s="20">
        <f>'GS &gt; 50 OLS model'!$B$9*G113</f>
        <v>13651036.620975932</v>
      </c>
      <c r="T113" s="20">
        <f>'GS &gt; 50 OLS model'!$B$10*H113</f>
        <v>1440375.2366403455</v>
      </c>
      <c r="U113" s="20">
        <f>'GS &gt; 50 OLS model'!$B$11*I113</f>
        <v>0</v>
      </c>
      <c r="V113" s="20">
        <f>'GS &gt; 50 OLS model'!$B$12*J113</f>
        <v>0</v>
      </c>
      <c r="W113" s="20">
        <f>'GS &gt; 50 OLS model'!$B$13*K113</f>
        <v>0</v>
      </c>
      <c r="X113" s="20">
        <f>'GS &gt; 50 OLS model'!$B$14*L113</f>
        <v>0</v>
      </c>
      <c r="Y113" s="20">
        <f>'GS &gt; 50 OLS model'!$B$15*M113</f>
        <v>0</v>
      </c>
      <c r="Z113" s="20">
        <f t="shared" ca="1" si="10"/>
        <v>15230996.73590461</v>
      </c>
    </row>
    <row r="114" spans="1:26" ht="14.4" x14ac:dyDescent="0.3">
      <c r="A114" s="22">
        <v>43221</v>
      </c>
      <c r="B114" s="6">
        <f t="shared" si="14"/>
        <v>2018</v>
      </c>
      <c r="D114" s="20">
        <f>'Connection count '!K$13</f>
        <v>219.06231749413675</v>
      </c>
      <c r="E114" s="6">
        <f t="shared" ca="1" si="7"/>
        <v>88.880000000000024</v>
      </c>
      <c r="F114" s="6">
        <f t="shared" ca="1" si="7"/>
        <v>43.79999999999999</v>
      </c>
      <c r="G114" s="6">
        <f>G102*(1+Employment!J$4)</f>
        <v>165.72587306250003</v>
      </c>
      <c r="H114" s="6">
        <f t="shared" si="11"/>
        <v>113</v>
      </c>
      <c r="I114" s="6">
        <f t="shared" ref="I114:M114" si="20">I102</f>
        <v>0</v>
      </c>
      <c r="J114" s="6">
        <f t="shared" si="16"/>
        <v>0</v>
      </c>
      <c r="K114" s="6">
        <f t="shared" si="20"/>
        <v>0</v>
      </c>
      <c r="L114" s="6">
        <f t="shared" si="20"/>
        <v>0</v>
      </c>
      <c r="M114" s="6">
        <f t="shared" si="20"/>
        <v>0</v>
      </c>
      <c r="O114" s="20">
        <f>'GS &gt; 50 OLS model'!$B$5</f>
        <v>-11694573.8944258</v>
      </c>
      <c r="P114" s="20">
        <f>'GS &gt; 50 OLS model'!$B$6*D114</f>
        <v>11101965.361462964</v>
      </c>
      <c r="Q114" s="20">
        <f ca="1">'GS &gt; 50 OLS model'!$B$7*E114</f>
        <v>238329.54628751572</v>
      </c>
      <c r="R114" s="20">
        <f ca="1">'GS &gt; 50 OLS model'!$B$8*F114</f>
        <v>647461.14644311217</v>
      </c>
      <c r="S114" s="20">
        <f>'GS &gt; 50 OLS model'!$B$9*G114</f>
        <v>13890979.511991203</v>
      </c>
      <c r="T114" s="20">
        <f>'GS &gt; 50 OLS model'!$B$10*H114</f>
        <v>1453235.7298246345</v>
      </c>
      <c r="U114" s="20">
        <f>'GS &gt; 50 OLS model'!$B$11*I114</f>
        <v>0</v>
      </c>
      <c r="V114" s="20">
        <f>'GS &gt; 50 OLS model'!$B$12*J114</f>
        <v>0</v>
      </c>
      <c r="W114" s="20">
        <f>'GS &gt; 50 OLS model'!$B$13*K114</f>
        <v>0</v>
      </c>
      <c r="X114" s="20">
        <f>'GS &gt; 50 OLS model'!$B$14*L114</f>
        <v>0</v>
      </c>
      <c r="Y114" s="20">
        <f>'GS &gt; 50 OLS model'!$B$15*M114</f>
        <v>0</v>
      </c>
      <c r="Z114" s="20">
        <f t="shared" ca="1" si="10"/>
        <v>15637397.401583629</v>
      </c>
    </row>
    <row r="115" spans="1:26" ht="14.4" x14ac:dyDescent="0.3">
      <c r="A115" s="22">
        <v>43252</v>
      </c>
      <c r="B115" s="6">
        <f t="shared" si="14"/>
        <v>2018</v>
      </c>
      <c r="D115" s="20">
        <f>'Connection count '!K$13</f>
        <v>219.06231749413675</v>
      </c>
      <c r="E115" s="6">
        <f t="shared" ca="1" si="7"/>
        <v>9.77</v>
      </c>
      <c r="F115" s="6">
        <f t="shared" ca="1" si="7"/>
        <v>117.38999999999999</v>
      </c>
      <c r="G115" s="6">
        <f>G103*(1+Employment!J$4)</f>
        <v>170.4287664375</v>
      </c>
      <c r="H115" s="6">
        <f t="shared" si="11"/>
        <v>114</v>
      </c>
      <c r="I115" s="6">
        <f t="shared" ref="I115:M115" si="21">I103</f>
        <v>0</v>
      </c>
      <c r="J115" s="6">
        <f t="shared" si="16"/>
        <v>0</v>
      </c>
      <c r="K115" s="6">
        <f t="shared" si="21"/>
        <v>0</v>
      </c>
      <c r="L115" s="6">
        <f t="shared" si="21"/>
        <v>0</v>
      </c>
      <c r="M115" s="6">
        <f t="shared" si="21"/>
        <v>0</v>
      </c>
      <c r="O115" s="20">
        <f>'GS &gt; 50 OLS model'!$B$5</f>
        <v>-11694573.8944258</v>
      </c>
      <c r="P115" s="20">
        <f>'GS &gt; 50 OLS model'!$B$6*D115</f>
        <v>11101965.361462964</v>
      </c>
      <c r="Q115" s="20">
        <f ca="1">'GS &gt; 50 OLS model'!$B$7*E115</f>
        <v>26198.016057932356</v>
      </c>
      <c r="R115" s="20">
        <f ca="1">'GS &gt; 50 OLS model'!$B$8*F115</f>
        <v>1735284.5657752729</v>
      </c>
      <c r="S115" s="20">
        <f>'GS &gt; 50 OLS model'!$B$9*G115</f>
        <v>14285171.40437343</v>
      </c>
      <c r="T115" s="20">
        <f>'GS &gt; 50 OLS model'!$B$10*H115</f>
        <v>1466096.2230089232</v>
      </c>
      <c r="U115" s="20">
        <f>'GS &gt; 50 OLS model'!$B$11*I115</f>
        <v>0</v>
      </c>
      <c r="V115" s="20">
        <f>'GS &gt; 50 OLS model'!$B$12*J115</f>
        <v>0</v>
      </c>
      <c r="W115" s="20">
        <f>'GS &gt; 50 OLS model'!$B$13*K115</f>
        <v>0</v>
      </c>
      <c r="X115" s="20">
        <f>'GS &gt; 50 OLS model'!$B$14*L115</f>
        <v>0</v>
      </c>
      <c r="Y115" s="20">
        <f>'GS &gt; 50 OLS model'!$B$15*M115</f>
        <v>0</v>
      </c>
      <c r="Z115" s="20">
        <f t="shared" ca="1" si="10"/>
        <v>16920141.676252723</v>
      </c>
    </row>
    <row r="116" spans="1:26" ht="14.4" x14ac:dyDescent="0.3">
      <c r="A116" s="22">
        <v>43282</v>
      </c>
      <c r="B116" s="6">
        <f t="shared" si="14"/>
        <v>2018</v>
      </c>
      <c r="D116" s="20">
        <f>'Connection count '!K$13</f>
        <v>219.06231749413675</v>
      </c>
      <c r="E116" s="6">
        <f t="shared" ca="1" si="7"/>
        <v>0.58000000000000007</v>
      </c>
      <c r="F116" s="6">
        <f t="shared" ca="1" si="7"/>
        <v>179.70999999999998</v>
      </c>
      <c r="G116" s="6">
        <f>G104*(1+Employment!J$4)</f>
        <v>173.70034443750004</v>
      </c>
      <c r="H116" s="6">
        <f t="shared" si="11"/>
        <v>115</v>
      </c>
      <c r="I116" s="6">
        <f t="shared" ref="I116:M116" si="22">I104</f>
        <v>0</v>
      </c>
      <c r="J116" s="6">
        <f t="shared" si="16"/>
        <v>0</v>
      </c>
      <c r="K116" s="6">
        <f t="shared" si="22"/>
        <v>0</v>
      </c>
      <c r="L116" s="6">
        <f t="shared" si="22"/>
        <v>0</v>
      </c>
      <c r="M116" s="6">
        <f t="shared" si="22"/>
        <v>0</v>
      </c>
      <c r="O116" s="20">
        <f>'GS &gt; 50 OLS model'!$B$5</f>
        <v>-11694573.8944258</v>
      </c>
      <c r="P116" s="20">
        <f>'GS &gt; 50 OLS model'!$B$6*D116</f>
        <v>11101965.361462964</v>
      </c>
      <c r="Q116" s="20">
        <f ca="1">'GS &gt; 50 OLS model'!$B$7*E116</f>
        <v>1555.2558151075507</v>
      </c>
      <c r="R116" s="20">
        <f ca="1">'GS &gt; 50 OLS model'!$B$8*F116</f>
        <v>2656512.3887509522</v>
      </c>
      <c r="S116" s="20">
        <f>'GS &gt; 50 OLS model'!$B$9*G116</f>
        <v>14559391.851248028</v>
      </c>
      <c r="T116" s="20">
        <f>'GS &gt; 50 OLS model'!$B$10*H116</f>
        <v>1478956.716193212</v>
      </c>
      <c r="U116" s="20">
        <f>'GS &gt; 50 OLS model'!$B$11*I116</f>
        <v>0</v>
      </c>
      <c r="V116" s="20">
        <f>'GS &gt; 50 OLS model'!$B$12*J116</f>
        <v>0</v>
      </c>
      <c r="W116" s="20">
        <f>'GS &gt; 50 OLS model'!$B$13*K116</f>
        <v>0</v>
      </c>
      <c r="X116" s="20">
        <f>'GS &gt; 50 OLS model'!$B$14*L116</f>
        <v>0</v>
      </c>
      <c r="Y116" s="20">
        <f>'GS &gt; 50 OLS model'!$B$15*M116</f>
        <v>0</v>
      </c>
      <c r="Z116" s="20">
        <f t="shared" ca="1" si="10"/>
        <v>18103807.679044463</v>
      </c>
    </row>
    <row r="117" spans="1:26" ht="14.4" x14ac:dyDescent="0.3">
      <c r="A117" s="22">
        <v>43313</v>
      </c>
      <c r="B117" s="6">
        <f t="shared" si="14"/>
        <v>2018</v>
      </c>
      <c r="D117" s="20">
        <f>'Connection count '!K$13</f>
        <v>219.06231749413675</v>
      </c>
      <c r="E117" s="6">
        <f t="shared" ca="1" si="7"/>
        <v>1.7099999999999997</v>
      </c>
      <c r="F117" s="6">
        <f t="shared" ca="1" si="7"/>
        <v>158.1</v>
      </c>
      <c r="G117" s="6">
        <f>G105*(1+Employment!J$4)</f>
        <v>175.54060706250002</v>
      </c>
      <c r="H117" s="6">
        <f t="shared" si="11"/>
        <v>116</v>
      </c>
      <c r="I117" s="6">
        <f t="shared" ref="I117:M117" si="23">I105</f>
        <v>0</v>
      </c>
      <c r="J117" s="6">
        <f t="shared" si="16"/>
        <v>1</v>
      </c>
      <c r="K117" s="6">
        <f t="shared" si="23"/>
        <v>0</v>
      </c>
      <c r="L117" s="6">
        <f t="shared" si="23"/>
        <v>0</v>
      </c>
      <c r="M117" s="6">
        <f t="shared" si="23"/>
        <v>0</v>
      </c>
      <c r="O117" s="20">
        <f>'GS &gt; 50 OLS model'!$B$5</f>
        <v>-11694573.8944258</v>
      </c>
      <c r="P117" s="20">
        <f>'GS &gt; 50 OLS model'!$B$6*D117</f>
        <v>11101965.361462964</v>
      </c>
      <c r="Q117" s="20">
        <f ca="1">'GS &gt; 50 OLS model'!$B$7*E117</f>
        <v>4585.3231790239843</v>
      </c>
      <c r="R117" s="20">
        <f ca="1">'GS &gt; 50 OLS model'!$B$8*F117</f>
        <v>2337068.6587364399</v>
      </c>
      <c r="S117" s="20">
        <f>'GS &gt; 50 OLS model'!$B$9*G117</f>
        <v>14713640.852614986</v>
      </c>
      <c r="T117" s="20">
        <f>'GS &gt; 50 OLS model'!$B$10*H117</f>
        <v>1491817.2093775007</v>
      </c>
      <c r="U117" s="20">
        <f>'GS &gt; 50 OLS model'!$B$11*I117</f>
        <v>0</v>
      </c>
      <c r="V117" s="20">
        <f>'GS &gt; 50 OLS model'!$B$12*J117</f>
        <v>1257541.23571065</v>
      </c>
      <c r="W117" s="20">
        <f>'GS &gt; 50 OLS model'!$B$13*K117</f>
        <v>0</v>
      </c>
      <c r="X117" s="20">
        <f>'GS &gt; 50 OLS model'!$B$14*L117</f>
        <v>0</v>
      </c>
      <c r="Y117" s="20">
        <f>'GS &gt; 50 OLS model'!$B$15*M117</f>
        <v>0</v>
      </c>
      <c r="Z117" s="20">
        <f t="shared" ca="1" si="10"/>
        <v>19212044.746655766</v>
      </c>
    </row>
    <row r="118" spans="1:26" ht="14.4" x14ac:dyDescent="0.3">
      <c r="A118" s="22">
        <v>43344</v>
      </c>
      <c r="B118" s="6">
        <f t="shared" si="14"/>
        <v>2018</v>
      </c>
      <c r="D118" s="20">
        <f>'Connection count '!K$13</f>
        <v>219.06231749413675</v>
      </c>
      <c r="E118" s="6">
        <f t="shared" ca="1" si="7"/>
        <v>32.68</v>
      </c>
      <c r="F118" s="6">
        <f t="shared" ca="1" si="7"/>
        <v>67.34</v>
      </c>
      <c r="G118" s="6">
        <f>G106*(1+Employment!J$4)</f>
        <v>174.31376531250001</v>
      </c>
      <c r="H118" s="6">
        <f t="shared" si="11"/>
        <v>117</v>
      </c>
      <c r="I118" s="6">
        <f t="shared" ref="I118:M118" si="24">I106</f>
        <v>0</v>
      </c>
      <c r="J118" s="6">
        <f t="shared" si="16"/>
        <v>0</v>
      </c>
      <c r="K118" s="6">
        <f t="shared" si="24"/>
        <v>1</v>
      </c>
      <c r="L118" s="6">
        <f t="shared" si="24"/>
        <v>0</v>
      </c>
      <c r="M118" s="6">
        <f t="shared" si="24"/>
        <v>0</v>
      </c>
      <c r="O118" s="20">
        <f>'GS &gt; 50 OLS model'!$B$5</f>
        <v>-11694573.8944258</v>
      </c>
      <c r="P118" s="20">
        <f>'GS &gt; 50 OLS model'!$B$6*D118</f>
        <v>11101965.361462964</v>
      </c>
      <c r="Q118" s="20">
        <f ca="1">'GS &gt; 50 OLS model'!$B$7*E118</f>
        <v>87630.620754680596</v>
      </c>
      <c r="R118" s="20">
        <f ca="1">'GS &gt; 50 OLS model'!$B$8*F118</f>
        <v>995434.55711139692</v>
      </c>
      <c r="S118" s="20">
        <f>'GS &gt; 50 OLS model'!$B$9*G118</f>
        <v>14610808.185037013</v>
      </c>
      <c r="T118" s="20">
        <f>'GS &gt; 50 OLS model'!$B$10*H118</f>
        <v>1504677.7025617897</v>
      </c>
      <c r="U118" s="20">
        <f>'GS &gt; 50 OLS model'!$B$11*I118</f>
        <v>0</v>
      </c>
      <c r="V118" s="20">
        <f>'GS &gt; 50 OLS model'!$B$12*J118</f>
        <v>0</v>
      </c>
      <c r="W118" s="20">
        <f>'GS &gt; 50 OLS model'!$B$13*K118</f>
        <v>1979532.62008895</v>
      </c>
      <c r="X118" s="20">
        <f>'GS &gt; 50 OLS model'!$B$14*L118</f>
        <v>0</v>
      </c>
      <c r="Y118" s="20">
        <f>'GS &gt; 50 OLS model'!$B$15*M118</f>
        <v>0</v>
      </c>
      <c r="Z118" s="20">
        <f t="shared" ca="1" si="10"/>
        <v>16605942.532502044</v>
      </c>
    </row>
    <row r="119" spans="1:26" ht="14.4" x14ac:dyDescent="0.3">
      <c r="A119" s="22">
        <v>43374</v>
      </c>
      <c r="B119" s="6">
        <f t="shared" si="14"/>
        <v>2018</v>
      </c>
      <c r="D119" s="20">
        <f>'Connection count '!K$13</f>
        <v>219.06231749413675</v>
      </c>
      <c r="E119" s="6">
        <f t="shared" ca="1" si="7"/>
        <v>176.42</v>
      </c>
      <c r="F119" s="6">
        <f t="shared" ca="1" si="7"/>
        <v>10.18</v>
      </c>
      <c r="G119" s="6">
        <f>G107*(1+Employment!J$4)</f>
        <v>172.98468674999998</v>
      </c>
      <c r="H119" s="6">
        <f t="shared" si="11"/>
        <v>118</v>
      </c>
      <c r="I119" s="6">
        <f t="shared" ref="I119:M119" si="25">I107</f>
        <v>0</v>
      </c>
      <c r="J119" s="6">
        <f t="shared" si="16"/>
        <v>0</v>
      </c>
      <c r="K119" s="6">
        <f t="shared" si="25"/>
        <v>0</v>
      </c>
      <c r="L119" s="6">
        <f t="shared" si="25"/>
        <v>0</v>
      </c>
      <c r="M119" s="6">
        <f t="shared" si="25"/>
        <v>1</v>
      </c>
      <c r="O119" s="20">
        <f>'GS &gt; 50 OLS model'!$B$5</f>
        <v>-11694573.8944258</v>
      </c>
      <c r="P119" s="20">
        <f>'GS &gt; 50 OLS model'!$B$6*D119</f>
        <v>11101965.361462964</v>
      </c>
      <c r="Q119" s="20">
        <f ca="1">'GS &gt; 50 OLS model'!$B$7*E119</f>
        <v>473065.91534702422</v>
      </c>
      <c r="R119" s="20">
        <f ca="1">'GS &gt; 50 OLS model'!$B$8*F119</f>
        <v>150482.97878517999</v>
      </c>
      <c r="S119" s="20">
        <f>'GS &gt; 50 OLS model'!$B$9*G119</f>
        <v>14499406.128494205</v>
      </c>
      <c r="T119" s="20">
        <f>'GS &gt; 50 OLS model'!$B$10*H119</f>
        <v>1517538.1957460784</v>
      </c>
      <c r="U119" s="20">
        <f>'GS &gt; 50 OLS model'!$B$11*I119</f>
        <v>0</v>
      </c>
      <c r="V119" s="20">
        <f>'GS &gt; 50 OLS model'!$B$12*J119</f>
        <v>0</v>
      </c>
      <c r="W119" s="20">
        <f>'GS &gt; 50 OLS model'!$B$13*K119</f>
        <v>0</v>
      </c>
      <c r="X119" s="20">
        <f>'GS &gt; 50 OLS model'!$B$14*L119</f>
        <v>0</v>
      </c>
      <c r="Y119" s="20">
        <f>'GS &gt; 50 OLS model'!$B$15*M119</f>
        <v>671693.73401239095</v>
      </c>
      <c r="Z119" s="20">
        <f t="shared" ca="1" si="10"/>
        <v>16047884.685409652</v>
      </c>
    </row>
    <row r="120" spans="1:26" ht="14.4" x14ac:dyDescent="0.3">
      <c r="A120" s="22">
        <v>43405</v>
      </c>
      <c r="B120" s="6">
        <f t="shared" si="14"/>
        <v>2018</v>
      </c>
      <c r="D120" s="20">
        <f>'Connection count '!K$13</f>
        <v>219.06231749413675</v>
      </c>
      <c r="E120" s="6">
        <f t="shared" ca="1" si="7"/>
        <v>364.2299999999999</v>
      </c>
      <c r="F120" s="6">
        <f t="shared" ca="1" si="7"/>
        <v>0.05</v>
      </c>
      <c r="G120" s="6">
        <f>G108*(1+Employment!J$4)</f>
        <v>169.2019246875</v>
      </c>
      <c r="H120" s="6">
        <f t="shared" si="11"/>
        <v>119</v>
      </c>
      <c r="I120" s="6">
        <f t="shared" ref="I120:M120" si="26">I108</f>
        <v>0</v>
      </c>
      <c r="J120" s="6">
        <f t="shared" si="16"/>
        <v>0</v>
      </c>
      <c r="K120" s="6">
        <f t="shared" si="26"/>
        <v>0</v>
      </c>
      <c r="L120" s="6">
        <f t="shared" si="26"/>
        <v>1</v>
      </c>
      <c r="M120" s="6">
        <f t="shared" si="26"/>
        <v>1</v>
      </c>
      <c r="O120" s="20">
        <f>'GS &gt; 50 OLS model'!$B$5</f>
        <v>-11694573.8944258</v>
      </c>
      <c r="P120" s="20">
        <f>'GS &gt; 50 OLS model'!$B$6*D120</f>
        <v>11101965.361462964</v>
      </c>
      <c r="Q120" s="20">
        <f ca="1">'GS &gt; 50 OLS model'!$B$7*E120</f>
        <v>976673.83713210851</v>
      </c>
      <c r="R120" s="20">
        <f ca="1">'GS &gt; 50 OLS model'!$B$8*F120</f>
        <v>739.11089776611004</v>
      </c>
      <c r="S120" s="20">
        <f>'GS &gt; 50 OLS model'!$B$9*G120</f>
        <v>14182338.736795457</v>
      </c>
      <c r="T120" s="20">
        <f>'GS &gt; 50 OLS model'!$B$10*H120</f>
        <v>1530398.6889303671</v>
      </c>
      <c r="U120" s="20">
        <f>'GS &gt; 50 OLS model'!$B$11*I120</f>
        <v>0</v>
      </c>
      <c r="V120" s="20">
        <f>'GS &gt; 50 OLS model'!$B$12*J120</f>
        <v>0</v>
      </c>
      <c r="W120" s="20">
        <f>'GS &gt; 50 OLS model'!$B$13*K120</f>
        <v>0</v>
      </c>
      <c r="X120" s="20">
        <f>'GS &gt; 50 OLS model'!$B$14*L120</f>
        <v>1466841.9423256</v>
      </c>
      <c r="Y120" s="20">
        <f>'GS &gt; 50 OLS model'!$B$15*M120</f>
        <v>671693.73401239095</v>
      </c>
      <c r="Z120" s="20">
        <f t="shared" ca="1" si="10"/>
        <v>16097541.840792861</v>
      </c>
    </row>
    <row r="121" spans="1:26" ht="14.4" x14ac:dyDescent="0.3">
      <c r="A121" s="22">
        <v>43435</v>
      </c>
      <c r="B121" s="6">
        <f t="shared" si="14"/>
        <v>2018</v>
      </c>
      <c r="D121" s="20">
        <f>'Connection count '!K$13</f>
        <v>219.06231749413675</v>
      </c>
      <c r="E121" s="6">
        <f t="shared" ca="1" si="7"/>
        <v>552.31000000000006</v>
      </c>
      <c r="F121" s="6">
        <f t="shared" ca="1" si="7"/>
        <v>0</v>
      </c>
      <c r="G121" s="6">
        <f>G109*(1+Employment!J$4)</f>
        <v>166.13482031250004</v>
      </c>
      <c r="H121" s="6">
        <f t="shared" si="11"/>
        <v>120</v>
      </c>
      <c r="I121" s="6">
        <f t="shared" ref="I121:M121" si="27">I109</f>
        <v>0</v>
      </c>
      <c r="J121" s="6">
        <f t="shared" si="16"/>
        <v>0</v>
      </c>
      <c r="K121" s="6">
        <f t="shared" si="27"/>
        <v>0</v>
      </c>
      <c r="L121" s="6">
        <f t="shared" si="27"/>
        <v>0</v>
      </c>
      <c r="M121" s="6">
        <f t="shared" si="27"/>
        <v>0</v>
      </c>
      <c r="O121" s="20">
        <f>'GS &gt; 50 OLS model'!$B$5</f>
        <v>-11694573.8944258</v>
      </c>
      <c r="P121" s="20">
        <f>'GS &gt; 50 OLS model'!$B$6*D121</f>
        <v>11101965.361462964</v>
      </c>
      <c r="Q121" s="20">
        <f ca="1">'GS &gt; 50 OLS model'!$B$7*E121</f>
        <v>1481005.7573138815</v>
      </c>
      <c r="R121" s="20">
        <f ca="1">'GS &gt; 50 OLS model'!$B$8*F121</f>
        <v>0</v>
      </c>
      <c r="S121" s="20">
        <f>'GS &gt; 50 OLS model'!$B$9*G121</f>
        <v>13925257.067850528</v>
      </c>
      <c r="T121" s="20">
        <f>'GS &gt; 50 OLS model'!$B$10*H121</f>
        <v>1543259.1821146561</v>
      </c>
      <c r="U121" s="20">
        <f>'GS &gt; 50 OLS model'!$B$11*I121</f>
        <v>0</v>
      </c>
      <c r="V121" s="20">
        <f>'GS &gt; 50 OLS model'!$B$12*J121</f>
        <v>0</v>
      </c>
      <c r="W121" s="20">
        <f>'GS &gt; 50 OLS model'!$B$13*K121</f>
        <v>0</v>
      </c>
      <c r="X121" s="20">
        <f>'GS &gt; 50 OLS model'!$B$14*L121</f>
        <v>0</v>
      </c>
      <c r="Y121" s="20">
        <f>'GS &gt; 50 OLS model'!$B$15*M121</f>
        <v>0</v>
      </c>
      <c r="Z121" s="20">
        <f t="shared" ca="1" si="10"/>
        <v>16356913.474316228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3"/>
  <sheetViews>
    <sheetView workbookViewId="0">
      <selection activeCell="J4" sqref="J4"/>
    </sheetView>
  </sheetViews>
  <sheetFormatPr defaultColWidth="9.33203125" defaultRowHeight="13.2" x14ac:dyDescent="0.25"/>
  <cols>
    <col min="1" max="1" width="3.44140625" style="30" customWidth="1"/>
    <col min="2" max="2" width="5.77734375" style="30" customWidth="1"/>
    <col min="3" max="3" width="11.6640625" style="30" customWidth="1"/>
    <col min="4" max="4" width="12.5546875" style="30" customWidth="1"/>
    <col min="5" max="5" width="3.44140625" style="30" customWidth="1"/>
    <col min="6" max="6" width="5.77734375" style="30" customWidth="1"/>
    <col min="7" max="7" width="11.6640625" style="30" customWidth="1"/>
    <col min="8" max="8" width="12.5546875" style="30" customWidth="1"/>
    <col min="9" max="9" width="3.44140625" style="30" customWidth="1"/>
    <col min="10" max="10" width="5.77734375" style="30" customWidth="1"/>
    <col min="11" max="11" width="11.6640625" style="30" customWidth="1"/>
    <col min="12" max="12" width="12.5546875" style="30" customWidth="1"/>
    <col min="13" max="13" width="3.88671875" style="30" customWidth="1"/>
    <col min="14" max="14" width="5" style="30" bestFit="1" customWidth="1"/>
    <col min="15" max="15" width="9.6640625" style="30" bestFit="1" customWidth="1"/>
    <col min="16" max="16" width="12.44140625" style="30" customWidth="1"/>
    <col min="17" max="17" width="3.88671875" style="30" customWidth="1"/>
    <col min="18" max="18" width="10.21875" style="30" bestFit="1" customWidth="1"/>
    <col min="19" max="19" width="10.6640625" style="30" customWidth="1"/>
    <col min="20" max="20" width="3.44140625" style="30" customWidth="1"/>
    <col min="21" max="21" width="5.77734375" style="30" customWidth="1"/>
    <col min="22" max="22" width="13.109375" style="30" customWidth="1"/>
    <col min="23" max="23" width="3.44140625" style="30" customWidth="1"/>
    <col min="24" max="24" width="9.33203125" style="30"/>
    <col min="25" max="25" width="13.33203125" style="30" customWidth="1"/>
    <col min="26" max="16384" width="9.33203125" style="30"/>
  </cols>
  <sheetData>
    <row r="1" spans="2:25" x14ac:dyDescent="0.25">
      <c r="R1" s="124" t="s">
        <v>97</v>
      </c>
    </row>
    <row r="2" spans="2:25" ht="13.2" customHeight="1" x14ac:dyDescent="0.25">
      <c r="B2" s="125" t="s">
        <v>1</v>
      </c>
      <c r="C2" s="125"/>
      <c r="D2" s="124" t="s">
        <v>165</v>
      </c>
      <c r="F2" s="125" t="s">
        <v>98</v>
      </c>
      <c r="G2" s="125"/>
      <c r="H2" s="124" t="s">
        <v>165</v>
      </c>
      <c r="J2" s="125" t="s">
        <v>99</v>
      </c>
      <c r="K2" s="125"/>
      <c r="L2" s="124" t="s">
        <v>165</v>
      </c>
      <c r="N2" s="125" t="s">
        <v>196</v>
      </c>
      <c r="O2" s="125"/>
      <c r="P2" s="124" t="s">
        <v>165</v>
      </c>
      <c r="R2" s="124"/>
      <c r="S2" s="124" t="s">
        <v>100</v>
      </c>
      <c r="U2" s="30" t="s">
        <v>101</v>
      </c>
      <c r="V2" s="31"/>
      <c r="X2" s="30" t="s">
        <v>6</v>
      </c>
      <c r="Y2" s="31"/>
    </row>
    <row r="3" spans="2:25" x14ac:dyDescent="0.25">
      <c r="B3" s="31" t="s">
        <v>83</v>
      </c>
      <c r="C3" s="31" t="s">
        <v>102</v>
      </c>
      <c r="D3" s="124"/>
      <c r="F3" s="31" t="s">
        <v>83</v>
      </c>
      <c r="G3" s="31" t="s">
        <v>102</v>
      </c>
      <c r="H3" s="124"/>
      <c r="J3" s="31" t="s">
        <v>83</v>
      </c>
      <c r="K3" s="31" t="s">
        <v>102</v>
      </c>
      <c r="L3" s="124"/>
      <c r="N3" s="31" t="s">
        <v>83</v>
      </c>
      <c r="O3" s="31" t="s">
        <v>102</v>
      </c>
      <c r="P3" s="124"/>
      <c r="R3" s="31" t="s">
        <v>83</v>
      </c>
      <c r="S3" s="124"/>
      <c r="U3" s="31" t="s">
        <v>83</v>
      </c>
      <c r="V3" s="31" t="s">
        <v>3</v>
      </c>
      <c r="X3" s="31" t="s">
        <v>83</v>
      </c>
      <c r="Y3" s="31" t="s">
        <v>3</v>
      </c>
    </row>
    <row r="4" spans="2:25" x14ac:dyDescent="0.25">
      <c r="B4" s="30">
        <v>2009</v>
      </c>
      <c r="C4" s="32">
        <f>SUMIF('Monthly Data'!$B:$B,B4,'Monthly Data'!G:G)/12</f>
        <v>25956.583333333332</v>
      </c>
      <c r="D4" s="33"/>
      <c r="F4" s="30">
        <v>2009</v>
      </c>
      <c r="G4" s="32">
        <f>SUMIF('Monthly Data'!$B:$B,F4,'Monthly Data'!K:K)/12</f>
        <v>1869.6666666666667</v>
      </c>
      <c r="H4" s="33"/>
      <c r="J4" s="30">
        <v>2009</v>
      </c>
      <c r="K4" s="32">
        <f>SUMIF('Monthly Data'!$B:$B,J4,'Monthly Data'!P:P)/12</f>
        <v>221.41666666666666</v>
      </c>
      <c r="L4" s="33"/>
      <c r="N4" s="30">
        <v>2009</v>
      </c>
      <c r="O4" s="32">
        <f>SUMIF('Monthly Data'!B:B,J4,'Monthly Data'!AF:AF)/12</f>
        <v>6.666666666666667</v>
      </c>
      <c r="P4" s="33"/>
      <c r="R4" s="30">
        <v>2009</v>
      </c>
      <c r="S4" s="32">
        <f>SUMIF('Monthly Data'!B:B,R4,'Monthly Data'!V:V)/12</f>
        <v>7633.833333333333</v>
      </c>
      <c r="U4" s="30">
        <v>2009</v>
      </c>
      <c r="V4" s="32">
        <f>SUMIF('Monthly Data'!B:B,U4,'Monthly Data'!Y:Y)/12</f>
        <v>173.83333333333334</v>
      </c>
      <c r="X4" s="30">
        <v>2009</v>
      </c>
      <c r="Y4" s="32">
        <f>SUMIF('Monthly Data'!B:B,X4,'Monthly Data'!AA:AA)/12</f>
        <v>139.66666666666666</v>
      </c>
    </row>
    <row r="5" spans="2:25" x14ac:dyDescent="0.25">
      <c r="B5" s="30">
        <v>2010</v>
      </c>
      <c r="C5" s="32">
        <f>SUMIF('Monthly Data'!$B:$B,B5,'Monthly Data'!G:G)/12</f>
        <v>26075.333333333332</v>
      </c>
      <c r="D5" s="34">
        <f>C5/C4</f>
        <v>1.004574947267713</v>
      </c>
      <c r="E5" s="35"/>
      <c r="F5" s="30">
        <v>2010</v>
      </c>
      <c r="G5" s="32">
        <f>SUMIF('Monthly Data'!$B:$B,F5,'Monthly Data'!K:K)/12</f>
        <v>1895.25</v>
      </c>
      <c r="H5" s="34">
        <f>G5/G4</f>
        <v>1.0136833660188982</v>
      </c>
      <c r="I5" s="35"/>
      <c r="J5" s="30">
        <v>2010</v>
      </c>
      <c r="K5" s="32">
        <f>SUMIF('Monthly Data'!$B:$B,J5,'Monthly Data'!P:P)/12</f>
        <v>214.33333333333334</v>
      </c>
      <c r="L5" s="34">
        <f>K5/K4</f>
        <v>0.96800903274369599</v>
      </c>
      <c r="M5" s="35"/>
      <c r="N5" s="30">
        <v>2010</v>
      </c>
      <c r="O5" s="32">
        <f>SUMIF('Monthly Data'!B:B,J5,'Monthly Data'!AF:AF)/12</f>
        <v>7</v>
      </c>
      <c r="P5" s="34">
        <f>O5/O4</f>
        <v>1.05</v>
      </c>
      <c r="Q5" s="35"/>
      <c r="R5" s="30">
        <v>2010</v>
      </c>
      <c r="S5" s="32">
        <f>SUMIF('Monthly Data'!B:B,R5,'Monthly Data'!V:V)/12</f>
        <v>6786.833333333333</v>
      </c>
      <c r="T5" s="35"/>
      <c r="U5" s="30">
        <v>2010</v>
      </c>
      <c r="V5" s="32">
        <f>SUMIF('Monthly Data'!B:B,U5,'Monthly Data'!Y:Y)/12</f>
        <v>174.08333333333334</v>
      </c>
      <c r="X5" s="30">
        <v>2010</v>
      </c>
      <c r="Y5" s="32">
        <f>SUMIF('Monthly Data'!B:B,X5,'Monthly Data'!AA:AA)/12</f>
        <v>141</v>
      </c>
    </row>
    <row r="6" spans="2:25" x14ac:dyDescent="0.25">
      <c r="B6" s="30">
        <v>2011</v>
      </c>
      <c r="C6" s="32">
        <f>SUMIF('Monthly Data'!$B:$B,B6,'Monthly Data'!G:G)/12</f>
        <v>26200.583333333332</v>
      </c>
      <c r="D6" s="34">
        <f t="shared" ref="D6:D11" si="0">C6/C5</f>
        <v>1.0048033901771789</v>
      </c>
      <c r="E6" s="35"/>
      <c r="F6" s="30">
        <v>2011</v>
      </c>
      <c r="G6" s="32">
        <f>SUMIF('Monthly Data'!$B:$B,F6,'Monthly Data'!K:K)/12</f>
        <v>2055.75</v>
      </c>
      <c r="H6" s="34">
        <f t="shared" ref="H6:H11" si="1">G6/G5</f>
        <v>1.0846853977047883</v>
      </c>
      <c r="I6" s="35"/>
      <c r="J6" s="30">
        <v>2011</v>
      </c>
      <c r="K6" s="32">
        <f>SUMIF('Monthly Data'!$B:$B,J6,'Monthly Data'!P:P)/12</f>
        <v>222.16666666666666</v>
      </c>
      <c r="L6" s="34">
        <f t="shared" ref="L6:L11" si="2">K6/K5</f>
        <v>1.036547433903577</v>
      </c>
      <c r="M6" s="35"/>
      <c r="N6" s="30">
        <v>2011</v>
      </c>
      <c r="O6" s="32">
        <f>SUMIF('Monthly Data'!B:B,J6,'Monthly Data'!AF:AF)/12</f>
        <v>7</v>
      </c>
      <c r="P6" s="34">
        <f t="shared" ref="P6:P11" si="3">O6/O5</f>
        <v>1</v>
      </c>
      <c r="Q6" s="35"/>
      <c r="R6" s="30">
        <v>2011</v>
      </c>
      <c r="S6" s="32">
        <f>SUMIF('Monthly Data'!B:B,R6,'Monthly Data'!V:V)/12</f>
        <v>2896.1666666666665</v>
      </c>
      <c r="T6" s="35"/>
      <c r="U6" s="30">
        <v>2011</v>
      </c>
      <c r="V6" s="32">
        <f>SUMIF('Monthly Data'!B:B,U6,'Monthly Data'!Y:Y)/12</f>
        <v>173.66666666666666</v>
      </c>
      <c r="X6" s="30">
        <v>2011</v>
      </c>
      <c r="Y6" s="32">
        <f>SUMIF('Monthly Data'!B:B,X6,'Monthly Data'!AA:AA)/12</f>
        <v>141</v>
      </c>
    </row>
    <row r="7" spans="2:25" x14ac:dyDescent="0.25">
      <c r="B7" s="36">
        <v>2012</v>
      </c>
      <c r="C7" s="32">
        <f>SUMIF('Monthly Data'!$B:$B,B7,'Monthly Data'!G:G)/12</f>
        <v>26337</v>
      </c>
      <c r="D7" s="34">
        <f t="shared" si="0"/>
        <v>1.0052066270789137</v>
      </c>
      <c r="E7" s="35"/>
      <c r="F7" s="36">
        <v>2012</v>
      </c>
      <c r="G7" s="32">
        <f>SUMIF('Monthly Data'!$B:$B,F7,'Monthly Data'!K:K)/12</f>
        <v>1906.1666666666667</v>
      </c>
      <c r="H7" s="34">
        <f t="shared" si="1"/>
        <v>0.92723661275284774</v>
      </c>
      <c r="I7" s="35"/>
      <c r="J7" s="36">
        <v>2012</v>
      </c>
      <c r="K7" s="32">
        <f>SUMIF('Monthly Data'!$B:$B,J7,'Monthly Data'!P:P)/12</f>
        <v>208.25</v>
      </c>
      <c r="L7" s="34">
        <f t="shared" si="2"/>
        <v>0.93735933983495878</v>
      </c>
      <c r="M7" s="35"/>
      <c r="N7" s="36">
        <v>2012</v>
      </c>
      <c r="O7" s="32">
        <f>SUMIF('Monthly Data'!B:B,J7,'Monthly Data'!AF:AF)/12</f>
        <v>7</v>
      </c>
      <c r="P7" s="34">
        <f t="shared" si="3"/>
        <v>1</v>
      </c>
      <c r="Q7" s="35"/>
      <c r="R7" s="36">
        <v>2012</v>
      </c>
      <c r="S7" s="32">
        <f>SUMIF('Monthly Data'!B:B,R7,'Monthly Data'!V:V)/12</f>
        <v>2474.4166666666665</v>
      </c>
      <c r="T7" s="35"/>
      <c r="U7" s="36">
        <v>2012</v>
      </c>
      <c r="V7" s="32">
        <f>SUMIF('Monthly Data'!B:B,U7,'Monthly Data'!Y:Y)/12</f>
        <v>175</v>
      </c>
      <c r="X7" s="36">
        <v>2012</v>
      </c>
      <c r="Y7" s="32">
        <f>SUMIF('Monthly Data'!B:B,X7,'Monthly Data'!AA:AA)/12</f>
        <v>141</v>
      </c>
    </row>
    <row r="8" spans="2:25" x14ac:dyDescent="0.25">
      <c r="B8" s="30">
        <v>2013</v>
      </c>
      <c r="C8" s="32">
        <f>SUMIF('Monthly Data'!$B:$B,B8,'Monthly Data'!G:G)/12</f>
        <v>26466.416666666668</v>
      </c>
      <c r="D8" s="34">
        <f t="shared" si="0"/>
        <v>1.0049138727518954</v>
      </c>
      <c r="E8" s="35"/>
      <c r="F8" s="30">
        <v>2013</v>
      </c>
      <c r="G8" s="32">
        <f>SUMIF('Monthly Data'!$B:$B,F8,'Monthly Data'!K:K)/12</f>
        <v>1904.25</v>
      </c>
      <c r="H8" s="34">
        <f t="shared" si="1"/>
        <v>0.99899449156247266</v>
      </c>
      <c r="I8" s="35"/>
      <c r="J8" s="30">
        <v>2013</v>
      </c>
      <c r="K8" s="32">
        <f>SUMIF('Monthly Data'!$B:$B,J8,'Monthly Data'!P:P)/12</f>
        <v>208.08333333333334</v>
      </c>
      <c r="L8" s="34">
        <f t="shared" si="2"/>
        <v>0.9991996798719488</v>
      </c>
      <c r="M8" s="35"/>
      <c r="N8" s="30">
        <v>2013</v>
      </c>
      <c r="O8" s="32">
        <f>SUMIF('Monthly Data'!B:B,J8,'Monthly Data'!AF:AF)/12</f>
        <v>6.333333333333333</v>
      </c>
      <c r="P8" s="34">
        <f t="shared" si="3"/>
        <v>0.90476190476190477</v>
      </c>
      <c r="Q8" s="35"/>
      <c r="R8" s="30">
        <v>2013</v>
      </c>
      <c r="S8" s="32">
        <f>SUMIF('Monthly Data'!B:B,R8,'Monthly Data'!V:V)/12</f>
        <v>2620.9166666666665</v>
      </c>
      <c r="T8" s="35"/>
      <c r="U8" s="30">
        <v>2013</v>
      </c>
      <c r="V8" s="32">
        <f>SUMIF('Monthly Data'!B:B,U8,'Monthly Data'!Y:Y)/12</f>
        <v>175</v>
      </c>
      <c r="X8" s="30">
        <v>2013</v>
      </c>
      <c r="Y8" s="32">
        <f>SUMIF('Monthly Data'!B:B,X8,'Monthly Data'!AA:AA)/12</f>
        <v>139.91666666666666</v>
      </c>
    </row>
    <row r="9" spans="2:25" s="37" customFormat="1" x14ac:dyDescent="0.25">
      <c r="B9" s="30">
        <v>2014</v>
      </c>
      <c r="C9" s="32">
        <f>SUMIF('Monthly Data'!$B:$B,B9,'Monthly Data'!G:G)/12</f>
        <v>26590.166666666668</v>
      </c>
      <c r="D9" s="34">
        <f t="shared" si="0"/>
        <v>1.0046757368614943</v>
      </c>
      <c r="F9" s="30">
        <v>2014</v>
      </c>
      <c r="G9" s="32">
        <f>SUMIF('Monthly Data'!$B:$B,F9,'Monthly Data'!K:K)/12</f>
        <v>1909.75</v>
      </c>
      <c r="H9" s="34">
        <f t="shared" si="1"/>
        <v>1.0028882762242353</v>
      </c>
      <c r="I9" s="35"/>
      <c r="J9" s="30">
        <v>2014</v>
      </c>
      <c r="K9" s="32">
        <f>SUMIF('Monthly Data'!$B:$B,J9,'Monthly Data'!P:P)/12</f>
        <v>211.41666666666666</v>
      </c>
      <c r="L9" s="34">
        <f t="shared" si="2"/>
        <v>1.0160192230676812</v>
      </c>
      <c r="M9" s="35"/>
      <c r="N9" s="30">
        <v>2014</v>
      </c>
      <c r="O9" s="32">
        <f>SUMIF('Monthly Data'!B:B,J9,'Monthly Data'!AF:AF)/12</f>
        <v>6</v>
      </c>
      <c r="P9" s="34">
        <f t="shared" si="3"/>
        <v>0.94736842105263164</v>
      </c>
      <c r="Q9" s="35"/>
      <c r="R9" s="30">
        <v>2014</v>
      </c>
      <c r="S9" s="32">
        <f>SUMIF('Monthly Data'!B:B,R9,'Monthly Data'!V:V)/12</f>
        <v>2712.8333333333335</v>
      </c>
      <c r="U9" s="30">
        <v>2014</v>
      </c>
      <c r="V9" s="32">
        <f>SUMIF('Monthly Data'!B:B,U9,'Monthly Data'!Y:Y)/12</f>
        <v>172.33333333333334</v>
      </c>
      <c r="X9" s="30">
        <v>2014</v>
      </c>
      <c r="Y9" s="32">
        <f>SUMIF('Monthly Data'!B:B,X9,'Monthly Data'!AA:AA)/12</f>
        <v>139.83333333333334</v>
      </c>
    </row>
    <row r="10" spans="2:25" s="37" customFormat="1" x14ac:dyDescent="0.25">
      <c r="B10" s="30">
        <v>2015</v>
      </c>
      <c r="C10" s="32">
        <f>SUMIF('Monthly Data'!$B:$B,B10,'Monthly Data'!G:G)/12</f>
        <v>26815.083333333332</v>
      </c>
      <c r="D10" s="34">
        <f t="shared" si="0"/>
        <v>1.0084586407255813</v>
      </c>
      <c r="F10" s="30">
        <v>2015</v>
      </c>
      <c r="G10" s="32">
        <f>SUMIF('Monthly Data'!$B:$B,F10,'Monthly Data'!K:K)/12</f>
        <v>1935.6666666666667</v>
      </c>
      <c r="H10" s="34">
        <f t="shared" si="1"/>
        <v>1.0135707116987389</v>
      </c>
      <c r="J10" s="30">
        <v>2015</v>
      </c>
      <c r="K10" s="32">
        <f>SUMIF('Monthly Data'!$B:$B,J10,'Monthly Data'!P:P)/12</f>
        <v>211.91666666666666</v>
      </c>
      <c r="L10" s="34">
        <f t="shared" si="2"/>
        <v>1.0023649980291682</v>
      </c>
      <c r="N10" s="30">
        <v>2015</v>
      </c>
      <c r="O10" s="32">
        <f>SUMIF('Monthly Data'!B:B,J10,'Monthly Data'!AF:AF)/12</f>
        <v>5.666666666666667</v>
      </c>
      <c r="P10" s="34">
        <f t="shared" si="3"/>
        <v>0.94444444444444453</v>
      </c>
      <c r="R10" s="30">
        <v>2015</v>
      </c>
      <c r="S10" s="32">
        <f>SUMIF('Monthly Data'!B:B,R10,'Monthly Data'!V:V)/12</f>
        <v>2700.5833333333335</v>
      </c>
      <c r="U10" s="30">
        <v>2015</v>
      </c>
      <c r="V10" s="32">
        <f>SUMIF('Monthly Data'!B:B,U10,'Monthly Data'!Y:Y)/12</f>
        <v>174</v>
      </c>
      <c r="X10" s="30">
        <v>2015</v>
      </c>
      <c r="Y10" s="32">
        <f>SUMIF('Monthly Data'!B:B,X10,'Monthly Data'!AA:AA)/12</f>
        <v>141</v>
      </c>
    </row>
    <row r="11" spans="2:25" x14ac:dyDescent="0.25">
      <c r="B11" s="30">
        <v>2016</v>
      </c>
      <c r="C11" s="32">
        <f>SUMIF('Monthly Data'!$B:$B,B11,'Monthly Data'!G:G)/12</f>
        <v>27136.833333333332</v>
      </c>
      <c r="D11" s="34">
        <f t="shared" si="0"/>
        <v>1.0119988439342285</v>
      </c>
      <c r="F11" s="30">
        <v>2016</v>
      </c>
      <c r="G11" s="32">
        <f>SUMIF('Monthly Data'!$B:$B,F11,'Monthly Data'!K:K)/12</f>
        <v>1952.9166666666667</v>
      </c>
      <c r="H11" s="34">
        <f t="shared" si="1"/>
        <v>1.0089116583433786</v>
      </c>
      <c r="J11" s="30">
        <v>2016</v>
      </c>
      <c r="K11" s="32">
        <f>SUMIF('Monthly Data'!$B:$B,J11,'Monthly Data'!P:P)/12</f>
        <v>219.58333333333334</v>
      </c>
      <c r="L11" s="34">
        <f t="shared" si="2"/>
        <v>1.0361777428234369</v>
      </c>
      <c r="N11" s="30">
        <v>2016</v>
      </c>
      <c r="O11" s="32">
        <f>SUMIF('Monthly Data'!B:B,J11,'Monthly Data'!AF:AF)/12</f>
        <v>3</v>
      </c>
      <c r="P11" s="34">
        <f t="shared" si="3"/>
        <v>0.52941176470588236</v>
      </c>
      <c r="R11" s="30">
        <v>2016</v>
      </c>
      <c r="S11" s="32">
        <f>SUMIF('Monthly Data'!B:B,R11,'Monthly Data'!V:V)/12</f>
        <v>2719.6666666666665</v>
      </c>
      <c r="U11" s="30">
        <v>2016</v>
      </c>
      <c r="V11" s="32">
        <f>SUMIF('Monthly Data'!B:B,U11,'Monthly Data'!Y:Y)/12</f>
        <v>173.33333333333334</v>
      </c>
      <c r="X11" s="30">
        <v>2016</v>
      </c>
      <c r="Y11" s="32">
        <f>SUMIF('Monthly Data'!B:B,X11,'Monthly Data'!AA:AA)/12</f>
        <v>139.66666666666666</v>
      </c>
    </row>
    <row r="12" spans="2:25" x14ac:dyDescent="0.25">
      <c r="B12" s="37">
        <v>2017</v>
      </c>
      <c r="C12" s="38">
        <f>C11*D12</f>
        <v>27309.765643628656</v>
      </c>
      <c r="D12" s="39">
        <f>GEOMEAN(D5:D11)</f>
        <v>1.0063726046503334</v>
      </c>
      <c r="E12" s="37"/>
      <c r="F12" s="37">
        <v>2017</v>
      </c>
      <c r="G12" s="38">
        <f>G11*H12</f>
        <v>1965.1083512868604</v>
      </c>
      <c r="H12" s="39">
        <f>GEOMEAN(H5:H11)</f>
        <v>1.0062428084251045</v>
      </c>
      <c r="I12" s="37"/>
      <c r="J12" s="37">
        <v>2017</v>
      </c>
      <c r="K12" s="38">
        <f>K11*L12</f>
        <v>219.32267070024369</v>
      </c>
      <c r="L12" s="39">
        <f>GEOMEAN(L5:L11)</f>
        <v>0.99881292159503765</v>
      </c>
      <c r="M12" s="37"/>
      <c r="N12" s="37">
        <v>2017</v>
      </c>
      <c r="O12" s="38">
        <f>O11</f>
        <v>3</v>
      </c>
      <c r="P12" s="39">
        <v>1</v>
      </c>
      <c r="Q12" s="37"/>
      <c r="R12" s="37">
        <v>2017</v>
      </c>
      <c r="S12" s="38">
        <f>AVERAGE('Monthly Data'!V96:V97)</f>
        <v>2740</v>
      </c>
      <c r="T12" s="37"/>
      <c r="U12" s="37">
        <v>2017</v>
      </c>
      <c r="V12" s="38">
        <f>V11</f>
        <v>173.33333333333334</v>
      </c>
      <c r="W12" s="37"/>
      <c r="X12" s="37">
        <v>2017</v>
      </c>
      <c r="Y12" s="38">
        <f>Y11</f>
        <v>139.66666666666666</v>
      </c>
    </row>
    <row r="13" spans="2:25" x14ac:dyDescent="0.25">
      <c r="B13" s="37">
        <v>2018</v>
      </c>
      <c r="C13" s="38">
        <f>C12*D13</f>
        <v>27483.799983168759</v>
      </c>
      <c r="D13" s="39">
        <f>D12</f>
        <v>1.0063726046503334</v>
      </c>
      <c r="E13" s="37"/>
      <c r="F13" s="37">
        <v>2018</v>
      </c>
      <c r="G13" s="38">
        <f>G12*H13</f>
        <v>1977.3761462585171</v>
      </c>
      <c r="H13" s="39">
        <f>H12</f>
        <v>1.0062428084251045</v>
      </c>
      <c r="I13" s="37"/>
      <c r="J13" s="37">
        <v>2018</v>
      </c>
      <c r="K13" s="38">
        <f>K12*L13</f>
        <v>219.06231749413675</v>
      </c>
      <c r="L13" s="39">
        <f>L12</f>
        <v>0.99881292159503765</v>
      </c>
      <c r="M13" s="37"/>
      <c r="N13" s="37">
        <v>2018</v>
      </c>
      <c r="O13" s="38">
        <f>O12</f>
        <v>3</v>
      </c>
      <c r="P13" s="39">
        <f>P12</f>
        <v>1</v>
      </c>
      <c r="Q13" s="37"/>
      <c r="R13" s="37">
        <v>2018</v>
      </c>
      <c r="S13" s="38">
        <f>S12</f>
        <v>2740</v>
      </c>
      <c r="T13" s="37"/>
      <c r="U13" s="37">
        <v>2018</v>
      </c>
      <c r="V13" s="38">
        <f>V12</f>
        <v>173.33333333333334</v>
      </c>
      <c r="W13" s="37"/>
      <c r="X13" s="37">
        <v>2018</v>
      </c>
      <c r="Y13" s="38">
        <f>Y12</f>
        <v>139.66666666666666</v>
      </c>
    </row>
  </sheetData>
  <mergeCells count="10">
    <mergeCell ref="S2:S3"/>
    <mergeCell ref="R1:R2"/>
    <mergeCell ref="L2:L3"/>
    <mergeCell ref="B2:C2"/>
    <mergeCell ref="D2:D3"/>
    <mergeCell ref="F2:G2"/>
    <mergeCell ref="H2:H3"/>
    <mergeCell ref="J2:K2"/>
    <mergeCell ref="N2:O2"/>
    <mergeCell ref="P2:P3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opLeftCell="P1" workbookViewId="0">
      <selection activeCell="Z2" sqref="Z2:AB14"/>
    </sheetView>
  </sheetViews>
  <sheetFormatPr defaultColWidth="9.33203125" defaultRowHeight="13.2" x14ac:dyDescent="0.25"/>
  <cols>
    <col min="1" max="1" width="14.33203125" style="131" bestFit="1" customWidth="1"/>
    <col min="2" max="2" width="5" style="131" bestFit="1" customWidth="1"/>
    <col min="3" max="3" width="11.109375" style="131" bestFit="1" customWidth="1"/>
    <col min="4" max="4" width="23.33203125" style="131" bestFit="1" customWidth="1"/>
    <col min="5" max="5" width="13.33203125" style="131" bestFit="1" customWidth="1"/>
    <col min="6" max="6" width="17.44140625" style="131" bestFit="1" customWidth="1"/>
    <col min="7" max="7" width="23.33203125" style="131" bestFit="1" customWidth="1"/>
    <col min="8" max="8" width="11.109375" style="131" bestFit="1" customWidth="1"/>
    <col min="9" max="9" width="13.109375" style="131" customWidth="1"/>
    <col min="10" max="10" width="5" style="131" bestFit="1" customWidth="1"/>
    <col min="11" max="11" width="10.109375" style="131" bestFit="1" customWidth="1"/>
    <col min="12" max="12" width="23.33203125" style="131" bestFit="1" customWidth="1"/>
    <col min="13" max="13" width="13.33203125" style="131" bestFit="1" customWidth="1"/>
    <col min="14" max="14" width="17.44140625" style="131" bestFit="1" customWidth="1"/>
    <col min="15" max="15" width="23.33203125" style="131" bestFit="1" customWidth="1"/>
    <col min="16" max="16" width="10.109375" style="131" customWidth="1"/>
    <col min="17" max="17" width="13.109375" style="131" customWidth="1"/>
    <col min="18" max="18" width="5" style="131" bestFit="1" customWidth="1"/>
    <col min="19" max="19" width="11.109375" style="131" bestFit="1" customWidth="1"/>
    <col min="20" max="20" width="23.33203125" style="131" bestFit="1" customWidth="1"/>
    <col min="21" max="21" width="13.33203125" style="131" bestFit="1" customWidth="1"/>
    <col min="22" max="22" width="17.44140625" style="131" bestFit="1" customWidth="1"/>
    <col min="23" max="23" width="23.33203125" style="131" bestFit="1" customWidth="1"/>
    <col min="24" max="24" width="11.109375" style="131" customWidth="1"/>
    <col min="25" max="25" width="11.109375" style="131" bestFit="1" customWidth="1"/>
    <col min="26" max="29" width="11.109375" style="131" customWidth="1"/>
    <col min="30" max="30" width="5" style="131" bestFit="1" customWidth="1"/>
    <col min="31" max="31" width="10.21875" style="131" bestFit="1" customWidth="1"/>
    <col min="32" max="32" width="10" style="131" bestFit="1" customWidth="1"/>
    <col min="33" max="33" width="9.33203125" style="131"/>
    <col min="34" max="34" width="5" style="131" bestFit="1" customWidth="1"/>
    <col min="35" max="35" width="9.109375" style="131" bestFit="1" customWidth="1"/>
    <col min="36" max="36" width="10" style="131" bestFit="1" customWidth="1"/>
    <col min="37" max="37" width="10.6640625" style="131" customWidth="1"/>
    <col min="38" max="38" width="5" style="131" bestFit="1" customWidth="1"/>
    <col min="39" max="39" width="9.109375" style="131" bestFit="1" customWidth="1"/>
    <col min="40" max="40" width="10" style="131" bestFit="1" customWidth="1"/>
    <col min="41" max="16384" width="9.33203125" style="131"/>
  </cols>
  <sheetData>
    <row r="1" spans="1:40" x14ac:dyDescent="0.25">
      <c r="A1" s="131" t="s">
        <v>103</v>
      </c>
    </row>
    <row r="2" spans="1:40" ht="12.75" customHeight="1" x14ac:dyDescent="0.25">
      <c r="E2" s="132" t="s">
        <v>87</v>
      </c>
      <c r="M2" s="132" t="s">
        <v>89</v>
      </c>
      <c r="U2" s="132" t="s">
        <v>90</v>
      </c>
      <c r="Z2" s="131" t="s">
        <v>196</v>
      </c>
      <c r="AE2" s="132" t="s">
        <v>97</v>
      </c>
      <c r="AI2" s="132" t="s">
        <v>101</v>
      </c>
      <c r="AM2" s="132" t="s">
        <v>6</v>
      </c>
    </row>
    <row r="3" spans="1:40" x14ac:dyDescent="0.25">
      <c r="B3" s="132" t="s">
        <v>83</v>
      </c>
      <c r="C3" s="132" t="s">
        <v>91</v>
      </c>
      <c r="D3" s="132" t="s">
        <v>166</v>
      </c>
      <c r="E3" s="132" t="s">
        <v>167</v>
      </c>
      <c r="F3" s="132" t="s">
        <v>168</v>
      </c>
      <c r="G3" s="132" t="s">
        <v>166</v>
      </c>
      <c r="H3" s="132" t="s">
        <v>104</v>
      </c>
      <c r="J3" s="132" t="s">
        <v>83</v>
      </c>
      <c r="K3" s="132" t="s">
        <v>91</v>
      </c>
      <c r="L3" s="132" t="s">
        <v>166</v>
      </c>
      <c r="M3" s="132" t="s">
        <v>167</v>
      </c>
      <c r="N3" s="132" t="s">
        <v>168</v>
      </c>
      <c r="O3" s="132" t="s">
        <v>166</v>
      </c>
      <c r="P3" s="132" t="s">
        <v>104</v>
      </c>
      <c r="R3" s="132" t="s">
        <v>83</v>
      </c>
      <c r="S3" s="132" t="s">
        <v>91</v>
      </c>
      <c r="T3" s="132" t="s">
        <v>166</v>
      </c>
      <c r="U3" s="132" t="s">
        <v>167</v>
      </c>
      <c r="V3" s="132" t="s">
        <v>168</v>
      </c>
      <c r="W3" s="132" t="s">
        <v>166</v>
      </c>
      <c r="X3" s="132" t="s">
        <v>104</v>
      </c>
      <c r="Z3" s="132" t="s">
        <v>83</v>
      </c>
      <c r="AA3" s="132" t="s">
        <v>91</v>
      </c>
      <c r="AB3" s="132" t="s">
        <v>104</v>
      </c>
      <c r="AD3" s="132" t="s">
        <v>83</v>
      </c>
      <c r="AE3" s="132" t="s">
        <v>91</v>
      </c>
      <c r="AF3" s="132" t="s">
        <v>104</v>
      </c>
      <c r="AH3" s="132" t="s">
        <v>83</v>
      </c>
      <c r="AI3" s="132" t="s">
        <v>91</v>
      </c>
      <c r="AJ3" s="132" t="s">
        <v>104</v>
      </c>
      <c r="AL3" s="132" t="s">
        <v>83</v>
      </c>
      <c r="AM3" s="132" t="s">
        <v>91</v>
      </c>
      <c r="AN3" s="132" t="s">
        <v>104</v>
      </c>
    </row>
    <row r="4" spans="1:40" x14ac:dyDescent="0.25">
      <c r="B4" s="132"/>
      <c r="C4" s="132" t="s">
        <v>108</v>
      </c>
      <c r="D4" s="132" t="s">
        <v>110</v>
      </c>
      <c r="E4" s="132" t="s">
        <v>169</v>
      </c>
      <c r="F4" s="132" t="s">
        <v>112</v>
      </c>
      <c r="G4" s="132" t="s">
        <v>170</v>
      </c>
      <c r="H4" s="132" t="s">
        <v>171</v>
      </c>
      <c r="J4" s="132"/>
      <c r="K4" s="132" t="s">
        <v>108</v>
      </c>
      <c r="L4" s="132" t="s">
        <v>110</v>
      </c>
      <c r="M4" s="132" t="s">
        <v>169</v>
      </c>
      <c r="N4" s="132" t="s">
        <v>112</v>
      </c>
      <c r="O4" s="132" t="s">
        <v>170</v>
      </c>
      <c r="P4" s="132" t="s">
        <v>171</v>
      </c>
      <c r="R4" s="132"/>
      <c r="S4" s="132" t="s">
        <v>108</v>
      </c>
      <c r="T4" s="132" t="s">
        <v>110</v>
      </c>
      <c r="U4" s="132" t="s">
        <v>169</v>
      </c>
      <c r="V4" s="132" t="s">
        <v>112</v>
      </c>
      <c r="W4" s="132" t="s">
        <v>170</v>
      </c>
      <c r="X4" s="132" t="s">
        <v>171</v>
      </c>
      <c r="AD4" s="132"/>
      <c r="AE4" s="132"/>
      <c r="AF4" s="132"/>
      <c r="AH4" s="132"/>
      <c r="AI4" s="132"/>
      <c r="AJ4" s="132"/>
      <c r="AL4" s="132"/>
      <c r="AM4" s="132"/>
      <c r="AN4" s="132"/>
    </row>
    <row r="5" spans="1:40" x14ac:dyDescent="0.25">
      <c r="B5" s="131">
        <v>2009</v>
      </c>
      <c r="C5" s="133">
        <f>SUMIF('Monthly Data'!B:B,B5,'Monthly Data'!D:D)</f>
        <v>248399886.49214149</v>
      </c>
      <c r="D5" s="133">
        <f ca="1">SUMIF('Monthly Data'!$B:$B,B5,'Monthly Data'!E:E)</f>
        <v>848858.03416797949</v>
      </c>
      <c r="E5" s="133">
        <f ca="1">SUMIF('Res Normalized Monthly'!B:B,B5,'Res Normalized Monthly'!C:C)</f>
        <v>249248744.52630949</v>
      </c>
      <c r="F5" s="133">
        <f ca="1">SUMIF('Res Normalized Monthly'!$B$2:$B$157,B5,'Res Normalized Monthly'!R$2:R$157)</f>
        <v>261706940.93618798</v>
      </c>
      <c r="G5" s="133">
        <f ca="1">D5</f>
        <v>848858.03416797949</v>
      </c>
      <c r="H5" s="133">
        <f ca="1">F5-G5</f>
        <v>260858082.90202001</v>
      </c>
      <c r="J5" s="131">
        <v>2009</v>
      </c>
      <c r="K5" s="133">
        <f>SUMIF('Monthly Data'!B:B,B5,'Monthly Data'!H:H)</f>
        <v>67411402.249553397</v>
      </c>
      <c r="L5" s="133">
        <f ca="1">SUMIF('Monthly Data'!B:B,B5,'Monthly Data'!I:I)</f>
        <v>223864.07437800596</v>
      </c>
      <c r="M5" s="133">
        <f ca="1">SUMIF('GS &lt; 50 Normalized Monthly'!$B$2:$B$145,B5,'GS &lt; 50 Normalized Monthly'!C$2:C$145)</f>
        <v>67635266.323931411</v>
      </c>
      <c r="N5" s="133">
        <f ca="1">SUMIF('GS &lt; 50 Normalized Monthly'!$B$2:$B$145,B5,'GS &lt; 50 Normalized Monthly'!T$2:T$145)</f>
        <v>68012729.007593036</v>
      </c>
      <c r="O5" s="133">
        <f ca="1">L5</f>
        <v>223864.07437800596</v>
      </c>
      <c r="P5" s="133">
        <f ca="1">N5-O5</f>
        <v>67788864.933215037</v>
      </c>
      <c r="R5" s="131">
        <v>2009</v>
      </c>
      <c r="S5" s="133">
        <f ca="1">U5-T5</f>
        <v>164879031.73586524</v>
      </c>
      <c r="T5" s="133">
        <f ca="1">SUMIF('Monthly Data'!B:B,B5,'Monthly Data'!M:M)</f>
        <v>571217.47096941445</v>
      </c>
      <c r="U5" s="133">
        <f ca="1">SUMIF('GS &gt; 50 Normalized Monthly'!$B$2:$B$157,B5,'GS &gt; 50 Normalized Monthly'!C$2:C$157)</f>
        <v>165450249.20683464</v>
      </c>
      <c r="V5" s="133">
        <f ca="1">SUMIF('GS &gt; 50 Normalized Monthly'!$B$2:$B$157,B5,'GS &gt; 50 Normalized Monthly'!Z$2:Z$157)</f>
        <v>160709212.69289413</v>
      </c>
      <c r="W5" s="133">
        <f ca="1">T5</f>
        <v>571217.47096941445</v>
      </c>
      <c r="X5" s="133">
        <f ca="1">V5-W5</f>
        <v>160137995.22192472</v>
      </c>
      <c r="Z5" s="131">
        <v>2009</v>
      </c>
      <c r="AA5" s="133">
        <f>SUMIF('Monthly Data'!B:B,Z5,'Monthly Data'!AD:AD)</f>
        <v>44707889.906451605</v>
      </c>
      <c r="AB5" s="133">
        <f>AA5</f>
        <v>44707889.906451605</v>
      </c>
      <c r="AD5" s="131">
        <v>2009</v>
      </c>
      <c r="AE5" s="133">
        <f>SUMIF('Monthly Data'!B:B,AD5,'Monthly Data'!T:T)</f>
        <v>5814687.6945161298</v>
      </c>
      <c r="AF5" s="133">
        <f>AE5</f>
        <v>5814687.6945161298</v>
      </c>
      <c r="AH5" s="131">
        <v>2009</v>
      </c>
      <c r="AI5" s="133">
        <f>SUMIF('Monthly Data'!B:B,AH5,'Monthly Data'!W:W)</f>
        <v>398170.55999999994</v>
      </c>
      <c r="AJ5" s="133">
        <f t="shared" ref="AJ5:AJ12" si="0">AI5</f>
        <v>398170.55999999994</v>
      </c>
      <c r="AL5" s="131">
        <v>2009</v>
      </c>
      <c r="AM5" s="133">
        <f>SUMIF('Monthly Data'!B:B,AL5,'Monthly Data'!Z:Z)</f>
        <v>1553160</v>
      </c>
      <c r="AN5" s="133">
        <f t="shared" ref="AN5:AN12" si="1">AM5</f>
        <v>1553160</v>
      </c>
    </row>
    <row r="6" spans="1:40" x14ac:dyDescent="0.25">
      <c r="B6" s="131">
        <v>2010</v>
      </c>
      <c r="C6" s="133">
        <f>SUMIF('Monthly Data'!B:B,B6,'Monthly Data'!D:D)</f>
        <v>265216568.13992596</v>
      </c>
      <c r="D6" s="133">
        <f ca="1">SUMIF('Monthly Data'!$B:$B,B6,'Monthly Data'!E:E)</f>
        <v>2001028.1423597566</v>
      </c>
      <c r="E6" s="133">
        <f ca="1">SUMIF('Res Normalized Monthly'!$B$2:$B$157,B6,'Res Normalized Monthly'!C$2:C$157)</f>
        <v>267217596.28228575</v>
      </c>
      <c r="F6" s="133">
        <f ca="1">SUMIF('Res Normalized Monthly'!$B$2:$B$157,B6,'Res Normalized Monthly'!R$2:R$157)</f>
        <v>259318713.75127068</v>
      </c>
      <c r="G6" s="133">
        <f t="shared" ref="G6:G12" ca="1" si="2">D6</f>
        <v>2001028.1423597566</v>
      </c>
      <c r="H6" s="133">
        <f t="shared" ref="H6:H14" ca="1" si="3">F6-G6</f>
        <v>257317685.60891092</v>
      </c>
      <c r="J6" s="131">
        <v>2010</v>
      </c>
      <c r="K6" s="133">
        <f>SUMIF('Monthly Data'!B:B,B6,'Monthly Data'!H:H)</f>
        <v>68742429.66422531</v>
      </c>
      <c r="L6" s="133">
        <f ca="1">SUMIF('Monthly Data'!B:B,B6,'Monthly Data'!I:I)</f>
        <v>721136.34298843844</v>
      </c>
      <c r="M6" s="133">
        <f ca="1">SUMIF('GS &lt; 50 Normalized Monthly'!$B$2:$B$145,B6,'GS &lt; 50 Normalized Monthly'!C$2:C$145)</f>
        <v>69463566.007213742</v>
      </c>
      <c r="N6" s="133">
        <f ca="1">SUMIF('GS &lt; 50 Normalized Monthly'!$B$2:$B$145,B6,'GS &lt; 50 Normalized Monthly'!T$2:T$145)</f>
        <v>68113112.55625613</v>
      </c>
      <c r="O6" s="133">
        <f t="shared" ref="O6:O12" ca="1" si="4">L6</f>
        <v>721136.34298843844</v>
      </c>
      <c r="P6" s="133">
        <f t="shared" ref="P6:P14" ca="1" si="5">N6-O6</f>
        <v>67391976.213267699</v>
      </c>
      <c r="R6" s="131">
        <v>2010</v>
      </c>
      <c r="S6" s="133">
        <f t="shared" ref="S6:S12" ca="1" si="6">U6-T6</f>
        <v>167052602.51730582</v>
      </c>
      <c r="T6" s="133">
        <f ca="1">SUMIF('Monthly Data'!B:B,B6,'Monthly Data'!M:M)</f>
        <v>1346541.1044117827</v>
      </c>
      <c r="U6" s="133">
        <f ca="1">SUMIF('GS &gt; 50 Normalized Monthly'!$B$2:$B$157,B6,'GS &gt; 50 Normalized Monthly'!C$2:C$157)</f>
        <v>168399143.6217176</v>
      </c>
      <c r="V6" s="133">
        <f ca="1">SUMIF('GS &gt; 50 Normalized Monthly'!$B$2:$B$157,B6,'GS &gt; 50 Normalized Monthly'!Z$2:Z$157)</f>
        <v>158990974.85020363</v>
      </c>
      <c r="W6" s="133">
        <f t="shared" ref="W6:W12" ca="1" si="7">T6</f>
        <v>1346541.1044117827</v>
      </c>
      <c r="X6" s="133">
        <f t="shared" ref="X6:X14" ca="1" si="8">V6-W6</f>
        <v>157644433.74579185</v>
      </c>
      <c r="Z6" s="131">
        <v>2010</v>
      </c>
      <c r="AA6" s="133">
        <f>SUMIF('Monthly Data'!B:B,Z6,'Monthly Data'!AD:AD)</f>
        <v>49638852.089677416</v>
      </c>
      <c r="AB6" s="133">
        <f t="shared" ref="AB6:AB12" si="9">AA6</f>
        <v>49638852.089677416</v>
      </c>
      <c r="AD6" s="131">
        <v>2010</v>
      </c>
      <c r="AE6" s="133">
        <f>SUMIF('Monthly Data'!B:B,AD6,'Monthly Data'!T:T)</f>
        <v>5780507.0722580636</v>
      </c>
      <c r="AF6" s="133">
        <f t="shared" ref="AF6:AF12" si="10">AE6</f>
        <v>5780507.0722580636</v>
      </c>
      <c r="AH6" s="131">
        <v>2010</v>
      </c>
      <c r="AI6" s="133">
        <f>SUMIF('Monthly Data'!B:B,AH6,'Monthly Data'!W:W)</f>
        <v>393141.48000000004</v>
      </c>
      <c r="AJ6" s="133">
        <f t="shared" si="0"/>
        <v>393141.48000000004</v>
      </c>
      <c r="AK6" s="134"/>
      <c r="AL6" s="131">
        <v>2010</v>
      </c>
      <c r="AM6" s="133">
        <f>SUMIF('Monthly Data'!B:B,AL6,'Monthly Data'!Z:Z)</f>
        <v>1558152</v>
      </c>
      <c r="AN6" s="133">
        <f t="shared" si="1"/>
        <v>1558152</v>
      </c>
    </row>
    <row r="7" spans="1:40" x14ac:dyDescent="0.25">
      <c r="B7" s="131">
        <v>2011</v>
      </c>
      <c r="C7" s="133">
        <f>SUMIF('Monthly Data'!B:B,B7,'Monthly Data'!D:D)</f>
        <v>258409725.96275184</v>
      </c>
      <c r="D7" s="133">
        <f ca="1">SUMIF('Monthly Data'!$B:$B,B7,'Monthly Data'!E:E)</f>
        <v>2530085.6192556922</v>
      </c>
      <c r="E7" s="133">
        <f ca="1">SUMIF('Res Normalized Monthly'!$B$2:$B$157,B7,'Res Normalized Monthly'!C$2:C$157)</f>
        <v>260939811.58200753</v>
      </c>
      <c r="F7" s="133">
        <f ca="1">SUMIF('Res Normalized Monthly'!$B$2:$B$157,B7,'Res Normalized Monthly'!R$2:R$157)</f>
        <v>256348290.96641505</v>
      </c>
      <c r="G7" s="133">
        <f t="shared" ca="1" si="2"/>
        <v>2530085.6192556922</v>
      </c>
      <c r="H7" s="133">
        <f t="shared" ca="1" si="3"/>
        <v>253818205.34715936</v>
      </c>
      <c r="J7" s="131">
        <v>2011</v>
      </c>
      <c r="K7" s="133">
        <f>SUMIF('Monthly Data'!B:B,B7,'Monthly Data'!H:H)</f>
        <v>67558142.667946845</v>
      </c>
      <c r="L7" s="133">
        <f ca="1">SUMIF('Monthly Data'!B:B,B7,'Monthly Data'!I:I)</f>
        <v>1022243.6761334607</v>
      </c>
      <c r="M7" s="133">
        <f ca="1">SUMIF('GS &lt; 50 Normalized Monthly'!$B$2:$B$145,B7,'GS &lt; 50 Normalized Monthly'!C$2:C$145)</f>
        <v>68580386.344080314</v>
      </c>
      <c r="N7" s="133">
        <f ca="1">SUMIF('GS &lt; 50 Normalized Monthly'!$B$2:$B$145,B7,'GS &lt; 50 Normalized Monthly'!T$2:T$145)</f>
        <v>68111971.834112242</v>
      </c>
      <c r="O7" s="133">
        <f t="shared" ca="1" si="4"/>
        <v>1022243.6761334607</v>
      </c>
      <c r="P7" s="133">
        <f t="shared" ca="1" si="5"/>
        <v>67089728.157978781</v>
      </c>
      <c r="R7" s="131">
        <v>2011</v>
      </c>
      <c r="S7" s="133">
        <f t="shared" ca="1" si="6"/>
        <v>165850871.69855252</v>
      </c>
      <c r="T7" s="133">
        <f ca="1">SUMIF('Monthly Data'!B:B,B7,'Monthly Data'!M:M)</f>
        <v>1938998.9002483257</v>
      </c>
      <c r="U7" s="133">
        <f ca="1">SUMIF('GS &gt; 50 Normalized Monthly'!$B$2:$B$157,B7,'GS &gt; 50 Normalized Monthly'!C$2:C$157)</f>
        <v>167789870.59880084</v>
      </c>
      <c r="V7" s="133">
        <f ca="1">SUMIF('GS &gt; 50 Normalized Monthly'!$B$2:$B$157,B7,'GS &gt; 50 Normalized Monthly'!Z$2:Z$157)</f>
        <v>165598375.52628261</v>
      </c>
      <c r="W7" s="133">
        <f t="shared" ca="1" si="7"/>
        <v>1938998.9002483257</v>
      </c>
      <c r="X7" s="133">
        <f t="shared" ca="1" si="8"/>
        <v>163659376.62603429</v>
      </c>
      <c r="Z7" s="131">
        <v>2011</v>
      </c>
      <c r="AA7" s="133">
        <f>SUMIF('Monthly Data'!B:B,Z7,'Monthly Data'!AD:AD)</f>
        <v>42820520.820967749</v>
      </c>
      <c r="AB7" s="133">
        <f t="shared" si="9"/>
        <v>42820520.820967749</v>
      </c>
      <c r="AD7" s="131">
        <v>2011</v>
      </c>
      <c r="AE7" s="133">
        <f>SUMIF('Monthly Data'!B:B,AD7,'Monthly Data'!T:T)</f>
        <v>5969304.1625806447</v>
      </c>
      <c r="AF7" s="133">
        <f t="shared" si="10"/>
        <v>5969304.1625806447</v>
      </c>
      <c r="AH7" s="131">
        <v>2011</v>
      </c>
      <c r="AI7" s="133">
        <f>SUMIF('Monthly Data'!B:B,AH7,'Monthly Data'!W:W)</f>
        <v>382813.79999999993</v>
      </c>
      <c r="AJ7" s="133">
        <f t="shared" si="0"/>
        <v>382813.79999999993</v>
      </c>
      <c r="AK7" s="134"/>
      <c r="AL7" s="131">
        <v>2011</v>
      </c>
      <c r="AM7" s="133">
        <f>SUMIF('Monthly Data'!B:B,AL7,'Monthly Data'!Z:Z)</f>
        <v>1558152</v>
      </c>
      <c r="AN7" s="133">
        <f t="shared" si="1"/>
        <v>1558152</v>
      </c>
    </row>
    <row r="8" spans="1:40" x14ac:dyDescent="0.25">
      <c r="B8" s="131">
        <v>2012</v>
      </c>
      <c r="C8" s="133">
        <f>SUMIF('Monthly Data'!B:B,B8,'Monthly Data'!D:D)</f>
        <v>256003979.435274</v>
      </c>
      <c r="D8" s="133">
        <f ca="1">SUMIF('Monthly Data'!$B:$B,B8,'Monthly Data'!E:E)</f>
        <v>3245784.5770066655</v>
      </c>
      <c r="E8" s="133">
        <f ca="1">SUMIF('Res Normalized Monthly'!$B$2:$B$157,B8,'Res Normalized Monthly'!C$2:C$157)</f>
        <v>259249764.01228067</v>
      </c>
      <c r="F8" s="133">
        <f ca="1">SUMIF('Res Normalized Monthly'!$B$2:$B$157,B8,'Res Normalized Monthly'!R$2:R$157)</f>
        <v>258425321.88826746</v>
      </c>
      <c r="G8" s="133">
        <f t="shared" ca="1" si="2"/>
        <v>3245784.5770066655</v>
      </c>
      <c r="H8" s="133">
        <f t="shared" ca="1" si="3"/>
        <v>255179537.31126079</v>
      </c>
      <c r="J8" s="131">
        <v>2012</v>
      </c>
      <c r="K8" s="133">
        <f>SUMIF('Monthly Data'!B:B,B8,'Monthly Data'!H:H)</f>
        <v>67056277.620808907</v>
      </c>
      <c r="L8" s="133">
        <f ca="1">SUMIF('Monthly Data'!B:B,B8,'Monthly Data'!I:I)</f>
        <v>1445239.6573888592</v>
      </c>
      <c r="M8" s="133">
        <f ca="1">SUMIF('GS &lt; 50 Normalized Monthly'!$B$2:$B$145,B8,'GS &lt; 50 Normalized Monthly'!C$2:C$145)</f>
        <v>68501517.278197765</v>
      </c>
      <c r="N8" s="133">
        <f ca="1">SUMIF('GS &lt; 50 Normalized Monthly'!$B$2:$B$145,B8,'GS &lt; 50 Normalized Monthly'!T$2:T$145)</f>
        <v>68996131.928118736</v>
      </c>
      <c r="O8" s="133">
        <f t="shared" ca="1" si="4"/>
        <v>1445239.6573888592</v>
      </c>
      <c r="P8" s="133">
        <f t="shared" ca="1" si="5"/>
        <v>67550892.27072987</v>
      </c>
      <c r="R8" s="131">
        <v>2012</v>
      </c>
      <c r="S8" s="133">
        <f t="shared" ca="1" si="6"/>
        <v>160883811.68478131</v>
      </c>
      <c r="T8" s="133">
        <f ca="1">SUMIF('Monthly Data'!B:B,B8,'Monthly Data'!M:M)</f>
        <v>3020310.8509711083</v>
      </c>
      <c r="U8" s="133">
        <f ca="1">SUMIF('GS &gt; 50 Normalized Monthly'!$B$2:$B$157,B8,'GS &gt; 50 Normalized Monthly'!C$2:C$157)</f>
        <v>163904122.53575242</v>
      </c>
      <c r="V8" s="133">
        <f ca="1">SUMIF('GS &gt; 50 Normalized Monthly'!$B$2:$B$157,B8,'GS &gt; 50 Normalized Monthly'!Z$2:Z$157)</f>
        <v>164384757.19867516</v>
      </c>
      <c r="W8" s="133">
        <f t="shared" ca="1" si="7"/>
        <v>3020310.8509711083</v>
      </c>
      <c r="X8" s="133">
        <f t="shared" ca="1" si="8"/>
        <v>161364446.34770405</v>
      </c>
      <c r="Z8" s="131">
        <v>2012</v>
      </c>
      <c r="AA8" s="133">
        <f>SUMIF('Monthly Data'!B:B,Z8,'Monthly Data'!AD:AD)</f>
        <v>35429534.452903233</v>
      </c>
      <c r="AB8" s="133">
        <f t="shared" si="9"/>
        <v>35429534.452903233</v>
      </c>
      <c r="AD8" s="131">
        <v>2012</v>
      </c>
      <c r="AE8" s="133">
        <f>SUMIF('Monthly Data'!B:B,AD8,'Monthly Data'!T:T)</f>
        <v>6205705.2712903218</v>
      </c>
      <c r="AF8" s="133">
        <f t="shared" si="10"/>
        <v>6205705.2712903218</v>
      </c>
      <c r="AH8" s="131">
        <v>2012</v>
      </c>
      <c r="AI8" s="133">
        <f>SUMIF('Monthly Data'!B:B,AH8,'Monthly Data'!W:W)</f>
        <v>383993.93000000005</v>
      </c>
      <c r="AJ8" s="133">
        <f t="shared" si="0"/>
        <v>383993.93000000005</v>
      </c>
      <c r="AK8" s="134"/>
      <c r="AL8" s="131">
        <v>2012</v>
      </c>
      <c r="AM8" s="133">
        <f>SUMIF('Monthly Data'!B:B,AL8,'Monthly Data'!Z:Z)</f>
        <v>1558152</v>
      </c>
      <c r="AN8" s="133">
        <f t="shared" si="1"/>
        <v>1558152</v>
      </c>
    </row>
    <row r="9" spans="1:40" x14ac:dyDescent="0.25">
      <c r="B9" s="131">
        <v>2013</v>
      </c>
      <c r="C9" s="133">
        <f>SUMIF('Monthly Data'!B:B,B9,'Monthly Data'!D:D)</f>
        <v>250406104.76660007</v>
      </c>
      <c r="D9" s="133">
        <f ca="1">SUMIF('Monthly Data'!$B:$B,B9,'Monthly Data'!E:E)</f>
        <v>3886093.3549973648</v>
      </c>
      <c r="E9" s="133">
        <f ca="1">SUMIF('Res Normalized Monthly'!$B$2:$B$157,B9,'Res Normalized Monthly'!C$2:C$157)</f>
        <v>254292198.12159741</v>
      </c>
      <c r="F9" s="133">
        <f ca="1">SUMIF('Res Normalized Monthly'!$B$2:$B$157,B9,'Res Normalized Monthly'!R$2:R$157)</f>
        <v>255706079.50850174</v>
      </c>
      <c r="G9" s="133">
        <f t="shared" ca="1" si="2"/>
        <v>3886093.3549973648</v>
      </c>
      <c r="H9" s="133">
        <f t="shared" ca="1" si="3"/>
        <v>251819986.15350437</v>
      </c>
      <c r="J9" s="131">
        <v>2013</v>
      </c>
      <c r="K9" s="133">
        <f>SUMIF('Monthly Data'!B:B,B9,'Monthly Data'!H:H)</f>
        <v>65663989.680238001</v>
      </c>
      <c r="L9" s="133">
        <f ca="1">SUMIF('Monthly Data'!B:B,B9,'Monthly Data'!I:I)</f>
        <v>1901581.5328935359</v>
      </c>
      <c r="M9" s="133">
        <f ca="1">SUMIF('GS &lt; 50 Normalized Monthly'!$B$2:$B$145,B9,'GS &lt; 50 Normalized Monthly'!C$2:C$145)</f>
        <v>67565571.213131547</v>
      </c>
      <c r="N9" s="133">
        <f ca="1">SUMIF('GS &lt; 50 Normalized Monthly'!$B$2:$B$145,B9,'GS &lt; 50 Normalized Monthly'!T$2:T$145)</f>
        <v>69033675.326382577</v>
      </c>
      <c r="O9" s="133">
        <f t="shared" ca="1" si="4"/>
        <v>1901581.5328935359</v>
      </c>
      <c r="P9" s="133">
        <f t="shared" ca="1" si="5"/>
        <v>67132093.793489039</v>
      </c>
      <c r="R9" s="131">
        <v>2013</v>
      </c>
      <c r="S9" s="133">
        <f t="shared" ca="1" si="6"/>
        <v>164887609.10912561</v>
      </c>
      <c r="T9" s="133">
        <f ca="1">SUMIF('Monthly Data'!B:B,B9,'Monthly Data'!M:M)</f>
        <v>4184874.0773844956</v>
      </c>
      <c r="U9" s="133">
        <f ca="1">SUMIF('GS &gt; 50 Normalized Monthly'!$B$2:$B$157,B9,'GS &gt; 50 Normalized Monthly'!C$2:C$157)</f>
        <v>169072483.18651012</v>
      </c>
      <c r="V9" s="133">
        <f ca="1">SUMIF('GS &gt; 50 Normalized Monthly'!$B$2:$B$157,B9,'GS &gt; 50 Normalized Monthly'!Z$2:Z$157)</f>
        <v>167509941.10098344</v>
      </c>
      <c r="W9" s="133">
        <f t="shared" ca="1" si="7"/>
        <v>4184874.0773844956</v>
      </c>
      <c r="X9" s="133">
        <f t="shared" ca="1" si="8"/>
        <v>163325067.02359894</v>
      </c>
      <c r="Z9" s="131">
        <v>2013</v>
      </c>
      <c r="AA9" s="133">
        <f>SUMIF('Monthly Data'!B:B,Z9,'Monthly Data'!AD:AD)</f>
        <v>36931636.277741931</v>
      </c>
      <c r="AB9" s="133">
        <f t="shared" si="9"/>
        <v>36931636.277741931</v>
      </c>
      <c r="AD9" s="131">
        <v>2013</v>
      </c>
      <c r="AE9" s="133">
        <f>SUMIF('Monthly Data'!B:B,AD9,'Monthly Data'!T:T)</f>
        <v>6271491.3612118578</v>
      </c>
      <c r="AF9" s="133">
        <f t="shared" si="10"/>
        <v>6271491.3612118578</v>
      </c>
      <c r="AH9" s="131">
        <v>2013</v>
      </c>
      <c r="AI9" s="133">
        <f>SUMIF('Monthly Data'!B:B,AH9,'Monthly Data'!W:W)</f>
        <v>342834.13</v>
      </c>
      <c r="AJ9" s="133">
        <f t="shared" si="0"/>
        <v>342834.13</v>
      </c>
      <c r="AK9" s="134"/>
      <c r="AL9" s="131">
        <v>2013</v>
      </c>
      <c r="AM9" s="133">
        <f>SUMIF('Monthly Data'!B:B,AL9,'Monthly Data'!Z:Z)</f>
        <v>1549960</v>
      </c>
      <c r="AN9" s="133">
        <f t="shared" si="1"/>
        <v>1549960</v>
      </c>
    </row>
    <row r="10" spans="1:40" x14ac:dyDescent="0.25">
      <c r="B10" s="131">
        <v>2014</v>
      </c>
      <c r="C10" s="133">
        <f>SUMIF('Monthly Data'!B:B,B10,'Monthly Data'!D:D)</f>
        <v>245551952.96402693</v>
      </c>
      <c r="D10" s="133">
        <f ca="1">SUMIF('Monthly Data'!$B:$B,B10,'Monthly Data'!E:E)</f>
        <v>4916295.1868177652</v>
      </c>
      <c r="E10" s="133">
        <f ca="1">SUMIF('Res Normalized Monthly'!$B$2:$B$157,B10,'Res Normalized Monthly'!C$2:C$157)</f>
        <v>250468248.15084472</v>
      </c>
      <c r="F10" s="133">
        <f ca="1">SUMIF('Res Normalized Monthly'!$B$2:$B$157,B10,'Res Normalized Monthly'!R$2:R$157)</f>
        <v>253278603.18201557</v>
      </c>
      <c r="G10" s="133">
        <f t="shared" ca="1" si="2"/>
        <v>4916295.1868177652</v>
      </c>
      <c r="H10" s="133">
        <f t="shared" ca="1" si="3"/>
        <v>248362307.9951978</v>
      </c>
      <c r="J10" s="131">
        <v>2014</v>
      </c>
      <c r="K10" s="133">
        <f>SUMIF('Monthly Data'!B:B,B10,'Monthly Data'!H:H)</f>
        <v>65242010.853368044</v>
      </c>
      <c r="L10" s="133">
        <f ca="1">SUMIF('Monthly Data'!B:B,B10,'Monthly Data'!I:I)</f>
        <v>2343744.833660088</v>
      </c>
      <c r="M10" s="133">
        <f ca="1">SUMIF('GS &lt; 50 Normalized Monthly'!$B$2:$B$145,B10,'GS &lt; 50 Normalized Monthly'!C$2:C$145)</f>
        <v>67585755.68702814</v>
      </c>
      <c r="N10" s="133">
        <f ca="1">SUMIF('GS &lt; 50 Normalized Monthly'!$B$2:$B$145,B10,'GS &lt; 50 Normalized Monthly'!T$2:T$145)</f>
        <v>69127214.542182297</v>
      </c>
      <c r="O10" s="133">
        <f t="shared" ca="1" si="4"/>
        <v>2343744.833660088</v>
      </c>
      <c r="P10" s="133">
        <f t="shared" ca="1" si="5"/>
        <v>66783469.708522208</v>
      </c>
      <c r="R10" s="131">
        <v>2014</v>
      </c>
      <c r="S10" s="133">
        <f t="shared" ca="1" si="6"/>
        <v>166100613.01807362</v>
      </c>
      <c r="T10" s="133">
        <f ca="1">SUMIF('Monthly Data'!B:B,B10,'Monthly Data'!M:M)</f>
        <v>5322896.424609079</v>
      </c>
      <c r="U10" s="133">
        <f ca="1">SUMIF('GS &gt; 50 Normalized Monthly'!$B$2:$B$157,B10,'GS &gt; 50 Normalized Monthly'!C$2:C$157)</f>
        <v>171423509.44268268</v>
      </c>
      <c r="V10" s="133">
        <f ca="1">SUMIF('GS &gt; 50 Normalized Monthly'!$B$2:$B$157,B10,'GS &gt; 50 Normalized Monthly'!Z$2:Z$157)</f>
        <v>172076347.43292207</v>
      </c>
      <c r="W10" s="133">
        <f t="shared" ca="1" si="7"/>
        <v>5322896.424609079</v>
      </c>
      <c r="X10" s="133">
        <f t="shared" ca="1" si="8"/>
        <v>166753451.008313</v>
      </c>
      <c r="Z10" s="131">
        <v>2014</v>
      </c>
      <c r="AA10" s="133">
        <f>SUMIF('Monthly Data'!B:B,Z10,'Monthly Data'!AD:AD)</f>
        <v>38058828.017419361</v>
      </c>
      <c r="AB10" s="133">
        <f t="shared" si="9"/>
        <v>38058828.017419361</v>
      </c>
      <c r="AD10" s="131">
        <v>2014</v>
      </c>
      <c r="AE10" s="133">
        <f>SUMIF('Monthly Data'!B:B,AD10,'Monthly Data'!T:T)</f>
        <v>6286757.8567741932</v>
      </c>
      <c r="AF10" s="133">
        <f t="shared" si="10"/>
        <v>6286757.8567741932</v>
      </c>
      <c r="AH10" s="131">
        <v>2014</v>
      </c>
      <c r="AI10" s="133">
        <f>SUMIF('Monthly Data'!B:B,AH10,'Monthly Data'!W:W)</f>
        <v>350517.73</v>
      </c>
      <c r="AJ10" s="133">
        <f t="shared" si="0"/>
        <v>350517.73</v>
      </c>
      <c r="AK10" s="134"/>
      <c r="AL10" s="131">
        <v>2014</v>
      </c>
      <c r="AM10" s="133">
        <f>SUMIF('Monthly Data'!B:B,AL10,'Monthly Data'!Z:Z)</f>
        <v>1555546</v>
      </c>
      <c r="AN10" s="133">
        <f t="shared" si="1"/>
        <v>1555546</v>
      </c>
    </row>
    <row r="11" spans="1:40" s="135" customFormat="1" x14ac:dyDescent="0.25">
      <c r="B11" s="131">
        <v>2015</v>
      </c>
      <c r="C11" s="133">
        <f>SUMIF('Monthly Data'!B:B,B11,'Monthly Data'!D:D)</f>
        <v>244757239.4788945</v>
      </c>
      <c r="D11" s="133">
        <f ca="1">SUMIF('Monthly Data'!$B:$B,B11,'Monthly Data'!E:E)</f>
        <v>6015187.1722106775</v>
      </c>
      <c r="E11" s="133">
        <f ca="1">SUMIF('Res Normalized Monthly'!$B$2:$B$157,B11,'Res Normalized Monthly'!C$2:C$157)</f>
        <v>250772426.6511052</v>
      </c>
      <c r="F11" s="133">
        <f ca="1">SUMIF('Res Normalized Monthly'!$B$2:$B$157,B11,'Res Normalized Monthly'!R$2:R$157)</f>
        <v>252990205.07103294</v>
      </c>
      <c r="G11" s="133">
        <f t="shared" ca="1" si="2"/>
        <v>6015187.1722106775</v>
      </c>
      <c r="H11" s="133">
        <f t="shared" ca="1" si="3"/>
        <v>246975017.89882228</v>
      </c>
      <c r="J11" s="131">
        <v>2015</v>
      </c>
      <c r="K11" s="133">
        <f>SUMIF('Monthly Data'!B:B,B11,'Monthly Data'!H:H)</f>
        <v>65329579.275105581</v>
      </c>
      <c r="L11" s="133">
        <f ca="1">SUMIF('Monthly Data'!B:B,B11,'Monthly Data'!I:I)</f>
        <v>4210292.7349330354</v>
      </c>
      <c r="M11" s="133">
        <f ca="1">SUMIF('GS &lt; 50 Normalized Monthly'!$B$2:$B$145,B11,'GS &lt; 50 Normalized Monthly'!C$2:C$145)</f>
        <v>69539872.010038614</v>
      </c>
      <c r="N11" s="133">
        <f ca="1">SUMIF('GS &lt; 50 Normalized Monthly'!$B$2:$B$145,B11,'GS &lt; 50 Normalized Monthly'!T$2:T$145)</f>
        <v>69593769.899036944</v>
      </c>
      <c r="O11" s="133">
        <f t="shared" ca="1" si="4"/>
        <v>4210292.7349330354</v>
      </c>
      <c r="P11" s="133">
        <f t="shared" ca="1" si="5"/>
        <v>65383477.16410391</v>
      </c>
      <c r="R11" s="131">
        <v>2015</v>
      </c>
      <c r="S11" s="133">
        <f t="shared" ca="1" si="6"/>
        <v>171874065.5064584</v>
      </c>
      <c r="T11" s="133">
        <f ca="1">SUMIF('Monthly Data'!B:B,B11,'Monthly Data'!M:M)</f>
        <v>10144443.156844519</v>
      </c>
      <c r="U11" s="133">
        <f ca="1">SUMIF('GS &gt; 50 Normalized Monthly'!$B$2:$B$157,B11,'GS &gt; 50 Normalized Monthly'!C$2:C$157)</f>
        <v>182018508.66330293</v>
      </c>
      <c r="V11" s="133">
        <f ca="1">SUMIF('GS &gt; 50 Normalized Monthly'!$B$2:$B$157,B11,'GS &gt; 50 Normalized Monthly'!Z$2:Z$157)</f>
        <v>177660533.09072518</v>
      </c>
      <c r="W11" s="133">
        <f t="shared" ca="1" si="7"/>
        <v>10144443.156844519</v>
      </c>
      <c r="X11" s="133">
        <f t="shared" ca="1" si="8"/>
        <v>167516089.93388066</v>
      </c>
      <c r="Y11" s="131"/>
      <c r="Z11" s="131">
        <v>2015</v>
      </c>
      <c r="AA11" s="133">
        <f>SUMIF('Monthly Data'!B:B,Z11,'Monthly Data'!AD:AD)</f>
        <v>38655620.090000004</v>
      </c>
      <c r="AB11" s="133">
        <f t="shared" si="9"/>
        <v>38655620.090000004</v>
      </c>
      <c r="AC11" s="131"/>
      <c r="AD11" s="131">
        <v>2015</v>
      </c>
      <c r="AE11" s="133">
        <f>SUMIF('Monthly Data'!B:B,AD11,'Monthly Data'!T:T)</f>
        <v>6227062.8251612904</v>
      </c>
      <c r="AF11" s="133">
        <f t="shared" si="10"/>
        <v>6227062.8251612904</v>
      </c>
      <c r="AG11" s="131"/>
      <c r="AH11" s="131">
        <v>2015</v>
      </c>
      <c r="AI11" s="133">
        <f>SUMIF('Monthly Data'!B:B,AH11,'Monthly Data'!W:W)</f>
        <v>341135.62</v>
      </c>
      <c r="AJ11" s="133">
        <f t="shared" si="0"/>
        <v>341135.62</v>
      </c>
      <c r="AK11" s="134"/>
      <c r="AL11" s="131">
        <v>2015</v>
      </c>
      <c r="AM11" s="133">
        <f>SUMIF('Monthly Data'!B:B,AL11,'Monthly Data'!Z:Z)</f>
        <v>1558152</v>
      </c>
      <c r="AN11" s="133">
        <f t="shared" si="1"/>
        <v>1558152</v>
      </c>
    </row>
    <row r="12" spans="1:40" x14ac:dyDescent="0.25">
      <c r="B12" s="131">
        <v>2016</v>
      </c>
      <c r="C12" s="133">
        <f>SUMIF('Monthly Data'!B:B,B12,'Monthly Data'!D:D)</f>
        <v>255390421.5791553</v>
      </c>
      <c r="D12" s="133">
        <f ca="1">SUMIF('Monthly Data'!$B:$B,B12,'Monthly Data'!E:E)</f>
        <v>5840197.281042316</v>
      </c>
      <c r="E12" s="133">
        <f ca="1">SUMIF('Res Normalized Monthly'!$B$2:$B$157,B12,'Res Normalized Monthly'!C$2:C$157)</f>
        <v>261230618.86019763</v>
      </c>
      <c r="F12" s="133">
        <f ca="1">SUMIF('Res Normalized Monthly'!$B$2:$B$157,B12,'Res Normalized Monthly'!R$2:R$157)</f>
        <v>255008362.280532</v>
      </c>
      <c r="G12" s="133">
        <f t="shared" ca="1" si="2"/>
        <v>5840197.281042316</v>
      </c>
      <c r="H12" s="133">
        <f t="shared" ca="1" si="3"/>
        <v>249168164.99948969</v>
      </c>
      <c r="J12" s="131">
        <v>2016</v>
      </c>
      <c r="K12" s="133">
        <f>SUMIF('Monthly Data'!B:B,B12,'Monthly Data'!H:H)</f>
        <v>66808992.616394639</v>
      </c>
      <c r="L12" s="133">
        <f ca="1">SUMIF('Monthly Data'!B:B,B12,'Monthly Data'!I:I)</f>
        <v>5791744.3315153448</v>
      </c>
      <c r="M12" s="133">
        <f ca="1">SUMIF('GS &lt; 50 Normalized Monthly'!$B$2:$B$145,B12,'GS &lt; 50 Normalized Monthly'!C$2:C$145)</f>
        <v>72600736.947909981</v>
      </c>
      <c r="N12" s="133">
        <f ca="1">SUMIF('GS &lt; 50 Normalized Monthly'!$B$2:$B$145,B12,'GS &lt; 50 Normalized Monthly'!T$2:T$145)</f>
        <v>70467663.493748352</v>
      </c>
      <c r="O12" s="133">
        <f t="shared" ca="1" si="4"/>
        <v>5791744.3315153448</v>
      </c>
      <c r="P12" s="133">
        <f t="shared" ca="1" si="5"/>
        <v>64675919.16223301</v>
      </c>
      <c r="R12" s="131">
        <v>2016</v>
      </c>
      <c r="S12" s="133">
        <f t="shared" ca="1" si="6"/>
        <v>187031605.7052716</v>
      </c>
      <c r="T12" s="133">
        <f ca="1">SUMIF('Monthly Data'!B:B,B12,'Monthly Data'!M:M)</f>
        <v>14187063.713349199</v>
      </c>
      <c r="U12" s="133">
        <f ca="1">SUMIF('GS &gt; 50 Normalized Monthly'!$B$2:$B$157,B12,'GS &gt; 50 Normalized Monthly'!C$2:C$157)</f>
        <v>201218669.4186208</v>
      </c>
      <c r="V12" s="133">
        <f ca="1">SUMIF('GS &gt; 50 Normalized Monthly'!$B$2:$B$157,B12,'GS &gt; 50 Normalized Monthly'!Z$2:Z$157)</f>
        <v>189497464.17904606</v>
      </c>
      <c r="W12" s="133">
        <f t="shared" ca="1" si="7"/>
        <v>14187063.713349199</v>
      </c>
      <c r="X12" s="133">
        <f t="shared" ca="1" si="8"/>
        <v>175310400.46569687</v>
      </c>
      <c r="Z12" s="131">
        <v>2016</v>
      </c>
      <c r="AA12" s="133">
        <f>SUMIF('Monthly Data'!B:B,Z12,'Monthly Data'!AD:AD)</f>
        <v>32586842.712580636</v>
      </c>
      <c r="AB12" s="133">
        <f t="shared" si="9"/>
        <v>32586842.712580636</v>
      </c>
      <c r="AD12" s="131">
        <v>2016</v>
      </c>
      <c r="AE12" s="133">
        <f>SUMIF('Monthly Data'!B:B,AD12,'Monthly Data'!T:T)</f>
        <v>4268687.7145161303</v>
      </c>
      <c r="AF12" s="133">
        <f t="shared" si="10"/>
        <v>4268687.7145161303</v>
      </c>
      <c r="AH12" s="131">
        <v>2016</v>
      </c>
      <c r="AI12" s="133">
        <f>SUMIF('Monthly Data'!B:B,AH12,'Monthly Data'!W:W)</f>
        <v>335758.11000000004</v>
      </c>
      <c r="AJ12" s="133">
        <f t="shared" si="0"/>
        <v>335758.11000000004</v>
      </c>
      <c r="AL12" s="131">
        <v>2016</v>
      </c>
      <c r="AM12" s="133">
        <f>SUMIF('Monthly Data'!B:B,AL12,'Monthly Data'!Z:Z)</f>
        <v>1554368</v>
      </c>
      <c r="AN12" s="133">
        <f t="shared" si="1"/>
        <v>1554368</v>
      </c>
    </row>
    <row r="13" spans="1:40" s="135" customFormat="1" x14ac:dyDescent="0.25">
      <c r="B13" s="135">
        <v>2017</v>
      </c>
      <c r="E13" s="136"/>
      <c r="F13" s="136">
        <f ca="1">SUMIF('Res Normalized Monthly'!$B$2:$B$157,B13,'Res Normalized Monthly'!R$2:R$157)</f>
        <v>252951789.32396793</v>
      </c>
      <c r="G13" s="136">
        <f>SUM('Historic CDM'!K56:K62)+'Historic CDM'!K63/2</f>
        <v>5251445.3143602069</v>
      </c>
      <c r="H13" s="136">
        <f t="shared" ca="1" si="3"/>
        <v>247700344.00960773</v>
      </c>
      <c r="J13" s="135">
        <v>2017</v>
      </c>
      <c r="M13" s="136"/>
      <c r="N13" s="136">
        <f ca="1">SUMIF('GS &lt; 50 Normalized Monthly'!$B$2:$B$145,B13,'GS &lt; 50 Normalized Monthly'!T$2:T$145)</f>
        <v>70620764.326633438</v>
      </c>
      <c r="O13" s="136">
        <f>SUM('Historic CDM'!K68:K74)+'Historic CDM'!K75/2</f>
        <v>5532872.2376976339</v>
      </c>
      <c r="P13" s="136">
        <f t="shared" ca="1" si="5"/>
        <v>65087892.088935807</v>
      </c>
      <c r="R13" s="135">
        <v>2017</v>
      </c>
      <c r="U13" s="136"/>
      <c r="V13" s="136">
        <f ca="1">SUMIF('GS &gt; 50 Normalized Monthly'!$B$2:$B$157,B13,'GS &gt; 50 Normalized Monthly'!Z$2:Z$157)</f>
        <v>193414587.46582717</v>
      </c>
      <c r="W13" s="136">
        <f>SUM('Historic CDM'!K80:K86)+'Historic CDM'!K87/2</f>
        <v>13584629.731220806</v>
      </c>
      <c r="X13" s="136">
        <f t="shared" ca="1" si="8"/>
        <v>179829957.73460636</v>
      </c>
      <c r="Z13" s="135">
        <v>2017</v>
      </c>
      <c r="AB13" s="136">
        <f>TREND(AB5:AB12,Z5:Z12,Z13)</f>
        <v>31681583.38839817</v>
      </c>
      <c r="AD13" s="135">
        <v>2017</v>
      </c>
      <c r="AE13" s="136"/>
      <c r="AF13" s="136">
        <f>'kW Forecast'!M17</f>
        <v>2799881.59816253</v>
      </c>
      <c r="AH13" s="135">
        <v>2017</v>
      </c>
      <c r="AI13" s="136"/>
      <c r="AJ13" s="136">
        <f>AJ12</f>
        <v>335758.11000000004</v>
      </c>
      <c r="AL13" s="135">
        <v>2017</v>
      </c>
      <c r="AM13" s="136"/>
      <c r="AN13" s="136">
        <f>AN12</f>
        <v>1554368</v>
      </c>
    </row>
    <row r="14" spans="1:40" s="135" customFormat="1" x14ac:dyDescent="0.25">
      <c r="B14" s="135">
        <v>2018</v>
      </c>
      <c r="F14" s="136">
        <f ca="1">SUMIF('Res Normalized Monthly'!$B$2:$B$157,B14,'Res Normalized Monthly'!R$2:R$157)</f>
        <v>251127941.19626471</v>
      </c>
      <c r="G14" s="136">
        <f>SUM('Historic CDM'!L56:L62)+'Historic CDM'!L63/2</f>
        <v>4583935.5221338058</v>
      </c>
      <c r="H14" s="136">
        <f t="shared" ca="1" si="3"/>
        <v>246544005.67413092</v>
      </c>
      <c r="J14" s="135">
        <v>2018</v>
      </c>
      <c r="N14" s="136">
        <f ca="1">SUMIF('GS &lt; 50 Normalized Monthly'!$B$2:$B$145,B14,'GS &lt; 50 Normalized Monthly'!T$2:T$145)</f>
        <v>70819565.266717017</v>
      </c>
      <c r="O14" s="136">
        <f>SUM('Historic CDM'!L68:L74)+'Historic CDM'!L75/2</f>
        <v>5331916.1226595221</v>
      </c>
      <c r="P14" s="136">
        <f t="shared" ca="1" si="5"/>
        <v>65487649.144057497</v>
      </c>
      <c r="R14" s="135">
        <v>2018</v>
      </c>
      <c r="V14" s="136">
        <f ca="1">SUMIF('GS &gt; 50 Normalized Monthly'!$B$2:$B$157,B14,'GS &gt; 50 Normalized Monthly'!Z$2:Z$157)</f>
        <v>196568931.25181803</v>
      </c>
      <c r="W14" s="136">
        <f>SUM('Historic CDM'!L80:L86)+'Historic CDM'!L87/2</f>
        <v>13194596.236908842</v>
      </c>
      <c r="X14" s="136">
        <f t="shared" ca="1" si="8"/>
        <v>183374335.01490918</v>
      </c>
      <c r="Z14" s="135">
        <v>2018</v>
      </c>
      <c r="AB14" s="136">
        <f>TREND(AB5:AB12,Z5:Z12,Z14)</f>
        <v>29865554.020049572</v>
      </c>
      <c r="AD14" s="135">
        <v>2018</v>
      </c>
      <c r="AF14" s="136">
        <f>'kW Forecast'!M18</f>
        <v>2799881.59816253</v>
      </c>
      <c r="AH14" s="135">
        <v>2018</v>
      </c>
      <c r="AJ14" s="136">
        <f>AJ13</f>
        <v>335758.11000000004</v>
      </c>
      <c r="AL14" s="135">
        <v>2018</v>
      </c>
      <c r="AN14" s="136">
        <f>AN13</f>
        <v>1554368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8"/>
  <sheetViews>
    <sheetView tabSelected="1" workbookViewId="0">
      <selection activeCell="G2" sqref="G2:J18"/>
    </sheetView>
  </sheetViews>
  <sheetFormatPr defaultColWidth="9.33203125" defaultRowHeight="13.2" x14ac:dyDescent="0.25"/>
  <cols>
    <col min="1" max="2" width="9.33203125" style="30"/>
    <col min="3" max="3" width="13" style="30" customWidth="1"/>
    <col min="4" max="4" width="9.33203125" style="30"/>
    <col min="5" max="5" width="13.109375" style="30" customWidth="1"/>
    <col min="6" max="7" width="9.33203125" style="30"/>
    <col min="8" max="8" width="14.44140625" style="30" bestFit="1" customWidth="1"/>
    <col min="9" max="9" width="12.33203125" style="30" bestFit="1" customWidth="1"/>
    <col min="10" max="12" width="9.33203125" style="30"/>
    <col min="13" max="13" width="14.44140625" style="30" bestFit="1" customWidth="1"/>
    <col min="14" max="16384" width="9.33203125" style="30"/>
  </cols>
  <sheetData>
    <row r="2" spans="2:20" s="41" customFormat="1" ht="12.75" customHeight="1" x14ac:dyDescent="0.25">
      <c r="B2" s="126" t="s">
        <v>4</v>
      </c>
      <c r="C2" s="126"/>
      <c r="D2" s="126"/>
      <c r="E2" s="126"/>
      <c r="G2" s="126" t="s">
        <v>196</v>
      </c>
      <c r="H2" s="126"/>
      <c r="I2" s="126"/>
      <c r="J2" s="126"/>
      <c r="L2" s="126" t="s">
        <v>97</v>
      </c>
      <c r="M2" s="126"/>
      <c r="N2" s="126"/>
      <c r="O2" s="126"/>
      <c r="Q2" s="126" t="s">
        <v>101</v>
      </c>
      <c r="R2" s="126"/>
      <c r="S2" s="126"/>
      <c r="T2" s="126"/>
    </row>
    <row r="3" spans="2:20" s="42" customFormat="1" x14ac:dyDescent="0.25">
      <c r="B3" s="42" t="s">
        <v>83</v>
      </c>
      <c r="C3" s="42" t="s">
        <v>105</v>
      </c>
      <c r="D3" s="42" t="s">
        <v>106</v>
      </c>
      <c r="E3" s="40" t="s">
        <v>107</v>
      </c>
      <c r="G3" s="112" t="s">
        <v>83</v>
      </c>
      <c r="H3" s="112" t="s">
        <v>105</v>
      </c>
      <c r="I3" s="112" t="s">
        <v>106</v>
      </c>
      <c r="J3" s="111" t="s">
        <v>107</v>
      </c>
      <c r="K3" s="112"/>
      <c r="L3" s="42" t="s">
        <v>83</v>
      </c>
      <c r="M3" s="42" t="s">
        <v>105</v>
      </c>
      <c r="N3" s="42" t="s">
        <v>106</v>
      </c>
      <c r="O3" s="40" t="s">
        <v>107</v>
      </c>
      <c r="Q3" s="42" t="s">
        <v>83</v>
      </c>
      <c r="R3" s="42" t="s">
        <v>105</v>
      </c>
      <c r="S3" s="42" t="s">
        <v>106</v>
      </c>
      <c r="T3" s="40" t="s">
        <v>107</v>
      </c>
    </row>
    <row r="4" spans="2:20" s="43" customFormat="1" x14ac:dyDescent="0.25">
      <c r="C4" s="43" t="s">
        <v>108</v>
      </c>
      <c r="D4" s="43" t="s">
        <v>109</v>
      </c>
      <c r="E4" s="43" t="s">
        <v>110</v>
      </c>
      <c r="G4" s="113"/>
      <c r="H4" s="113" t="s">
        <v>108</v>
      </c>
      <c r="I4" s="113" t="s">
        <v>109</v>
      </c>
      <c r="J4" s="113" t="s">
        <v>110</v>
      </c>
      <c r="K4" s="113"/>
      <c r="M4" s="43" t="s">
        <v>108</v>
      </c>
      <c r="N4" s="43" t="s">
        <v>109</v>
      </c>
      <c r="O4" s="43" t="s">
        <v>110</v>
      </c>
      <c r="R4" s="43" t="s">
        <v>108</v>
      </c>
      <c r="S4" s="43" t="s">
        <v>109</v>
      </c>
      <c r="T4" s="43" t="s">
        <v>110</v>
      </c>
    </row>
    <row r="5" spans="2:20" x14ac:dyDescent="0.25">
      <c r="B5" s="30">
        <v>2009</v>
      </c>
      <c r="C5" s="32">
        <f ca="1">'Normalized Annual Summary'!S5</f>
        <v>164879031.73586524</v>
      </c>
      <c r="D5" s="30">
        <f t="shared" ref="D5:D11" ca="1" si="0">E5/C5</f>
        <v>2.6371016703721929E-3</v>
      </c>
      <c r="E5" s="44">
        <f>SUMIF('Monthly Data'!$B:$B,B5,'Monthly Data'!O:O)</f>
        <v>434802.77</v>
      </c>
      <c r="G5" s="30">
        <v>2009</v>
      </c>
      <c r="H5" s="32">
        <f>'Normalized Annual Summary'!AA5</f>
        <v>44707889.906451605</v>
      </c>
      <c r="I5" s="30">
        <f t="shared" ref="I5:I11" si="1">J5/H5</f>
        <v>2.5674533117125667E-3</v>
      </c>
      <c r="J5" s="44">
        <f>SUMIF('Monthly Data'!$B:$B,G5,'Monthly Data'!AE:AE)</f>
        <v>114785.42000000001</v>
      </c>
      <c r="L5" s="30">
        <v>2009</v>
      </c>
      <c r="M5" s="32">
        <f>'Normalized Annual Summary'!AE5</f>
        <v>5814687.6945161298</v>
      </c>
      <c r="N5" s="30">
        <f t="shared" ref="N5:N11" si="2">O5/M5</f>
        <v>3.0285788205974213E-3</v>
      </c>
      <c r="O5" s="44">
        <f>SUMIF('Monthly Data'!$B:$B,L5,'Monthly Data'!U:U)</f>
        <v>17610.239999999998</v>
      </c>
      <c r="Q5" s="30">
        <v>2009</v>
      </c>
      <c r="R5" s="32">
        <f>'Normalized Annual Summary'!AI5</f>
        <v>398170.55999999994</v>
      </c>
      <c r="S5" s="30">
        <f t="shared" ref="S5:S11" si="3">T5/R5</f>
        <v>5.2389609116254105E-3</v>
      </c>
      <c r="T5" s="44">
        <f>SUMIF('Monthly Data'!$B:$B,Q5,'Monthly Data'!Y:Y)</f>
        <v>2086</v>
      </c>
    </row>
    <row r="6" spans="2:20" x14ac:dyDescent="0.25">
      <c r="B6" s="30">
        <v>2010</v>
      </c>
      <c r="C6" s="32">
        <f ca="1">'Normalized Annual Summary'!S6</f>
        <v>167052602.51730582</v>
      </c>
      <c r="D6" s="30">
        <f t="shared" ca="1" si="0"/>
        <v>2.534533815216304E-3</v>
      </c>
      <c r="E6" s="44">
        <f>SUMIF('Monthly Data'!$B:$B,B6,'Monthly Data'!O:O)</f>
        <v>423400.46999999986</v>
      </c>
      <c r="G6" s="30">
        <v>2010</v>
      </c>
      <c r="H6" s="32">
        <f>'Normalized Annual Summary'!AA6</f>
        <v>49638852.089677416</v>
      </c>
      <c r="I6" s="30">
        <f t="shared" si="1"/>
        <v>2.7953067840755892E-3</v>
      </c>
      <c r="J6" s="44">
        <f>SUMIF('Monthly Data'!$B:$B,G6,'Monthly Data'!AE:AE)</f>
        <v>138755.82</v>
      </c>
      <c r="L6" s="30">
        <v>2010</v>
      </c>
      <c r="M6" s="32">
        <f>'Normalized Annual Summary'!AE6</f>
        <v>5780507.0722580636</v>
      </c>
      <c r="N6" s="30">
        <f t="shared" si="2"/>
        <v>3.0349067617604321E-3</v>
      </c>
      <c r="O6" s="44">
        <f>SUMIF('Monthly Data'!$B:$B,L6,'Monthly Data'!U:U)</f>
        <v>17543.299999999996</v>
      </c>
      <c r="Q6" s="30">
        <v>2010</v>
      </c>
      <c r="R6" s="32">
        <f>'Normalized Annual Summary'!AI6</f>
        <v>393141.48000000004</v>
      </c>
      <c r="S6" s="30">
        <f t="shared" si="3"/>
        <v>5.3136087293561588E-3</v>
      </c>
      <c r="T6" s="44">
        <f>SUMIF('Monthly Data'!$B:$B,Q6,'Monthly Data'!Y:Y)</f>
        <v>2089</v>
      </c>
    </row>
    <row r="7" spans="2:20" x14ac:dyDescent="0.25">
      <c r="B7" s="30">
        <v>2011</v>
      </c>
      <c r="C7" s="32">
        <f ca="1">'Normalized Annual Summary'!S7</f>
        <v>165850871.69855252</v>
      </c>
      <c r="D7" s="30">
        <f t="shared" ca="1" si="0"/>
        <v>2.4783924002950383E-3</v>
      </c>
      <c r="E7" s="44">
        <f>SUMIF('Monthly Data'!$B:$B,B7,'Monthly Data'!O:O)</f>
        <v>411043.54</v>
      </c>
      <c r="G7" s="30">
        <v>2011</v>
      </c>
      <c r="H7" s="32">
        <f>'Normalized Annual Summary'!AA7</f>
        <v>42820520.820967749</v>
      </c>
      <c r="I7" s="30">
        <f t="shared" si="1"/>
        <v>2.9357592478988187E-3</v>
      </c>
      <c r="J7" s="44">
        <f>SUMIF('Monthly Data'!$B:$B,G7,'Monthly Data'!AE:AE)</f>
        <v>125710.73999999999</v>
      </c>
      <c r="L7" s="30">
        <v>2011</v>
      </c>
      <c r="M7" s="32">
        <f>'Normalized Annual Summary'!AE7</f>
        <v>5969304.1625806447</v>
      </c>
      <c r="N7" s="30">
        <f t="shared" si="2"/>
        <v>3.0288052857711518E-3</v>
      </c>
      <c r="O7" s="44">
        <f>SUMIF('Monthly Data'!$B:$B,L7,'Monthly Data'!U:U)</f>
        <v>18079.859999999997</v>
      </c>
      <c r="Q7" s="30">
        <v>2011</v>
      </c>
      <c r="R7" s="32">
        <f>'Normalized Annual Summary'!AI7</f>
        <v>382813.79999999993</v>
      </c>
      <c r="S7" s="30">
        <f t="shared" si="3"/>
        <v>5.4438998803073464E-3</v>
      </c>
      <c r="T7" s="44">
        <f>SUMIF('Monthly Data'!$B:$B,Q7,'Monthly Data'!Y:Y)</f>
        <v>2084</v>
      </c>
    </row>
    <row r="8" spans="2:20" x14ac:dyDescent="0.25">
      <c r="B8" s="30">
        <v>2012</v>
      </c>
      <c r="C8" s="32">
        <f ca="1">'Normalized Annual Summary'!S8</f>
        <v>160883811.68478131</v>
      </c>
      <c r="D8" s="30">
        <f t="shared" ca="1" si="0"/>
        <v>2.5879352039207375E-3</v>
      </c>
      <c r="E8" s="44">
        <f>SUMIF('Monthly Data'!$B:$B,B8,'Monthly Data'!O:O)</f>
        <v>416356.88000000006</v>
      </c>
      <c r="G8" s="30">
        <v>2012</v>
      </c>
      <c r="H8" s="32">
        <f>'Normalized Annual Summary'!AA8</f>
        <v>35429534.452903233</v>
      </c>
      <c r="I8" s="30">
        <f t="shared" si="1"/>
        <v>3.0851190027715194E-3</v>
      </c>
      <c r="J8" s="44">
        <f>SUMIF('Monthly Data'!$B:$B,G8,'Monthly Data'!AE:AE)</f>
        <v>109304.33000000002</v>
      </c>
      <c r="L8" s="30">
        <v>2012</v>
      </c>
      <c r="M8" s="32">
        <f>'Normalized Annual Summary'!AE8</f>
        <v>6205705.2712903218</v>
      </c>
      <c r="N8" s="30">
        <f t="shared" si="2"/>
        <v>3.0201337608969387E-3</v>
      </c>
      <c r="O8" s="44">
        <f>SUMIF('Monthly Data'!$B:$B,L8,'Monthly Data'!U:U)</f>
        <v>18742.059999999998</v>
      </c>
      <c r="Q8" s="30">
        <v>2012</v>
      </c>
      <c r="R8" s="32">
        <f>'Normalized Annual Summary'!AI8</f>
        <v>383993.93000000005</v>
      </c>
      <c r="S8" s="30">
        <f t="shared" si="3"/>
        <v>5.4688364474928019E-3</v>
      </c>
      <c r="T8" s="44">
        <f>SUMIF('Monthly Data'!$B:$B,Q8,'Monthly Data'!Y:Y)</f>
        <v>2100</v>
      </c>
    </row>
    <row r="9" spans="2:20" x14ac:dyDescent="0.25">
      <c r="B9" s="30">
        <v>2013</v>
      </c>
      <c r="C9" s="32">
        <f ca="1">'Normalized Annual Summary'!S9</f>
        <v>164887609.10912561</v>
      </c>
      <c r="D9" s="30">
        <f t="shared" ca="1" si="0"/>
        <v>2.4211439668325296E-3</v>
      </c>
      <c r="E9" s="44">
        <f>SUMIF('Monthly Data'!$B:$B,B9,'Monthly Data'!O:O)</f>
        <v>399216.63999999996</v>
      </c>
      <c r="G9" s="30">
        <v>2013</v>
      </c>
      <c r="H9" s="32">
        <f>'Normalized Annual Summary'!AA9</f>
        <v>36931636.277741931</v>
      </c>
      <c r="I9" s="30">
        <f t="shared" si="1"/>
        <v>2.601511865801208E-3</v>
      </c>
      <c r="J9" s="44">
        <f>SUMIF('Monthly Data'!$B:$B,G9,'Monthly Data'!AE:AE)</f>
        <v>96078.09</v>
      </c>
      <c r="L9" s="30">
        <v>2013</v>
      </c>
      <c r="M9" s="32">
        <f>'Normalized Annual Summary'!AE9</f>
        <v>6271491.3612118578</v>
      </c>
      <c r="N9" s="30">
        <f t="shared" si="2"/>
        <v>3.0336388753828499E-3</v>
      </c>
      <c r="O9" s="44">
        <f>SUMIF('Monthly Data'!$B:$B,L9,'Monthly Data'!U:U)</f>
        <v>19025.439999999999</v>
      </c>
      <c r="Q9" s="30">
        <v>2013</v>
      </c>
      <c r="R9" s="32">
        <f>'Normalized Annual Summary'!AI9</f>
        <v>342834.13</v>
      </c>
      <c r="S9" s="30">
        <f t="shared" si="3"/>
        <v>6.1254111427004069E-3</v>
      </c>
      <c r="T9" s="44">
        <f>SUMIF('Monthly Data'!$B:$B,Q9,'Monthly Data'!Y:Y)</f>
        <v>2100</v>
      </c>
    </row>
    <row r="10" spans="2:20" x14ac:dyDescent="0.25">
      <c r="B10" s="30">
        <v>2014</v>
      </c>
      <c r="C10" s="32">
        <f ca="1">'Normalized Annual Summary'!S10</f>
        <v>166100613.01807362</v>
      </c>
      <c r="D10" s="30">
        <f t="shared" ca="1" si="0"/>
        <v>2.3757542662233375E-3</v>
      </c>
      <c r="E10" s="44">
        <f>SUMIF('Monthly Data'!$B:$B,B10,'Monthly Data'!O:O)</f>
        <v>394614.24000000005</v>
      </c>
      <c r="G10" s="30">
        <v>2014</v>
      </c>
      <c r="H10" s="32">
        <f>'Normalized Annual Summary'!AA10</f>
        <v>38058828.017419361</v>
      </c>
      <c r="I10" s="30">
        <f t="shared" si="1"/>
        <v>2.2190002792872774E-3</v>
      </c>
      <c r="J10" s="44">
        <f>SUMIF('Monthly Data'!$B:$B,G10,'Monthly Data'!AE:AE)</f>
        <v>84452.550000000017</v>
      </c>
      <c r="L10" s="30">
        <v>2014</v>
      </c>
      <c r="M10" s="32">
        <f>'Normalized Annual Summary'!AE10</f>
        <v>6286757.8567741932</v>
      </c>
      <c r="N10" s="30">
        <f t="shared" si="2"/>
        <v>2.5247226569887755E-3</v>
      </c>
      <c r="O10" s="44">
        <f>SUMIF('Monthly Data'!$B:$B,L10,'Monthly Data'!U:U)</f>
        <v>15872.32</v>
      </c>
      <c r="Q10" s="30">
        <v>2014</v>
      </c>
      <c r="R10" s="32">
        <f>'Normalized Annual Summary'!AI10</f>
        <v>350517.73</v>
      </c>
      <c r="S10" s="30">
        <f t="shared" si="3"/>
        <v>5.8998442104483562E-3</v>
      </c>
      <c r="T10" s="44">
        <f>SUMIF('Monthly Data'!$B:$B,Q10,'Monthly Data'!Y:Y)</f>
        <v>2068</v>
      </c>
    </row>
    <row r="11" spans="2:20" x14ac:dyDescent="0.25">
      <c r="B11" s="30">
        <v>2015</v>
      </c>
      <c r="C11" s="32">
        <f ca="1">'Normalized Annual Summary'!S11</f>
        <v>171874065.5064584</v>
      </c>
      <c r="D11" s="30">
        <f t="shared" ca="1" si="0"/>
        <v>2.6714529539230963E-3</v>
      </c>
      <c r="E11" s="44">
        <f>SUMIF('Monthly Data'!$B:$B,B11,'Monthly Data'!O:O)</f>
        <v>459153.48000000004</v>
      </c>
      <c r="G11" s="30">
        <v>2015</v>
      </c>
      <c r="H11" s="32">
        <f>'Normalized Annual Summary'!AA11</f>
        <v>38655620.090000004</v>
      </c>
      <c r="I11" s="30">
        <f t="shared" si="1"/>
        <v>2.7628018836936986E-3</v>
      </c>
      <c r="J11" s="44">
        <f>SUMIF('Monthly Data'!$B:$B,G11,'Monthly Data'!AE:AE)</f>
        <v>106797.81999999999</v>
      </c>
      <c r="L11" s="30">
        <v>2015</v>
      </c>
      <c r="M11" s="32">
        <f>'Normalized Annual Summary'!AE11</f>
        <v>6227062.8251612904</v>
      </c>
      <c r="N11" s="30">
        <f t="shared" si="2"/>
        <v>2.8942505489388867E-3</v>
      </c>
      <c r="O11" s="44">
        <f>SUMIF('Monthly Data'!$B:$B,L11,'Monthly Data'!U:U)</f>
        <v>18022.68</v>
      </c>
      <c r="Q11" s="30">
        <v>2015</v>
      </c>
      <c r="R11" s="32">
        <f>'Normalized Annual Summary'!AI11</f>
        <v>341135.62</v>
      </c>
      <c r="S11" s="30">
        <f t="shared" si="3"/>
        <v>6.1207328627834292E-3</v>
      </c>
      <c r="T11" s="44">
        <f>SUMIF('Monthly Data'!$B:$B,Q11,'Monthly Data'!Y:Y)</f>
        <v>2088</v>
      </c>
    </row>
    <row r="12" spans="2:20" x14ac:dyDescent="0.25">
      <c r="B12" s="30">
        <v>2016</v>
      </c>
      <c r="C12" s="32">
        <f ca="1">'Normalized Annual Summary'!S12</f>
        <v>187031605.7052716</v>
      </c>
      <c r="D12" s="30">
        <f ca="1">E12/C12</f>
        <v>2.5456698519194742E-3</v>
      </c>
      <c r="E12" s="44">
        <f>SUMIF('Monthly Data'!$B:$B,B12,'Monthly Data'!O:O)</f>
        <v>476120.7200000002</v>
      </c>
      <c r="G12" s="30">
        <v>2016</v>
      </c>
      <c r="H12" s="32">
        <f>'Normalized Annual Summary'!AA12</f>
        <v>32586842.712580636</v>
      </c>
      <c r="I12" s="30">
        <f>J12/H12</f>
        <v>2.6952107872080691E-3</v>
      </c>
      <c r="J12" s="44">
        <f>SUMIF('Monthly Data'!$B:$B,G12,'Monthly Data'!AE:AE)</f>
        <v>87828.409999999989</v>
      </c>
      <c r="L12" s="30">
        <v>2016</v>
      </c>
      <c r="M12" s="32">
        <f>'Normalized Annual Summary'!AE12</f>
        <v>4268687.7145161303</v>
      </c>
      <c r="N12" s="30">
        <f>O12/M12</f>
        <v>3.1602264916512262E-3</v>
      </c>
      <c r="O12" s="44">
        <f>SUMIF('Monthly Data'!$B:$B,L12,'Monthly Data'!U:U)</f>
        <v>13490.02</v>
      </c>
      <c r="Q12" s="30">
        <v>2016</v>
      </c>
      <c r="R12" s="32">
        <f>'Normalized Annual Summary'!AI12</f>
        <v>335758.11000000004</v>
      </c>
      <c r="S12" s="30">
        <f>T12/R12</f>
        <v>6.1949359912706198E-3</v>
      </c>
      <c r="T12" s="44">
        <f>SUMIF('Monthly Data'!$B:$B,Q12,'Monthly Data'!Y:Y)</f>
        <v>2080</v>
      </c>
    </row>
    <row r="13" spans="2:20" x14ac:dyDescent="0.25">
      <c r="C13" s="32"/>
      <c r="E13" s="44"/>
      <c r="H13" s="32"/>
      <c r="J13" s="44"/>
      <c r="M13" s="32"/>
      <c r="O13" s="44"/>
      <c r="R13" s="32"/>
      <c r="T13" s="44"/>
    </row>
    <row r="14" spans="2:20" x14ac:dyDescent="0.25">
      <c r="C14" s="30" t="s">
        <v>111</v>
      </c>
      <c r="E14" s="44"/>
      <c r="H14" s="30" t="s">
        <v>111</v>
      </c>
      <c r="J14" s="44"/>
      <c r="M14" s="30" t="s">
        <v>111</v>
      </c>
      <c r="O14" s="44"/>
      <c r="R14" s="30" t="s">
        <v>111</v>
      </c>
      <c r="T14" s="44"/>
    </row>
    <row r="15" spans="2:20" s="43" customFormat="1" x14ac:dyDescent="0.25">
      <c r="C15" s="43" t="s">
        <v>112</v>
      </c>
      <c r="D15" s="43" t="s">
        <v>113</v>
      </c>
      <c r="E15" s="45" t="s">
        <v>114</v>
      </c>
      <c r="G15" s="113"/>
      <c r="H15" s="113" t="s">
        <v>112</v>
      </c>
      <c r="I15" s="113" t="s">
        <v>113</v>
      </c>
      <c r="J15" s="45" t="s">
        <v>114</v>
      </c>
      <c r="K15" s="113"/>
      <c r="M15" s="43" t="s">
        <v>172</v>
      </c>
      <c r="N15" s="43" t="s">
        <v>113</v>
      </c>
      <c r="O15" s="45" t="s">
        <v>116</v>
      </c>
      <c r="R15" s="43" t="s">
        <v>112</v>
      </c>
      <c r="S15" s="43" t="s">
        <v>113</v>
      </c>
      <c r="T15" s="45" t="s">
        <v>114</v>
      </c>
    </row>
    <row r="16" spans="2:20" s="37" customFormat="1" x14ac:dyDescent="0.25">
      <c r="B16" s="37">
        <v>2016</v>
      </c>
      <c r="C16" s="38">
        <f ca="1">'Normalized Annual Summary'!X12</f>
        <v>175310400.46569687</v>
      </c>
      <c r="D16" s="37">
        <f ca="1">AVERAGE(D5:D12)</f>
        <v>2.5314980160878386E-3</v>
      </c>
      <c r="E16" s="46">
        <f ca="1">C16*D16</f>
        <v>443797.93097847613</v>
      </c>
      <c r="G16" s="37">
        <v>2016</v>
      </c>
      <c r="H16" s="38">
        <f>'Normalized Annual Summary'!AB12</f>
        <v>32586842.712580636</v>
      </c>
      <c r="I16" s="37">
        <f>AVERAGE(I5:I12)</f>
        <v>2.7077703953060938E-3</v>
      </c>
      <c r="J16" s="46">
        <f>H16*I16</f>
        <v>88237.687973621971</v>
      </c>
      <c r="L16" s="37">
        <v>2016</v>
      </c>
      <c r="M16" s="38">
        <f>O16/N16</f>
        <v>4268687.7145161303</v>
      </c>
      <c r="N16" s="37">
        <f>N12</f>
        <v>3.1602264916512262E-3</v>
      </c>
      <c r="O16" s="46">
        <f>O12</f>
        <v>13490.02</v>
      </c>
      <c r="Q16" s="37">
        <v>2016</v>
      </c>
      <c r="R16" s="38">
        <f>'Normalized Annual Summary'!AJ12</f>
        <v>335758.11000000004</v>
      </c>
      <c r="S16" s="37">
        <f>S12</f>
        <v>6.1949359912706198E-3</v>
      </c>
      <c r="T16" s="46">
        <f>R16*S16</f>
        <v>2080</v>
      </c>
    </row>
    <row r="17" spans="2:20" x14ac:dyDescent="0.25">
      <c r="B17" s="37">
        <v>2017</v>
      </c>
      <c r="C17" s="38">
        <f ca="1">'Normalized Annual Summary'!X13</f>
        <v>179829957.73460636</v>
      </c>
      <c r="D17" s="37">
        <f ca="1">D16</f>
        <v>2.5314980160878386E-3</v>
      </c>
      <c r="E17" s="46">
        <f ca="1">C17*D17</f>
        <v>455239.18123831588</v>
      </c>
      <c r="F17" s="37"/>
      <c r="G17" s="37">
        <v>2017</v>
      </c>
      <c r="H17" s="38">
        <f>'Normalized Annual Summary'!AB13</f>
        <v>31681583.38839817</v>
      </c>
      <c r="I17" s="37">
        <f>I16</f>
        <v>2.7077703953060938E-3</v>
      </c>
      <c r="J17" s="46">
        <f>H17*I17</f>
        <v>85786.453575525884</v>
      </c>
      <c r="K17" s="37"/>
      <c r="L17" s="37">
        <v>2017</v>
      </c>
      <c r="M17" s="38">
        <f>O17/N17</f>
        <v>2799881.59816253</v>
      </c>
      <c r="N17" s="37">
        <f>N16</f>
        <v>3.1602264916512262E-3</v>
      </c>
      <c r="O17" s="46">
        <f>AVERAGE('Monthly Data'!U95:U96)*12</f>
        <v>8848.26</v>
      </c>
      <c r="P17" s="37"/>
      <c r="Q17" s="37">
        <v>2017</v>
      </c>
      <c r="R17" s="38">
        <f>'Normalized Annual Summary'!AJ13</f>
        <v>335758.11000000004</v>
      </c>
      <c r="S17" s="37">
        <f>S16</f>
        <v>6.1949359912706198E-3</v>
      </c>
      <c r="T17" s="46">
        <f>R17*S17</f>
        <v>2080</v>
      </c>
    </row>
    <row r="18" spans="2:20" x14ac:dyDescent="0.25">
      <c r="B18" s="37">
        <v>2018</v>
      </c>
      <c r="C18" s="38">
        <f ca="1">'Normalized Annual Summary'!X14</f>
        <v>183374335.01490918</v>
      </c>
      <c r="D18" s="37">
        <f ca="1">D17</f>
        <v>2.5314980160878386E-3</v>
      </c>
      <c r="E18" s="46">
        <f ca="1">C18*D18</f>
        <v>464211.76529166929</v>
      </c>
      <c r="F18" s="37"/>
      <c r="G18" s="37">
        <v>2018</v>
      </c>
      <c r="H18" s="38">
        <f>'Normalized Annual Summary'!AB14</f>
        <v>29865554.020049572</v>
      </c>
      <c r="I18" s="37">
        <f>I17</f>
        <v>2.7077703953060938E-3</v>
      </c>
      <c r="J18" s="46">
        <f>H18*I18</f>
        <v>80869.063014905129</v>
      </c>
      <c r="K18" s="37"/>
      <c r="L18" s="37">
        <v>2018</v>
      </c>
      <c r="M18" s="38">
        <f>O18/N18</f>
        <v>2799881.59816253</v>
      </c>
      <c r="N18" s="37">
        <f>N17</f>
        <v>3.1602264916512262E-3</v>
      </c>
      <c r="O18" s="46">
        <f>O17</f>
        <v>8848.26</v>
      </c>
      <c r="P18" s="37"/>
      <c r="Q18" s="37">
        <v>2018</v>
      </c>
      <c r="R18" s="38">
        <f>'Normalized Annual Summary'!AJ14</f>
        <v>335758.11000000004</v>
      </c>
      <c r="S18" s="37">
        <f>S17</f>
        <v>6.1949359912706198E-3</v>
      </c>
      <c r="T18" s="46">
        <f>R18*S18</f>
        <v>2080</v>
      </c>
    </row>
  </sheetData>
  <mergeCells count="4">
    <mergeCell ref="B2:E2"/>
    <mergeCell ref="L2:O2"/>
    <mergeCell ref="Q2:T2"/>
    <mergeCell ref="G2:J2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E2" workbookViewId="0">
      <selection activeCell="H15" sqref="H15:M17"/>
    </sheetView>
  </sheetViews>
  <sheetFormatPr defaultRowHeight="14.4" x14ac:dyDescent="0.3"/>
  <cols>
    <col min="1" max="1" width="9.77734375" style="47" bestFit="1" customWidth="1"/>
    <col min="2" max="2" width="24.5546875" style="47" bestFit="1" customWidth="1"/>
    <col min="3" max="3" width="9" style="47" bestFit="1" customWidth="1"/>
    <col min="4" max="4" width="15.6640625" style="47" bestFit="1" customWidth="1"/>
    <col min="5" max="5" width="14.88671875" style="47" bestFit="1" customWidth="1"/>
    <col min="6" max="6" width="12.77734375" style="47" bestFit="1" customWidth="1"/>
    <col min="7" max="7" width="6.77734375" style="47" bestFit="1" customWidth="1"/>
    <col min="8" max="8" width="11.44140625" style="47" bestFit="1" customWidth="1"/>
    <col min="9" max="9" width="13.33203125" style="47" bestFit="1" customWidth="1"/>
    <col min="10" max="10" width="11.44140625" style="47" bestFit="1" customWidth="1"/>
    <col min="11" max="11" width="7.88671875" style="47" bestFit="1" customWidth="1"/>
    <col min="12" max="12" width="13.33203125" style="47" bestFit="1" customWidth="1"/>
    <col min="13" max="13" width="11.44140625" style="47" bestFit="1" customWidth="1"/>
    <col min="14" max="16384" width="8.88671875" style="47"/>
  </cols>
  <sheetData>
    <row r="1" spans="1:15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3">
      <c r="A3" s="17"/>
      <c r="B3" s="17"/>
      <c r="C3" s="17" t="s">
        <v>173</v>
      </c>
      <c r="D3" s="17"/>
      <c r="E3" s="17"/>
      <c r="F3" s="66"/>
      <c r="G3" s="127" t="s">
        <v>123</v>
      </c>
      <c r="H3" s="128"/>
      <c r="I3" s="127" t="s">
        <v>174</v>
      </c>
      <c r="J3" s="128"/>
      <c r="K3" s="17"/>
      <c r="L3" s="17"/>
      <c r="M3" s="17"/>
      <c r="N3" s="17"/>
      <c r="O3" s="17"/>
    </row>
    <row r="4" spans="1:15" x14ac:dyDescent="0.3">
      <c r="A4" s="17"/>
      <c r="B4" t="s">
        <v>130</v>
      </c>
      <c r="C4">
        <f>'Historic CDM'!C7</f>
        <v>31430</v>
      </c>
      <c r="D4" s="17"/>
      <c r="E4" s="17"/>
      <c r="F4" s="67" t="s">
        <v>175</v>
      </c>
      <c r="G4" s="68" t="s">
        <v>176</v>
      </c>
      <c r="H4" s="69" t="s">
        <v>177</v>
      </c>
      <c r="I4" s="69" t="s">
        <v>176</v>
      </c>
      <c r="J4" s="70" t="s">
        <v>177</v>
      </c>
      <c r="K4" s="17"/>
      <c r="L4" s="17"/>
      <c r="M4" s="17"/>
      <c r="N4" s="17"/>
      <c r="O4" s="17"/>
    </row>
    <row r="5" spans="1:15" x14ac:dyDescent="0.3">
      <c r="A5" s="17"/>
      <c r="B5" t="s">
        <v>131</v>
      </c>
      <c r="C5">
        <f>'Historic CDM'!C8</f>
        <v>3819.71</v>
      </c>
      <c r="D5" s="17"/>
      <c r="E5" s="71">
        <v>2016</v>
      </c>
      <c r="F5" s="72">
        <f>C7*1000</f>
        <v>5522058</v>
      </c>
      <c r="G5" s="71">
        <v>0.5</v>
      </c>
      <c r="H5" s="73">
        <f>F5*G5</f>
        <v>2761029</v>
      </c>
      <c r="I5" s="71">
        <v>1</v>
      </c>
      <c r="J5" s="73">
        <f>I5*F5</f>
        <v>5522058</v>
      </c>
      <c r="K5" s="17"/>
      <c r="L5" s="17"/>
      <c r="M5" s="17"/>
      <c r="N5" s="17"/>
      <c r="O5" s="17"/>
    </row>
    <row r="6" spans="1:15" x14ac:dyDescent="0.3">
      <c r="A6" s="17"/>
      <c r="B6" t="s">
        <v>132</v>
      </c>
      <c r="C6">
        <f>'Historic CDM'!C9</f>
        <v>27610.29</v>
      </c>
      <c r="D6" s="17"/>
      <c r="E6" s="74">
        <v>2017</v>
      </c>
      <c r="F6" s="75">
        <f>F5</f>
        <v>5522058</v>
      </c>
      <c r="G6" s="74">
        <v>1</v>
      </c>
      <c r="H6" s="76">
        <f>F6*G6</f>
        <v>5522058</v>
      </c>
      <c r="I6" s="74">
        <v>1</v>
      </c>
      <c r="J6" s="76">
        <f>I6*F6</f>
        <v>5522058</v>
      </c>
      <c r="K6" s="17"/>
      <c r="L6" s="17"/>
      <c r="M6" s="17"/>
      <c r="N6" s="17"/>
      <c r="O6" s="17"/>
    </row>
    <row r="7" spans="1:15" x14ac:dyDescent="0.3">
      <c r="A7" s="17"/>
      <c r="B7" t="s">
        <v>178</v>
      </c>
      <c r="C7">
        <f>'Historic CDM'!C10</f>
        <v>5522.058</v>
      </c>
      <c r="D7" s="17"/>
      <c r="E7" s="77">
        <v>2018</v>
      </c>
      <c r="F7" s="78">
        <f>F6</f>
        <v>5522058</v>
      </c>
      <c r="G7" s="77">
        <v>0.5</v>
      </c>
      <c r="H7" s="79">
        <f>F7*G7</f>
        <v>2761029</v>
      </c>
      <c r="I7" s="77">
        <v>1</v>
      </c>
      <c r="J7" s="79">
        <f>I7*F7</f>
        <v>5522058</v>
      </c>
      <c r="K7" s="17"/>
      <c r="L7" s="17"/>
      <c r="M7" s="17"/>
      <c r="N7" s="17"/>
      <c r="O7" s="17"/>
    </row>
    <row r="8" spans="1:15" x14ac:dyDescent="0.3">
      <c r="A8" s="17"/>
      <c r="B8" s="17"/>
      <c r="C8" s="17"/>
      <c r="D8" s="17"/>
      <c r="E8" s="77" t="s">
        <v>115</v>
      </c>
      <c r="F8" s="78"/>
      <c r="G8" s="77"/>
      <c r="H8" s="79">
        <f>SUM(H5:H7)</f>
        <v>11044116</v>
      </c>
      <c r="I8" s="77"/>
      <c r="J8" s="79">
        <f>SUM(J5:J7)</f>
        <v>16566174</v>
      </c>
      <c r="K8" s="17"/>
      <c r="L8" s="17"/>
      <c r="M8" s="17"/>
      <c r="N8" s="17"/>
      <c r="O8" s="17"/>
    </row>
    <row r="9" spans="1:15" x14ac:dyDescent="0.3">
      <c r="A9" s="17"/>
      <c r="B9" s="17"/>
      <c r="C9" s="17"/>
      <c r="D9" s="17"/>
      <c r="E9" s="17"/>
      <c r="F9" s="17"/>
      <c r="G9" s="17"/>
      <c r="H9" s="80"/>
      <c r="I9" s="17"/>
      <c r="J9" s="17"/>
      <c r="K9" s="17"/>
      <c r="L9" s="17"/>
      <c r="M9" s="17"/>
      <c r="N9" s="17"/>
      <c r="O9" s="17"/>
    </row>
    <row r="10" spans="1:15" ht="53.4" x14ac:dyDescent="0.3">
      <c r="A10" s="17"/>
      <c r="B10" s="65" t="s">
        <v>179</v>
      </c>
      <c r="C10" s="65" t="s">
        <v>180</v>
      </c>
      <c r="D10" s="65" t="s">
        <v>123</v>
      </c>
      <c r="E10" s="65" t="s">
        <v>174</v>
      </c>
      <c r="F10" s="81"/>
      <c r="G10" s="81"/>
      <c r="H10" s="81"/>
      <c r="I10" s="82" t="s">
        <v>181</v>
      </c>
      <c r="J10" s="82" t="s">
        <v>195</v>
      </c>
      <c r="K10" s="82" t="s">
        <v>182</v>
      </c>
      <c r="L10" s="82" t="s">
        <v>183</v>
      </c>
      <c r="M10" s="82" t="s">
        <v>194</v>
      </c>
      <c r="N10" s="17"/>
      <c r="O10" s="17"/>
    </row>
    <row r="11" spans="1:15" x14ac:dyDescent="0.3">
      <c r="A11" s="17" t="s">
        <v>1</v>
      </c>
      <c r="B11" s="83">
        <f>'Historic CDM'!I62*2</f>
        <v>1356938</v>
      </c>
      <c r="C11" s="84">
        <f>B11/$B$14</f>
        <v>0.1059286203638303</v>
      </c>
      <c r="D11" s="80">
        <f>D$14*C11</f>
        <v>1169887.9710181041</v>
      </c>
      <c r="E11" s="80">
        <f>E$14*C11</f>
        <v>1754831.9565271561</v>
      </c>
      <c r="F11" s="17"/>
      <c r="G11" s="17"/>
      <c r="H11" s="17" t="s">
        <v>99</v>
      </c>
      <c r="I11" s="62">
        <f ca="1">'Summary Tables'!J5</f>
        <v>183374335.01490918</v>
      </c>
      <c r="J11" s="62">
        <f>D13</f>
        <v>7094029.0282121133</v>
      </c>
      <c r="K11" s="84">
        <f ca="1">J11/I11</f>
        <v>3.8686051827456311E-2</v>
      </c>
      <c r="L11" s="62">
        <f ca="1">'Summary Tables'!J25</f>
        <v>464211.76529166929</v>
      </c>
      <c r="M11" s="62">
        <f ca="1">K11*L11</f>
        <v>17958.520410988502</v>
      </c>
      <c r="N11" s="17"/>
      <c r="O11" s="17"/>
    </row>
    <row r="12" spans="1:15" x14ac:dyDescent="0.3">
      <c r="A12" s="17" t="s">
        <v>98</v>
      </c>
      <c r="B12" s="83">
        <f>'Historic CDM'!I74*2</f>
        <v>3224717.0371565158</v>
      </c>
      <c r="C12" s="84">
        <f>B12/$B$14</f>
        <v>0.25173576597436892</v>
      </c>
      <c r="D12" s="80">
        <f>D$14*C12</f>
        <v>2780199.0007697833</v>
      </c>
      <c r="E12" s="80">
        <f>E$14*C12</f>
        <v>4170298.5011546751</v>
      </c>
      <c r="F12" s="17"/>
      <c r="G12" s="17"/>
      <c r="H12" s="17" t="s">
        <v>115</v>
      </c>
      <c r="I12" s="62">
        <f ca="1">SUM(I11:I11)</f>
        <v>183374335.01490918</v>
      </c>
      <c r="J12" s="62">
        <f>SUM(J11:J11)</f>
        <v>7094029.0282121133</v>
      </c>
      <c r="K12" s="62">
        <f ca="1">SUM(K11:K11)</f>
        <v>3.8686051827456311E-2</v>
      </c>
      <c r="L12" s="62">
        <f ca="1">SUM(L11:L11)</f>
        <v>464211.76529166929</v>
      </c>
      <c r="M12" s="62">
        <f ca="1">SUM(M11:M11)</f>
        <v>17958.520410988502</v>
      </c>
      <c r="N12" s="17"/>
      <c r="O12" s="17"/>
    </row>
    <row r="13" spans="1:15" x14ac:dyDescent="0.3">
      <c r="A13" s="17" t="s">
        <v>99</v>
      </c>
      <c r="B13" s="83">
        <f>'Historic CDM'!I86*2</f>
        <v>8228272.9628434852</v>
      </c>
      <c r="C13" s="84">
        <f>B13/$B$14</f>
        <v>0.64233561366180081</v>
      </c>
      <c r="D13" s="80">
        <f>D$14*C13</f>
        <v>7094029.0282121133</v>
      </c>
      <c r="E13" s="80">
        <f>E$14*C13</f>
        <v>10641043.542318169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x14ac:dyDescent="0.3">
      <c r="A14" s="17" t="s">
        <v>115</v>
      </c>
      <c r="B14" s="83">
        <f>SUM(B11:B13)</f>
        <v>12809928</v>
      </c>
      <c r="C14" s="85">
        <f>SUM(C11:C13)</f>
        <v>1</v>
      </c>
      <c r="D14" s="80">
        <f>H8</f>
        <v>11044116</v>
      </c>
      <c r="E14" s="80">
        <f>J8</f>
        <v>16566174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53.4" x14ac:dyDescent="0.3">
      <c r="A15" s="17"/>
      <c r="B15" s="17"/>
      <c r="C15" s="17"/>
      <c r="D15" s="17"/>
      <c r="E15" s="17"/>
      <c r="F15" s="17"/>
      <c r="G15" s="17"/>
      <c r="H15" s="81"/>
      <c r="I15" s="82" t="s">
        <v>181</v>
      </c>
      <c r="J15" s="82" t="s">
        <v>192</v>
      </c>
      <c r="K15" s="82" t="s">
        <v>182</v>
      </c>
      <c r="L15" s="82" t="s">
        <v>183</v>
      </c>
      <c r="M15" s="82" t="s">
        <v>193</v>
      </c>
      <c r="N15" s="17"/>
      <c r="O15" s="17"/>
    </row>
    <row r="16" spans="1:15" x14ac:dyDescent="0.3">
      <c r="F16" s="17"/>
      <c r="G16" s="17"/>
      <c r="H16" s="17" t="s">
        <v>99</v>
      </c>
      <c r="I16" s="62">
        <f ca="1">I11</f>
        <v>183374335.01490918</v>
      </c>
      <c r="J16" s="62">
        <f>E13</f>
        <v>10641043.542318169</v>
      </c>
      <c r="K16" s="84">
        <f ca="1">J16/I16</f>
        <v>5.8029077741184466E-2</v>
      </c>
      <c r="L16" s="62">
        <f ca="1">L11</f>
        <v>464211.76529166929</v>
      </c>
      <c r="M16" s="62">
        <f ca="1">K16*L16</f>
        <v>26937.780616482753</v>
      </c>
      <c r="N16" s="17"/>
      <c r="O16" s="17"/>
    </row>
    <row r="17" spans="6:15" x14ac:dyDescent="0.3">
      <c r="F17" s="17"/>
      <c r="G17" s="17"/>
      <c r="H17" s="17" t="s">
        <v>115</v>
      </c>
      <c r="I17" s="62">
        <f ca="1">SUM(I16:I16)</f>
        <v>183374335.01490918</v>
      </c>
      <c r="J17" s="62">
        <f>SUM(J16:J16)</f>
        <v>10641043.542318169</v>
      </c>
      <c r="K17" s="62">
        <f ca="1">SUM(K16:K16)</f>
        <v>5.8029077741184466E-2</v>
      </c>
      <c r="L17" s="62">
        <f ca="1">SUM(L16:L16)</f>
        <v>464211.76529166929</v>
      </c>
      <c r="M17" s="62">
        <f ca="1">SUM(M16:M16)</f>
        <v>26937.780616482753</v>
      </c>
      <c r="N17" s="17"/>
      <c r="O17" s="17"/>
    </row>
  </sheetData>
  <mergeCells count="2">
    <mergeCell ref="G3:H3"/>
    <mergeCell ref="I3:J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topLeftCell="A24" workbookViewId="0">
      <selection activeCell="B39" sqref="B39:I48"/>
    </sheetView>
  </sheetViews>
  <sheetFormatPr defaultColWidth="9.33203125" defaultRowHeight="13.2" x14ac:dyDescent="0.25"/>
  <cols>
    <col min="1" max="1" width="3.44140625" style="17" customWidth="1"/>
    <col min="2" max="2" width="25.5546875" style="17" bestFit="1" customWidth="1"/>
    <col min="3" max="3" width="15.5546875" style="17" bestFit="1" customWidth="1"/>
    <col min="4" max="4" width="11" style="17" bestFit="1" customWidth="1"/>
    <col min="5" max="5" width="18.109375" style="17" bestFit="1" customWidth="1"/>
    <col min="6" max="6" width="13.33203125" style="17" bestFit="1" customWidth="1"/>
    <col min="7" max="7" width="11.109375" style="17" bestFit="1" customWidth="1"/>
    <col min="8" max="8" width="15.44140625" style="17" bestFit="1" customWidth="1"/>
    <col min="9" max="10" width="13.33203125" style="17" bestFit="1" customWidth="1"/>
    <col min="11" max="16384" width="9.33203125" style="17"/>
  </cols>
  <sheetData>
    <row r="1" spans="2:10" ht="16.2" thickBot="1" x14ac:dyDescent="0.35">
      <c r="B1" s="118" t="s">
        <v>117</v>
      </c>
      <c r="C1" s="119"/>
      <c r="D1" s="119"/>
      <c r="E1" s="119"/>
      <c r="F1" s="119"/>
      <c r="G1" s="119"/>
      <c r="H1" s="119"/>
      <c r="I1" s="119"/>
      <c r="J1" s="119"/>
    </row>
    <row r="2" spans="2:10" x14ac:dyDescent="0.25">
      <c r="B2" s="50" t="s">
        <v>2</v>
      </c>
      <c r="C2" s="51" t="s">
        <v>189</v>
      </c>
      <c r="D2" s="51" t="s">
        <v>190</v>
      </c>
      <c r="E2" s="51" t="s">
        <v>118</v>
      </c>
      <c r="F2" s="51" t="s">
        <v>119</v>
      </c>
      <c r="G2" s="51" t="s">
        <v>187</v>
      </c>
      <c r="H2" s="51" t="s">
        <v>188</v>
      </c>
      <c r="I2" s="51" t="s">
        <v>120</v>
      </c>
      <c r="J2" s="52" t="s">
        <v>184</v>
      </c>
    </row>
    <row r="3" spans="2:10" x14ac:dyDescent="0.25">
      <c r="B3" s="114" t="s">
        <v>1</v>
      </c>
      <c r="C3" s="115">
        <f ca="1">OFFSET('Normalized Annual Summary'!$C$8,COLUMN(C3)-COLUMN($C3),0)</f>
        <v>256003979.435274</v>
      </c>
      <c r="D3" s="115">
        <f ca="1">OFFSET('Normalized Annual Summary'!$C$8,COLUMN(D3)-COLUMN($C3),0)</f>
        <v>250406104.76660007</v>
      </c>
      <c r="E3" s="115">
        <f ca="1">OFFSET('Normalized Annual Summary'!$C$8,COLUMN(E3)-COLUMN($C3),0)</f>
        <v>245551952.96402693</v>
      </c>
      <c r="F3" s="115">
        <f ca="1">OFFSET('Normalized Annual Summary'!$C$8,COLUMN(F3)-COLUMN($C3),0)</f>
        <v>244757239.4788945</v>
      </c>
      <c r="G3" s="115">
        <f ca="1">OFFSET('Normalized Annual Summary'!$C$8,COLUMN(G3)-COLUMN($C3),0)</f>
        <v>255390421.5791553</v>
      </c>
      <c r="H3" s="115">
        <f ca="1">OFFSET('Normalized Annual Summary'!$H$12,COLUMN(H3)-COLUMN($H3),0)</f>
        <v>249168164.99948969</v>
      </c>
      <c r="I3" s="115">
        <f ca="1">OFFSET('Normalized Annual Summary'!$H$12,COLUMN(I3)-COLUMN($H3),0)</f>
        <v>247700344.00960773</v>
      </c>
      <c r="J3" s="116">
        <f ca="1">OFFSET('Normalized Annual Summary'!$H$12,COLUMN(J3)-COLUMN($H3),0)</f>
        <v>246544005.67413092</v>
      </c>
    </row>
    <row r="4" spans="2:10" x14ac:dyDescent="0.25">
      <c r="B4" s="117" t="s">
        <v>98</v>
      </c>
      <c r="C4" s="115">
        <f ca="1">OFFSET('Normalized Annual Summary'!$K$8,COLUMN(C4)-COLUMN($C4),0)</f>
        <v>67056277.620808907</v>
      </c>
      <c r="D4" s="115">
        <f ca="1">OFFSET('Normalized Annual Summary'!$K$8,COLUMN(D4)-COLUMN($C4),0)</f>
        <v>65663989.680238001</v>
      </c>
      <c r="E4" s="115">
        <f ca="1">OFFSET('Normalized Annual Summary'!$K$8,COLUMN(E4)-COLUMN($C4),0)</f>
        <v>65242010.853368044</v>
      </c>
      <c r="F4" s="115">
        <f ca="1">OFFSET('Normalized Annual Summary'!$K$8,COLUMN(F4)-COLUMN($C4),0)</f>
        <v>65329579.275105581</v>
      </c>
      <c r="G4" s="115">
        <f ca="1">OFFSET('Normalized Annual Summary'!$K$8,COLUMN(G4)-COLUMN($C4),0)</f>
        <v>66808992.616394639</v>
      </c>
      <c r="H4" s="115">
        <f ca="1">OFFSET('Normalized Annual Summary'!$P$12,COLUMN(H4)-COLUMN($H4),0)</f>
        <v>64675919.16223301</v>
      </c>
      <c r="I4" s="115">
        <f ca="1">OFFSET('Normalized Annual Summary'!$P$12,COLUMN(I4)-COLUMN($H4),0)</f>
        <v>65087892.088935807</v>
      </c>
      <c r="J4" s="116">
        <f ca="1">OFFSET('Normalized Annual Summary'!$P$12,COLUMN(J4)-COLUMN($H4),0)</f>
        <v>65487649.144057497</v>
      </c>
    </row>
    <row r="5" spans="2:10" x14ac:dyDescent="0.25">
      <c r="B5" s="117" t="s">
        <v>99</v>
      </c>
      <c r="C5" s="115">
        <f ca="1">OFFSET('Normalized Annual Summary'!$S$8,COLUMN(C5)-COLUMN($C5),0)</f>
        <v>160883811.68478131</v>
      </c>
      <c r="D5" s="115">
        <f ca="1">OFFSET('Normalized Annual Summary'!$S$8,COLUMN(D5)-COLUMN($C5),0)</f>
        <v>164887609.10912561</v>
      </c>
      <c r="E5" s="115">
        <f ca="1">OFFSET('Normalized Annual Summary'!$S$8,COLUMN(E5)-COLUMN($C5),0)</f>
        <v>166100613.01807362</v>
      </c>
      <c r="F5" s="115">
        <f ca="1">OFFSET('Normalized Annual Summary'!$S$8,COLUMN(F5)-COLUMN($C5),0)</f>
        <v>171874065.5064584</v>
      </c>
      <c r="G5" s="115">
        <f ca="1">OFFSET('Normalized Annual Summary'!$S$8,COLUMN(G5)-COLUMN($C5),0)</f>
        <v>187031605.7052716</v>
      </c>
      <c r="H5" s="115">
        <f ca="1">OFFSET('Normalized Annual Summary'!$X$12,COLUMN(H5)-COLUMN($H5),0)</f>
        <v>175310400.46569687</v>
      </c>
      <c r="I5" s="115">
        <f ca="1">OFFSET('Normalized Annual Summary'!$X$12,COLUMN(I5)-COLUMN($H5),0)</f>
        <v>179829957.73460636</v>
      </c>
      <c r="J5" s="116">
        <f ca="1">OFFSET('Normalized Annual Summary'!$X$12,COLUMN(J5)-COLUMN($H5),0)</f>
        <v>183374335.01490918</v>
      </c>
    </row>
    <row r="6" spans="2:10" x14ac:dyDescent="0.25">
      <c r="B6" s="56" t="s">
        <v>196</v>
      </c>
      <c r="C6" s="54">
        <f ca="1">OFFSET('Normalized Annual Summary'!$AA$8,COLUMN(C6)-COLUMN($C6),0)</f>
        <v>35429534.452903233</v>
      </c>
      <c r="D6" s="54">
        <f ca="1">OFFSET('Normalized Annual Summary'!$AA$8,COLUMN(D6)-COLUMN($C6),0)</f>
        <v>36931636.277741931</v>
      </c>
      <c r="E6" s="54">
        <f ca="1">OFFSET('Normalized Annual Summary'!$AA$8,COLUMN(E6)-COLUMN($C6),0)</f>
        <v>38058828.017419361</v>
      </c>
      <c r="F6" s="54">
        <f ca="1">OFFSET('Normalized Annual Summary'!$AA$8,COLUMN(F6)-COLUMN($C6),0)</f>
        <v>38655620.090000004</v>
      </c>
      <c r="G6" s="54">
        <f ca="1">OFFSET('Normalized Annual Summary'!$AA$8,COLUMN(G6)-COLUMN($C6),0)</f>
        <v>32586842.712580636</v>
      </c>
      <c r="H6" s="54">
        <f ca="1">OFFSET('Normalized Annual Summary'!$AB$12,COLUMN(H6)-COLUMN($H6),0)</f>
        <v>32586842.712580636</v>
      </c>
      <c r="I6" s="54">
        <f ca="1">OFFSET('Normalized Annual Summary'!$AB$12,COLUMN(I6)-COLUMN($H6),0)</f>
        <v>31681583.38839817</v>
      </c>
      <c r="J6" s="116">
        <f ca="1">OFFSET('Normalized Annual Summary'!$AB$12,COLUMN(J6)-COLUMN($H6),0)</f>
        <v>29865554.020049572</v>
      </c>
    </row>
    <row r="7" spans="2:10" x14ac:dyDescent="0.25">
      <c r="B7" s="117" t="s">
        <v>97</v>
      </c>
      <c r="C7" s="115">
        <f ca="1">OFFSET('Normalized Annual Summary'!$AE$8,COLUMN(C7)-COLUMN($C7),0)</f>
        <v>6205705.2712903218</v>
      </c>
      <c r="D7" s="115">
        <f ca="1">OFFSET('Normalized Annual Summary'!$AE$8,COLUMN(D7)-COLUMN($C7),0)</f>
        <v>6271491.3612118578</v>
      </c>
      <c r="E7" s="115">
        <f ca="1">OFFSET('Normalized Annual Summary'!$AE$8,COLUMN(E7)-COLUMN($C7),0)</f>
        <v>6286757.8567741932</v>
      </c>
      <c r="F7" s="115">
        <f ca="1">OFFSET('Normalized Annual Summary'!$AE$8,COLUMN(F7)-COLUMN($C7),0)</f>
        <v>6227062.8251612904</v>
      </c>
      <c r="G7" s="115">
        <f ca="1">OFFSET('Normalized Annual Summary'!$AE$8,COLUMN(G7)-COLUMN($C7),0)</f>
        <v>4268687.7145161303</v>
      </c>
      <c r="H7" s="115">
        <f ca="1">OFFSET('Normalized Annual Summary'!$AF$12,COLUMN(H7)-COLUMN($H7),0)</f>
        <v>4268687.7145161303</v>
      </c>
      <c r="I7" s="115">
        <f ca="1">OFFSET('Normalized Annual Summary'!$AF$12,COLUMN(I7)-COLUMN($H7),0)</f>
        <v>2799881.59816253</v>
      </c>
      <c r="J7" s="116">
        <f ca="1">OFFSET('Normalized Annual Summary'!$AF$12,COLUMN(J7)-COLUMN($H7),0)</f>
        <v>2799881.59816253</v>
      </c>
    </row>
    <row r="8" spans="2:10" x14ac:dyDescent="0.25">
      <c r="B8" s="117" t="s">
        <v>121</v>
      </c>
      <c r="C8" s="115">
        <f ca="1">OFFSET('Normalized Annual Summary'!$AI$8,COLUMN(C8)-COLUMN($C8),0)</f>
        <v>383993.93000000005</v>
      </c>
      <c r="D8" s="115">
        <f ca="1">OFFSET('Normalized Annual Summary'!$AI$8,COLUMN(D8)-COLUMN($C8),0)</f>
        <v>342834.13</v>
      </c>
      <c r="E8" s="115">
        <f ca="1">OFFSET('Normalized Annual Summary'!$AI$8,COLUMN(E8)-COLUMN($C8),0)</f>
        <v>350517.73</v>
      </c>
      <c r="F8" s="115">
        <f ca="1">OFFSET('Normalized Annual Summary'!$AI$8,COLUMN(F8)-COLUMN($C8),0)</f>
        <v>341135.62</v>
      </c>
      <c r="G8" s="115">
        <f ca="1">OFFSET('Normalized Annual Summary'!$AI$8,COLUMN(G8)-COLUMN($C8),0)</f>
        <v>335758.11000000004</v>
      </c>
      <c r="H8" s="115">
        <f ca="1">OFFSET('Normalized Annual Summary'!$AJ$12,COLUMN(H8)-COLUMN($H8),0)</f>
        <v>335758.11000000004</v>
      </c>
      <c r="I8" s="115">
        <f ca="1">OFFSET('Normalized Annual Summary'!$AJ$12,COLUMN(I8)-COLUMN($H8),0)</f>
        <v>335758.11000000004</v>
      </c>
      <c r="J8" s="116">
        <f ca="1">OFFSET('Normalized Annual Summary'!$AJ$12,COLUMN(J8)-COLUMN($H8),0)</f>
        <v>335758.11000000004</v>
      </c>
    </row>
    <row r="9" spans="2:10" x14ac:dyDescent="0.25">
      <c r="B9" s="117" t="s">
        <v>6</v>
      </c>
      <c r="C9" s="115">
        <f ca="1">OFFSET('Normalized Annual Summary'!$AM$8,COLUMN(C9)-COLUMN($C9),0)</f>
        <v>1558152</v>
      </c>
      <c r="D9" s="115">
        <f ca="1">OFFSET('Normalized Annual Summary'!$AM$8,COLUMN(D9)-COLUMN($C9),0)</f>
        <v>1549960</v>
      </c>
      <c r="E9" s="115">
        <f ca="1">OFFSET('Normalized Annual Summary'!$AM$8,COLUMN(E9)-COLUMN($C9),0)</f>
        <v>1555546</v>
      </c>
      <c r="F9" s="115">
        <f ca="1">OFFSET('Normalized Annual Summary'!$AM$8,COLUMN(F9)-COLUMN($C9),0)</f>
        <v>1558152</v>
      </c>
      <c r="G9" s="115">
        <f ca="1">OFFSET('Normalized Annual Summary'!$AM$8,COLUMN(G9)-COLUMN($C9),0)</f>
        <v>1554368</v>
      </c>
      <c r="H9" s="115">
        <f ca="1">OFFSET('Normalized Annual Summary'!$AN$12,COLUMN(H9)-COLUMN($H9),0)</f>
        <v>1554368</v>
      </c>
      <c r="I9" s="115">
        <f ca="1">OFFSET('Normalized Annual Summary'!$AN$12,COLUMN(I9)-COLUMN($H9),0)</f>
        <v>1554368</v>
      </c>
      <c r="J9" s="116">
        <f ca="1">OFFSET('Normalized Annual Summary'!$AN$12,COLUMN(J9)-COLUMN($H9),0)</f>
        <v>1554368</v>
      </c>
    </row>
    <row r="10" spans="2:10" ht="13.8" thickBot="1" x14ac:dyDescent="0.3">
      <c r="B10" s="57" t="s">
        <v>115</v>
      </c>
      <c r="C10" s="58">
        <f t="shared" ref="C10:J10" ca="1" si="0">SUM(C3:C9)</f>
        <v>527521454.39505774</v>
      </c>
      <c r="D10" s="58">
        <f t="shared" ca="1" si="0"/>
        <v>526053625.32491744</v>
      </c>
      <c r="E10" s="58">
        <f t="shared" ca="1" si="0"/>
        <v>523146226.43966216</v>
      </c>
      <c r="F10" s="58">
        <f t="shared" ca="1" si="0"/>
        <v>528742854.79561979</v>
      </c>
      <c r="G10" s="58">
        <f t="shared" ca="1" si="0"/>
        <v>547976676.43791842</v>
      </c>
      <c r="H10" s="58">
        <f t="shared" ca="1" si="0"/>
        <v>527900141.16451633</v>
      </c>
      <c r="I10" s="58">
        <f t="shared" ca="1" si="0"/>
        <v>528989784.92971063</v>
      </c>
      <c r="J10" s="59">
        <f t="shared" ca="1" si="0"/>
        <v>529961551.5613097</v>
      </c>
    </row>
    <row r="12" spans="2:10" ht="16.2" thickBot="1" x14ac:dyDescent="0.35">
      <c r="B12" s="49" t="s">
        <v>122</v>
      </c>
    </row>
    <row r="13" spans="2:10" ht="26.4" x14ac:dyDescent="0.25">
      <c r="B13" s="50" t="s">
        <v>2</v>
      </c>
      <c r="C13" s="60" t="s">
        <v>185</v>
      </c>
      <c r="D13" s="60" t="s">
        <v>123</v>
      </c>
      <c r="E13" s="61" t="s">
        <v>186</v>
      </c>
    </row>
    <row r="14" spans="2:10" x14ac:dyDescent="0.25">
      <c r="B14" s="53" t="s">
        <v>1</v>
      </c>
      <c r="C14" s="54">
        <f ca="1">J3</f>
        <v>246544005.67413092</v>
      </c>
      <c r="D14" s="54">
        <f>'CDM Adjustments'!D11</f>
        <v>1169887.9710181041</v>
      </c>
      <c r="E14" s="55">
        <f ca="1">C14-D14</f>
        <v>245374117.70311281</v>
      </c>
    </row>
    <row r="15" spans="2:10" x14ac:dyDescent="0.25">
      <c r="B15" s="56" t="s">
        <v>98</v>
      </c>
      <c r="C15" s="54">
        <f ca="1">J4</f>
        <v>65487649.144057497</v>
      </c>
      <c r="D15" s="54">
        <f>'CDM Adjustments'!D12</f>
        <v>2780199.0007697833</v>
      </c>
      <c r="E15" s="55">
        <f t="shared" ref="E15:E20" ca="1" si="1">C15-D15</f>
        <v>62707450.143287711</v>
      </c>
    </row>
    <row r="16" spans="2:10" x14ac:dyDescent="0.25">
      <c r="B16" s="56" t="s">
        <v>99</v>
      </c>
      <c r="C16" s="54">
        <f ca="1">J5</f>
        <v>183374335.01490918</v>
      </c>
      <c r="D16" s="54">
        <f>'CDM Adjustments'!D13</f>
        <v>7094029.0282121133</v>
      </c>
      <c r="E16" s="55">
        <f t="shared" ca="1" si="1"/>
        <v>176280305.98669708</v>
      </c>
    </row>
    <row r="17" spans="2:10" x14ac:dyDescent="0.25">
      <c r="B17" s="56" t="s">
        <v>196</v>
      </c>
      <c r="C17" s="54">
        <f t="shared" ref="C17" ca="1" si="2">J6</f>
        <v>29865554.020049572</v>
      </c>
      <c r="D17" s="54">
        <v>0</v>
      </c>
      <c r="E17" s="55">
        <f t="shared" ca="1" si="1"/>
        <v>29865554.020049572</v>
      </c>
    </row>
    <row r="18" spans="2:10" x14ac:dyDescent="0.25">
      <c r="B18" s="56" t="s">
        <v>97</v>
      </c>
      <c r="C18" s="54">
        <f ca="1">J7</f>
        <v>2799881.59816253</v>
      </c>
      <c r="D18" s="54">
        <v>0</v>
      </c>
      <c r="E18" s="55">
        <f t="shared" ca="1" si="1"/>
        <v>2799881.59816253</v>
      </c>
    </row>
    <row r="19" spans="2:10" x14ac:dyDescent="0.25">
      <c r="B19" s="56" t="s">
        <v>121</v>
      </c>
      <c r="C19" s="54">
        <f ca="1">J8</f>
        <v>335758.11000000004</v>
      </c>
      <c r="D19" s="54">
        <v>0</v>
      </c>
      <c r="E19" s="55">
        <f t="shared" ca="1" si="1"/>
        <v>335758.11000000004</v>
      </c>
    </row>
    <row r="20" spans="2:10" x14ac:dyDescent="0.25">
      <c r="B20" s="56" t="s">
        <v>6</v>
      </c>
      <c r="C20" s="54">
        <f ca="1">J9</f>
        <v>1554368</v>
      </c>
      <c r="D20" s="54">
        <v>0</v>
      </c>
      <c r="E20" s="55">
        <f t="shared" ca="1" si="1"/>
        <v>1554368</v>
      </c>
    </row>
    <row r="21" spans="2:10" ht="13.8" thickBot="1" x14ac:dyDescent="0.3">
      <c r="B21" s="57" t="s">
        <v>115</v>
      </c>
      <c r="C21" s="58">
        <f ca="1">SUM(C14:C20)</f>
        <v>529961551.5613097</v>
      </c>
      <c r="D21" s="58">
        <f>SUM(D14:D20)</f>
        <v>11044116</v>
      </c>
      <c r="E21" s="59">
        <f ca="1">SUM(E14:E20)</f>
        <v>518917435.5613097</v>
      </c>
    </row>
    <row r="23" spans="2:10" ht="16.2" thickBot="1" x14ac:dyDescent="0.35">
      <c r="B23" s="118" t="s">
        <v>117</v>
      </c>
      <c r="C23" s="119"/>
      <c r="D23" s="119"/>
      <c r="E23" s="119"/>
      <c r="F23" s="119"/>
      <c r="G23" s="119"/>
      <c r="H23" s="119"/>
      <c r="I23" s="119"/>
      <c r="J23" s="119"/>
    </row>
    <row r="24" spans="2:10" x14ac:dyDescent="0.25">
      <c r="B24" s="50" t="s">
        <v>5</v>
      </c>
      <c r="C24" s="51" t="s">
        <v>189</v>
      </c>
      <c r="D24" s="51" t="s">
        <v>190</v>
      </c>
      <c r="E24" s="51" t="s">
        <v>118</v>
      </c>
      <c r="F24" s="51" t="s">
        <v>119</v>
      </c>
      <c r="G24" s="51" t="s">
        <v>187</v>
      </c>
      <c r="H24" s="51" t="s">
        <v>188</v>
      </c>
      <c r="I24" s="51" t="s">
        <v>120</v>
      </c>
      <c r="J24" s="52" t="s">
        <v>184</v>
      </c>
    </row>
    <row r="25" spans="2:10" x14ac:dyDescent="0.25">
      <c r="B25" s="117" t="s">
        <v>99</v>
      </c>
      <c r="C25" s="115">
        <f ca="1">OFFSET('kW Forecast'!$E$8,COLUMN()-COLUMN($C25),0)</f>
        <v>416356.88000000006</v>
      </c>
      <c r="D25" s="115">
        <f ca="1">OFFSET('kW Forecast'!$E$8,COLUMN()-COLUMN($C25),0)</f>
        <v>399216.63999999996</v>
      </c>
      <c r="E25" s="115">
        <f ca="1">OFFSET('kW Forecast'!$E$8,COLUMN()-COLUMN($C25),0)</f>
        <v>394614.24000000005</v>
      </c>
      <c r="F25" s="115">
        <f ca="1">OFFSET('kW Forecast'!$E$8,COLUMN()-COLUMN($C25),0)</f>
        <v>459153.48000000004</v>
      </c>
      <c r="G25" s="115">
        <f ca="1">OFFSET('kW Forecast'!$E$8,COLUMN()-COLUMN($C25),0)</f>
        <v>476120.7200000002</v>
      </c>
      <c r="H25" s="115">
        <f ca="1">OFFSET('kW Forecast'!$E$16,COLUMN()-COLUMN($H25),0)</f>
        <v>443797.93097847613</v>
      </c>
      <c r="I25" s="115">
        <f ca="1">OFFSET('kW Forecast'!$E$16,COLUMN()-COLUMN($H25),0)</f>
        <v>455239.18123831588</v>
      </c>
      <c r="J25" s="116">
        <f ca="1">OFFSET('kW Forecast'!$E$16,COLUMN()-COLUMN($H25),0)</f>
        <v>464211.76529166929</v>
      </c>
    </row>
    <row r="26" spans="2:10" x14ac:dyDescent="0.25">
      <c r="B26" s="117" t="s">
        <v>196</v>
      </c>
      <c r="C26" s="115">
        <f ca="1">OFFSET('kW Forecast'!$J$8,COLUMN()-COLUMN($C26),0)</f>
        <v>109304.33000000002</v>
      </c>
      <c r="D26" s="115">
        <f ca="1">OFFSET('kW Forecast'!$J$8,COLUMN()-COLUMN($C26),0)</f>
        <v>96078.09</v>
      </c>
      <c r="E26" s="115">
        <f ca="1">OFFSET('kW Forecast'!$J$8,COLUMN()-COLUMN($C26),0)</f>
        <v>84452.550000000017</v>
      </c>
      <c r="F26" s="115">
        <f ca="1">OFFSET('kW Forecast'!$J$8,COLUMN()-COLUMN($C26),0)</f>
        <v>106797.81999999999</v>
      </c>
      <c r="G26" s="115">
        <f ca="1">OFFSET('kW Forecast'!$J$8,COLUMN()-COLUMN($C26),0)</f>
        <v>87828.409999999989</v>
      </c>
      <c r="H26" s="115">
        <f ca="1">OFFSET('kW Forecast'!$J$16,COLUMN()-COLUMN($H26),0)</f>
        <v>88237.687973621971</v>
      </c>
      <c r="I26" s="115">
        <f ca="1">OFFSET('kW Forecast'!$J$16,COLUMN()-COLUMN($H26),0)</f>
        <v>85786.453575525884</v>
      </c>
      <c r="J26" s="116">
        <f ca="1">OFFSET('kW Forecast'!$J$16,COLUMN()-COLUMN($H26),0)</f>
        <v>80869.063014905129</v>
      </c>
    </row>
    <row r="27" spans="2:10" x14ac:dyDescent="0.25">
      <c r="B27" s="117" t="s">
        <v>97</v>
      </c>
      <c r="C27" s="115">
        <f ca="1">OFFSET('kW Forecast'!$O$8,COLUMN()-COLUMN($C27),0)</f>
        <v>18742.059999999998</v>
      </c>
      <c r="D27" s="115">
        <f ca="1">OFFSET('kW Forecast'!$O$8,COLUMN()-COLUMN($C27),0)</f>
        <v>19025.439999999999</v>
      </c>
      <c r="E27" s="115">
        <f ca="1">OFFSET('kW Forecast'!$O$8,COLUMN()-COLUMN($C27),0)</f>
        <v>15872.32</v>
      </c>
      <c r="F27" s="115">
        <f ca="1">OFFSET('kW Forecast'!$O$8,COLUMN()-COLUMN($C27),0)</f>
        <v>18022.68</v>
      </c>
      <c r="G27" s="115">
        <f ca="1">OFFSET('kW Forecast'!$O$8,COLUMN()-COLUMN($C27),0)</f>
        <v>13490.02</v>
      </c>
      <c r="H27" s="115">
        <f ca="1">OFFSET('kW Forecast'!$O$16,COLUMN()-COLUMN($H27),0)</f>
        <v>13490.02</v>
      </c>
      <c r="I27" s="115">
        <f ca="1">OFFSET('kW Forecast'!$O$16,COLUMN()-COLUMN($H27),0)</f>
        <v>8848.26</v>
      </c>
      <c r="J27" s="116">
        <f ca="1">OFFSET('kW Forecast'!$O$16,COLUMN()-COLUMN($H27),0)</f>
        <v>8848.26</v>
      </c>
    </row>
    <row r="28" spans="2:10" x14ac:dyDescent="0.25">
      <c r="B28" s="117" t="s">
        <v>121</v>
      </c>
      <c r="C28" s="115">
        <f ca="1">OFFSET('kW Forecast'!$T$8,COLUMN()-COLUMN($C28),0)</f>
        <v>2100</v>
      </c>
      <c r="D28" s="115">
        <f ca="1">OFFSET('kW Forecast'!$T$8,COLUMN()-COLUMN($C28),0)</f>
        <v>2100</v>
      </c>
      <c r="E28" s="115">
        <f ca="1">OFFSET('kW Forecast'!$T$8,COLUMN()-COLUMN($C28),0)</f>
        <v>2068</v>
      </c>
      <c r="F28" s="115">
        <f ca="1">OFFSET('kW Forecast'!$T$8,COLUMN()-COLUMN($C28),0)</f>
        <v>2088</v>
      </c>
      <c r="G28" s="115">
        <f ca="1">OFFSET('kW Forecast'!$T$8,COLUMN()-COLUMN($C28),0)</f>
        <v>2080</v>
      </c>
      <c r="H28" s="115">
        <f ca="1">OFFSET('kW Forecast'!$T$16,COLUMN()-COLUMN($H28),0)</f>
        <v>2080</v>
      </c>
      <c r="I28" s="115">
        <f ca="1">OFFSET('kW Forecast'!$T$16,COLUMN()-COLUMN($H28),0)</f>
        <v>2080</v>
      </c>
      <c r="J28" s="116">
        <f ca="1">OFFSET('kW Forecast'!$T$16,COLUMN()-COLUMN($H28),0)</f>
        <v>2080</v>
      </c>
    </row>
    <row r="29" spans="2:10" ht="13.8" thickBot="1" x14ac:dyDescent="0.3">
      <c r="B29" s="57" t="s">
        <v>115</v>
      </c>
      <c r="C29" s="58">
        <f t="shared" ref="C29:J29" ca="1" si="3">SUM(C25:C28)</f>
        <v>546503.27</v>
      </c>
      <c r="D29" s="58">
        <f t="shared" ca="1" si="3"/>
        <v>516420.17</v>
      </c>
      <c r="E29" s="58">
        <f t="shared" ca="1" si="3"/>
        <v>497007.11000000004</v>
      </c>
      <c r="F29" s="58">
        <f t="shared" ca="1" si="3"/>
        <v>586061.9800000001</v>
      </c>
      <c r="G29" s="58">
        <f t="shared" ca="1" si="3"/>
        <v>579519.15000000026</v>
      </c>
      <c r="H29" s="58">
        <f t="shared" ca="1" si="3"/>
        <v>547605.63895209809</v>
      </c>
      <c r="I29" s="58">
        <f t="shared" ca="1" si="3"/>
        <v>551953.89481384179</v>
      </c>
      <c r="J29" s="59">
        <f t="shared" ca="1" si="3"/>
        <v>556009.08830657438</v>
      </c>
    </row>
    <row r="31" spans="2:10" ht="16.2" thickBot="1" x14ac:dyDescent="0.35">
      <c r="B31" s="49" t="s">
        <v>122</v>
      </c>
    </row>
    <row r="32" spans="2:10" ht="26.4" x14ac:dyDescent="0.25">
      <c r="B32" s="50" t="s">
        <v>5</v>
      </c>
      <c r="C32" s="60" t="s">
        <v>185</v>
      </c>
      <c r="D32" s="60" t="s">
        <v>123</v>
      </c>
      <c r="E32" s="61" t="s">
        <v>186</v>
      </c>
    </row>
    <row r="33" spans="2:9" x14ac:dyDescent="0.25">
      <c r="B33" s="56" t="s">
        <v>99</v>
      </c>
      <c r="C33" s="54">
        <f ca="1">J25</f>
        <v>464211.76529166929</v>
      </c>
      <c r="D33" s="54">
        <f ca="1">'CDM Adjustments'!M11</f>
        <v>17958.520410988502</v>
      </c>
      <c r="E33" s="55">
        <f ca="1">C33-D33</f>
        <v>446253.24488068081</v>
      </c>
    </row>
    <row r="34" spans="2:9" x14ac:dyDescent="0.25">
      <c r="B34" s="56" t="s">
        <v>196</v>
      </c>
      <c r="C34" s="54">
        <f ca="1">J26</f>
        <v>80869.063014905129</v>
      </c>
      <c r="D34" s="54">
        <v>0</v>
      </c>
      <c r="E34" s="55">
        <f t="shared" ref="E34" ca="1" si="4">C34-D34</f>
        <v>80869.063014905129</v>
      </c>
    </row>
    <row r="35" spans="2:9" x14ac:dyDescent="0.25">
      <c r="B35" s="56" t="s">
        <v>97</v>
      </c>
      <c r="C35" s="54">
        <f ca="1">J27</f>
        <v>8848.26</v>
      </c>
      <c r="D35" s="54">
        <v>0</v>
      </c>
      <c r="E35" s="55">
        <f ca="1">C35-D35</f>
        <v>8848.26</v>
      </c>
    </row>
    <row r="36" spans="2:9" x14ac:dyDescent="0.25">
      <c r="B36" s="56" t="s">
        <v>121</v>
      </c>
      <c r="C36" s="54">
        <f ca="1">J28</f>
        <v>2080</v>
      </c>
      <c r="D36" s="54">
        <v>0</v>
      </c>
      <c r="E36" s="55">
        <f ca="1">C36-D36</f>
        <v>2080</v>
      </c>
    </row>
    <row r="37" spans="2:9" ht="13.8" thickBot="1" x14ac:dyDescent="0.3">
      <c r="B37" s="57" t="s">
        <v>115</v>
      </c>
      <c r="C37" s="58">
        <f ca="1">SUM(C33:C36)</f>
        <v>556009.08830657438</v>
      </c>
      <c r="D37" s="58">
        <f ca="1">SUM(D33:D36)</f>
        <v>17958.520410988502</v>
      </c>
      <c r="E37" s="59">
        <f ca="1">SUM(E33:E36)</f>
        <v>538050.5678955859</v>
      </c>
    </row>
    <row r="39" spans="2:9" ht="16.2" thickBot="1" x14ac:dyDescent="0.35">
      <c r="B39" s="118" t="s">
        <v>124</v>
      </c>
      <c r="C39" s="119"/>
      <c r="D39" s="119"/>
      <c r="E39" s="119"/>
      <c r="F39" s="119"/>
      <c r="G39" s="119"/>
      <c r="H39" s="119"/>
      <c r="I39" s="119"/>
    </row>
    <row r="40" spans="2:9" x14ac:dyDescent="0.25">
      <c r="B40" s="50" t="s">
        <v>5</v>
      </c>
      <c r="C40" s="51" t="s">
        <v>189</v>
      </c>
      <c r="D40" s="51" t="s">
        <v>190</v>
      </c>
      <c r="E40" s="51" t="s">
        <v>118</v>
      </c>
      <c r="F40" s="51" t="s">
        <v>119</v>
      </c>
      <c r="G40" s="51" t="s">
        <v>187</v>
      </c>
      <c r="H40" s="51" t="s">
        <v>120</v>
      </c>
      <c r="I40" s="52" t="s">
        <v>184</v>
      </c>
    </row>
    <row r="41" spans="2:9" x14ac:dyDescent="0.25">
      <c r="B41" s="114" t="s">
        <v>1</v>
      </c>
      <c r="C41" s="115">
        <f ca="1">OFFSET('Connection count '!$C$7,COLUMN()-COLUMN($C41),0)</f>
        <v>26337</v>
      </c>
      <c r="D41" s="115">
        <f ca="1">OFFSET('Connection count '!$C$7,COLUMN()-COLUMN($C41),0)</f>
        <v>26466.416666666668</v>
      </c>
      <c r="E41" s="115">
        <f ca="1">OFFSET('Connection count '!$C$7,COLUMN()-COLUMN($C41),0)</f>
        <v>26590.166666666668</v>
      </c>
      <c r="F41" s="115">
        <f ca="1">OFFSET('Connection count '!$C$7,COLUMN()-COLUMN($C41),0)</f>
        <v>26815.083333333332</v>
      </c>
      <c r="G41" s="115">
        <f ca="1">OFFSET('Connection count '!$C$7,COLUMN()-COLUMN($C41),0)</f>
        <v>27136.833333333332</v>
      </c>
      <c r="H41" s="115">
        <f ca="1">OFFSET('Connection count '!$C$7,COLUMN()-COLUMN($C41),0)</f>
        <v>27309.765643628656</v>
      </c>
      <c r="I41" s="116">
        <f ca="1">OFFSET('Connection count '!$C$7,COLUMN()-COLUMN($C41),0)</f>
        <v>27483.799983168759</v>
      </c>
    </row>
    <row r="42" spans="2:9" x14ac:dyDescent="0.25">
      <c r="B42" s="117" t="s">
        <v>98</v>
      </c>
      <c r="C42" s="115">
        <f ca="1">OFFSET('Connection count '!$G$7,COLUMN()-COLUMN($C42),0)</f>
        <v>1906.1666666666667</v>
      </c>
      <c r="D42" s="115">
        <f ca="1">OFFSET('Connection count '!$G$7,COLUMN()-COLUMN($C42),0)</f>
        <v>1904.25</v>
      </c>
      <c r="E42" s="115">
        <f ca="1">OFFSET('Connection count '!$G$7,COLUMN()-COLUMN($C42),0)</f>
        <v>1909.75</v>
      </c>
      <c r="F42" s="115">
        <f ca="1">OFFSET('Connection count '!$G$7,COLUMN()-COLUMN($C42),0)</f>
        <v>1935.6666666666667</v>
      </c>
      <c r="G42" s="115">
        <f ca="1">OFFSET('Connection count '!$G$7,COLUMN()-COLUMN($C42),0)</f>
        <v>1952.9166666666667</v>
      </c>
      <c r="H42" s="115">
        <f ca="1">OFFSET('Connection count '!$G$7,COLUMN()-COLUMN($C42),0)</f>
        <v>1965.1083512868604</v>
      </c>
      <c r="I42" s="116">
        <f ca="1">OFFSET('Connection count '!$G$7,COLUMN()-COLUMN($C42),0)</f>
        <v>1977.3761462585171</v>
      </c>
    </row>
    <row r="43" spans="2:9" x14ac:dyDescent="0.25">
      <c r="B43" s="117" t="s">
        <v>99</v>
      </c>
      <c r="C43" s="115">
        <f ca="1">OFFSET('Connection count '!$K$7,COLUMN()-COLUMN($C43),0)</f>
        <v>208.25</v>
      </c>
      <c r="D43" s="115">
        <f ca="1">OFFSET('Connection count '!$K$7,COLUMN()-COLUMN($C43),0)</f>
        <v>208.08333333333334</v>
      </c>
      <c r="E43" s="115">
        <f ca="1">OFFSET('Connection count '!$K$7,COLUMN()-COLUMN($C43),0)</f>
        <v>211.41666666666666</v>
      </c>
      <c r="F43" s="115">
        <f ca="1">OFFSET('Connection count '!$K$7,COLUMN()-COLUMN($C43),0)</f>
        <v>211.91666666666666</v>
      </c>
      <c r="G43" s="115">
        <f ca="1">OFFSET('Connection count '!$K$7,COLUMN()-COLUMN($C43),0)</f>
        <v>219.58333333333334</v>
      </c>
      <c r="H43" s="115">
        <f ca="1">OFFSET('Connection count '!$K$7,COLUMN()-COLUMN($C43),0)</f>
        <v>219.32267070024369</v>
      </c>
      <c r="I43" s="116">
        <f ca="1">OFFSET('Connection count '!$K$7,COLUMN()-COLUMN($C43),0)</f>
        <v>219.06231749413675</v>
      </c>
    </row>
    <row r="44" spans="2:9" x14ac:dyDescent="0.25">
      <c r="B44" s="117" t="s">
        <v>196</v>
      </c>
      <c r="C44" s="115">
        <f ca="1">OFFSET('Connection count '!$O$7,COLUMN()-COLUMN($C44),0)</f>
        <v>7</v>
      </c>
      <c r="D44" s="115">
        <f ca="1">OFFSET('Connection count '!$O$7,COLUMN()-COLUMN($C44),0)</f>
        <v>6.333333333333333</v>
      </c>
      <c r="E44" s="115">
        <f ca="1">OFFSET('Connection count '!$O$7,COLUMN()-COLUMN($C44),0)</f>
        <v>6</v>
      </c>
      <c r="F44" s="115">
        <f ca="1">OFFSET('Connection count '!$O$7,COLUMN()-COLUMN($C44),0)</f>
        <v>5.666666666666667</v>
      </c>
      <c r="G44" s="115">
        <f ca="1">OFFSET('Connection count '!$O$7,COLUMN()-COLUMN($C44),0)</f>
        <v>3</v>
      </c>
      <c r="H44" s="115">
        <f ca="1">OFFSET('Connection count '!$O$7,COLUMN()-COLUMN($C44),0)</f>
        <v>3</v>
      </c>
      <c r="I44" s="116">
        <f ca="1">OFFSET('Connection count '!$O$7,COLUMN()-COLUMN($C44),0)</f>
        <v>3</v>
      </c>
    </row>
    <row r="45" spans="2:9" x14ac:dyDescent="0.25">
      <c r="B45" s="117" t="s">
        <v>97</v>
      </c>
      <c r="C45" s="115">
        <f ca="1">OFFSET('Connection count '!$S$7,COLUMN()-COLUMN($C45),0)</f>
        <v>2474.4166666666665</v>
      </c>
      <c r="D45" s="115">
        <f ca="1">OFFSET('Connection count '!$S$7,COLUMN()-COLUMN($C45),0)</f>
        <v>2620.9166666666665</v>
      </c>
      <c r="E45" s="115">
        <f ca="1">OFFSET('Connection count '!$S$7,COLUMN()-COLUMN($C45),0)</f>
        <v>2712.8333333333335</v>
      </c>
      <c r="F45" s="115">
        <f ca="1">OFFSET('Connection count '!$S$7,COLUMN()-COLUMN($C45),0)</f>
        <v>2700.5833333333335</v>
      </c>
      <c r="G45" s="115">
        <f ca="1">OFFSET('Connection count '!$S$7,COLUMN()-COLUMN($C45),0)</f>
        <v>2719.6666666666665</v>
      </c>
      <c r="H45" s="115">
        <f ca="1">OFFSET('Connection count '!$S$7,COLUMN()-COLUMN($C45),0)</f>
        <v>2740</v>
      </c>
      <c r="I45" s="116">
        <f ca="1">OFFSET('Connection count '!$S$7,COLUMN()-COLUMN($C45),0)</f>
        <v>2740</v>
      </c>
    </row>
    <row r="46" spans="2:9" x14ac:dyDescent="0.25">
      <c r="B46" s="117" t="s">
        <v>121</v>
      </c>
      <c r="C46" s="115">
        <f ca="1">OFFSET('Connection count '!$V$7,COLUMN()-COLUMN($C46),0)</f>
        <v>175</v>
      </c>
      <c r="D46" s="115">
        <f ca="1">OFFSET('Connection count '!$V$7,COLUMN()-COLUMN($C46),0)</f>
        <v>175</v>
      </c>
      <c r="E46" s="115">
        <f ca="1">OFFSET('Connection count '!$V$7,COLUMN()-COLUMN($C46),0)</f>
        <v>172.33333333333334</v>
      </c>
      <c r="F46" s="115">
        <f ca="1">OFFSET('Connection count '!$V$7,COLUMN()-COLUMN($C46),0)</f>
        <v>174</v>
      </c>
      <c r="G46" s="115">
        <f ca="1">OFFSET('Connection count '!$V$7,COLUMN()-COLUMN($C46),0)</f>
        <v>173.33333333333334</v>
      </c>
      <c r="H46" s="115">
        <f ca="1">OFFSET('Connection count '!$V$7,COLUMN()-COLUMN($C46),0)</f>
        <v>173.33333333333334</v>
      </c>
      <c r="I46" s="116">
        <f ca="1">OFFSET('Connection count '!$V$7,COLUMN()-COLUMN($C46),0)</f>
        <v>173.33333333333334</v>
      </c>
    </row>
    <row r="47" spans="2:9" x14ac:dyDescent="0.25">
      <c r="B47" s="117" t="s">
        <v>6</v>
      </c>
      <c r="C47" s="115">
        <f ca="1">OFFSET('Connection count '!$Y$7,COLUMN()-COLUMN($C47),0)</f>
        <v>141</v>
      </c>
      <c r="D47" s="115">
        <f ca="1">OFFSET('Connection count '!$Y$7,COLUMN()-COLUMN($C47),0)</f>
        <v>139.91666666666666</v>
      </c>
      <c r="E47" s="115">
        <f ca="1">OFFSET('Connection count '!$Y$7,COLUMN()-COLUMN($C47),0)</f>
        <v>139.83333333333334</v>
      </c>
      <c r="F47" s="115">
        <f ca="1">OFFSET('Connection count '!$Y$7,COLUMN()-COLUMN($C47),0)</f>
        <v>141</v>
      </c>
      <c r="G47" s="115">
        <f ca="1">OFFSET('Connection count '!$Y$7,COLUMN()-COLUMN($C47),0)</f>
        <v>139.66666666666666</v>
      </c>
      <c r="H47" s="115">
        <f ca="1">OFFSET('Connection count '!$Y$7,COLUMN()-COLUMN($C47),0)</f>
        <v>139.66666666666666</v>
      </c>
      <c r="I47" s="116">
        <f ca="1">OFFSET('Connection count '!$Y$7,COLUMN()-COLUMN($C47),0)</f>
        <v>139.66666666666666</v>
      </c>
    </row>
    <row r="48" spans="2:9" ht="13.8" thickBot="1" x14ac:dyDescent="0.3">
      <c r="B48" s="57" t="s">
        <v>115</v>
      </c>
      <c r="C48" s="58">
        <f t="shared" ref="C48:I48" ca="1" si="5">SUM(C41:C47)</f>
        <v>31248.833333333336</v>
      </c>
      <c r="D48" s="58">
        <f t="shared" ca="1" si="5"/>
        <v>31520.916666666668</v>
      </c>
      <c r="E48" s="58">
        <f t="shared" ca="1" si="5"/>
        <v>31742.333333333332</v>
      </c>
      <c r="F48" s="58">
        <f t="shared" ca="1" si="5"/>
        <v>31983.916666666668</v>
      </c>
      <c r="G48" s="58">
        <f t="shared" ca="1" si="5"/>
        <v>32345</v>
      </c>
      <c r="H48" s="58">
        <f t="shared" ca="1" si="5"/>
        <v>32550.19666561576</v>
      </c>
      <c r="I48" s="59">
        <f t="shared" ca="1" si="5"/>
        <v>32736.238446921412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0"/>
  <sheetViews>
    <sheetView topLeftCell="A44" workbookViewId="0">
      <selection activeCell="L83" sqref="L83"/>
    </sheetView>
  </sheetViews>
  <sheetFormatPr defaultRowHeight="14.4" x14ac:dyDescent="0.3"/>
  <cols>
    <col min="2" max="2" width="19.77734375" customWidth="1"/>
    <col min="3" max="3" width="11.21875" customWidth="1"/>
    <col min="5" max="5" width="12" bestFit="1" customWidth="1"/>
  </cols>
  <sheetData>
    <row r="1" spans="2:14" x14ac:dyDescent="0.3">
      <c r="B1" t="s">
        <v>141</v>
      </c>
    </row>
    <row r="2" spans="2:14" x14ac:dyDescent="0.3"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4" x14ac:dyDescent="0.3">
      <c r="B3" t="s">
        <v>143</v>
      </c>
      <c r="C3">
        <v>2009</v>
      </c>
      <c r="D3">
        <f t="shared" ref="D3:L3" si="0">C3+1</f>
        <v>2010</v>
      </c>
      <c r="E3">
        <f t="shared" si="0"/>
        <v>2011</v>
      </c>
      <c r="F3">
        <f t="shared" si="0"/>
        <v>2012</v>
      </c>
      <c r="G3">
        <f t="shared" si="0"/>
        <v>2013</v>
      </c>
      <c r="H3">
        <f t="shared" si="0"/>
        <v>2014</v>
      </c>
      <c r="I3">
        <f t="shared" si="0"/>
        <v>2015</v>
      </c>
      <c r="J3">
        <f t="shared" si="0"/>
        <v>2016</v>
      </c>
      <c r="K3">
        <f t="shared" si="0"/>
        <v>2017</v>
      </c>
      <c r="L3">
        <f t="shared" si="0"/>
        <v>2018</v>
      </c>
    </row>
    <row r="4" spans="2:14" x14ac:dyDescent="0.3">
      <c r="B4">
        <v>2009</v>
      </c>
      <c r="C4">
        <v>3287879.1590308002</v>
      </c>
      <c r="D4">
        <v>2959889.4112171498</v>
      </c>
      <c r="E4">
        <v>2959889.4112171498</v>
      </c>
      <c r="F4">
        <v>2959191.4812846701</v>
      </c>
      <c r="G4">
        <v>2947487.7653675</v>
      </c>
      <c r="H4">
        <v>2899746.4431029698</v>
      </c>
      <c r="I4">
        <v>2837903.4449383402</v>
      </c>
      <c r="J4">
        <v>2836554.07510019</v>
      </c>
      <c r="K4">
        <v>2068228.8063085999</v>
      </c>
      <c r="L4">
        <v>1189123.0928114101</v>
      </c>
    </row>
    <row r="5" spans="2:14" x14ac:dyDescent="0.3">
      <c r="B5">
        <v>2010</v>
      </c>
      <c r="C5">
        <v>0</v>
      </c>
      <c r="D5">
        <v>1830797.1997946701</v>
      </c>
      <c r="E5">
        <v>1241575.6867436999</v>
      </c>
      <c r="F5">
        <v>1237895.28187136</v>
      </c>
      <c r="G5">
        <v>1237618.4114628199</v>
      </c>
      <c r="H5">
        <v>1219465.81565578</v>
      </c>
      <c r="I5">
        <v>1110377.7150829299</v>
      </c>
      <c r="J5">
        <v>1096750.51071574</v>
      </c>
      <c r="K5">
        <v>988966.42838938499</v>
      </c>
      <c r="L5">
        <v>761324.111822012</v>
      </c>
    </row>
    <row r="7" spans="2:14" x14ac:dyDescent="0.3">
      <c r="B7" t="s">
        <v>130</v>
      </c>
      <c r="C7">
        <v>31430</v>
      </c>
    </row>
    <row r="8" spans="2:14" x14ac:dyDescent="0.3">
      <c r="B8" t="s">
        <v>131</v>
      </c>
      <c r="C8">
        <v>3819.71</v>
      </c>
    </row>
    <row r="9" spans="2:14" x14ac:dyDescent="0.3">
      <c r="B9" t="s">
        <v>132</v>
      </c>
      <c r="C9">
        <f>C7-C8</f>
        <v>27610.29</v>
      </c>
    </row>
    <row r="10" spans="2:14" x14ac:dyDescent="0.3">
      <c r="B10" t="s">
        <v>133</v>
      </c>
      <c r="C10">
        <f>C9/5</f>
        <v>5522.058</v>
      </c>
    </row>
    <row r="12" spans="2:14" x14ac:dyDescent="0.3">
      <c r="B12" t="s">
        <v>134</v>
      </c>
    </row>
    <row r="13" spans="2:14" x14ac:dyDescent="0.3">
      <c r="C13" s="120"/>
      <c r="D13" s="120"/>
      <c r="E13" s="120"/>
      <c r="F13" s="120"/>
      <c r="G13" s="120"/>
      <c r="H13" s="120"/>
      <c r="I13" s="120"/>
      <c r="J13" s="120"/>
      <c r="K13" s="120"/>
      <c r="L13" s="120"/>
    </row>
    <row r="14" spans="2:14" x14ac:dyDescent="0.3">
      <c r="B14" t="s">
        <v>144</v>
      </c>
      <c r="C14">
        <v>2009</v>
      </c>
      <c r="D14">
        <f t="shared" ref="D14:L14" si="1">C14+1</f>
        <v>2010</v>
      </c>
      <c r="E14">
        <f t="shared" si="1"/>
        <v>2011</v>
      </c>
      <c r="F14">
        <f t="shared" si="1"/>
        <v>2012</v>
      </c>
      <c r="G14">
        <f t="shared" si="1"/>
        <v>2013</v>
      </c>
      <c r="H14">
        <f t="shared" si="1"/>
        <v>2014</v>
      </c>
      <c r="I14">
        <f t="shared" si="1"/>
        <v>2015</v>
      </c>
      <c r="J14">
        <f t="shared" si="1"/>
        <v>2016</v>
      </c>
      <c r="K14">
        <f t="shared" si="1"/>
        <v>2017</v>
      </c>
      <c r="L14">
        <f t="shared" si="1"/>
        <v>2018</v>
      </c>
      <c r="N14" t="s">
        <v>135</v>
      </c>
    </row>
    <row r="15" spans="2:14" x14ac:dyDescent="0.3">
      <c r="B15">
        <v>2011</v>
      </c>
      <c r="E15">
        <v>829314.54312409484</v>
      </c>
      <c r="F15">
        <v>829314.54312409484</v>
      </c>
      <c r="G15">
        <v>829314.54312409484</v>
      </c>
      <c r="H15">
        <v>827312.5281787049</v>
      </c>
      <c r="I15">
        <v>789121.71410089894</v>
      </c>
      <c r="J15">
        <v>722650.49001296412</v>
      </c>
      <c r="K15">
        <v>661767.06434641941</v>
      </c>
      <c r="L15">
        <v>660820.63699511695</v>
      </c>
    </row>
    <row r="16" spans="2:14" x14ac:dyDescent="0.3">
      <c r="B16">
        <f>B15+1</f>
        <v>2012</v>
      </c>
      <c r="E16">
        <v>-54023.284301090185</v>
      </c>
      <c r="F16">
        <v>487794.88012521784</v>
      </c>
      <c r="G16">
        <v>487794.88058298151</v>
      </c>
      <c r="H16">
        <v>487794.88058298151</v>
      </c>
      <c r="I16">
        <v>487603.92025510618</v>
      </c>
      <c r="J16">
        <v>457695.66655077535</v>
      </c>
      <c r="K16">
        <v>412053.04910819349</v>
      </c>
      <c r="L16">
        <v>352049.33192057267</v>
      </c>
    </row>
    <row r="17" spans="2:14" x14ac:dyDescent="0.3">
      <c r="B17">
        <f>B16+1</f>
        <v>2013</v>
      </c>
      <c r="F17">
        <v>5381.7411882030692</v>
      </c>
      <c r="G17">
        <v>798261.29258507828</v>
      </c>
      <c r="H17">
        <v>788886.06940453139</v>
      </c>
      <c r="I17">
        <v>770008.34556074138</v>
      </c>
      <c r="J17">
        <v>707457.94912564149</v>
      </c>
      <c r="K17">
        <v>677970.65311223618</v>
      </c>
      <c r="L17">
        <v>660157.67103651899</v>
      </c>
    </row>
    <row r="18" spans="2:14" x14ac:dyDescent="0.3">
      <c r="B18">
        <f>B17+1</f>
        <v>2014</v>
      </c>
      <c r="G18">
        <v>8848.6797703000011</v>
      </c>
      <c r="H18">
        <v>1370643.644254345</v>
      </c>
      <c r="I18">
        <v>1251265.600929345</v>
      </c>
      <c r="J18">
        <v>1189159.3556603447</v>
      </c>
      <c r="K18">
        <v>1188951.2674943449</v>
      </c>
      <c r="L18">
        <v>1171680.5665873368</v>
      </c>
    </row>
    <row r="19" spans="2:14" x14ac:dyDescent="0.3">
      <c r="B19">
        <f>B18+1</f>
        <v>2015</v>
      </c>
      <c r="I19">
        <v>1356938</v>
      </c>
      <c r="J19">
        <v>731956</v>
      </c>
      <c r="K19">
        <v>731956</v>
      </c>
      <c r="L19">
        <v>731956</v>
      </c>
    </row>
    <row r="20" spans="2:14" x14ac:dyDescent="0.3">
      <c r="B20">
        <v>2016</v>
      </c>
      <c r="J20">
        <f>$C$10*I19/SUM($I$19,$I$31,$I$43)</f>
        <v>584.94398550905203</v>
      </c>
      <c r="K20">
        <f>J20</f>
        <v>584.94398550905203</v>
      </c>
      <c r="L20">
        <f>K20</f>
        <v>584.94398550905203</v>
      </c>
    </row>
    <row r="21" spans="2:14" x14ac:dyDescent="0.3">
      <c r="B21" t="s">
        <v>115</v>
      </c>
      <c r="C21">
        <f t="shared" ref="C21:H21" si="2">SUM(C15:C19)</f>
        <v>0</v>
      </c>
      <c r="D21">
        <f t="shared" si="2"/>
        <v>0</v>
      </c>
      <c r="E21">
        <f t="shared" si="2"/>
        <v>775291.25882300467</v>
      </c>
      <c r="F21">
        <f t="shared" si="2"/>
        <v>1322491.1644375157</v>
      </c>
      <c r="G21">
        <f t="shared" si="2"/>
        <v>2124219.3960624547</v>
      </c>
      <c r="H21">
        <f t="shared" si="2"/>
        <v>3474637.1224205629</v>
      </c>
      <c r="I21">
        <f>SUM(I15:I20)</f>
        <v>4654937.5808460917</v>
      </c>
      <c r="J21">
        <f>SUM(J15:J20)</f>
        <v>3809504.4053352349</v>
      </c>
      <c r="K21">
        <f>SUM(K15:K20)</f>
        <v>3673282.9780467032</v>
      </c>
      <c r="L21">
        <f>SUM(L15:L20)</f>
        <v>3577249.1505250544</v>
      </c>
    </row>
    <row r="24" spans="2:14" x14ac:dyDescent="0.3">
      <c r="B24" t="s">
        <v>137</v>
      </c>
    </row>
    <row r="25" spans="2:14" x14ac:dyDescent="0.3">
      <c r="C25" s="120"/>
      <c r="D25" s="120"/>
      <c r="E25" s="120"/>
      <c r="F25" s="120"/>
      <c r="G25" s="120"/>
      <c r="H25" s="120"/>
      <c r="I25" s="120"/>
      <c r="J25" s="120"/>
      <c r="K25" s="120"/>
      <c r="L25" s="120"/>
    </row>
    <row r="26" spans="2:14" x14ac:dyDescent="0.3">
      <c r="B26" t="s">
        <v>144</v>
      </c>
      <c r="C26">
        <v>2009</v>
      </c>
      <c r="D26">
        <f t="shared" ref="D26:L26" si="3">C26+1</f>
        <v>2010</v>
      </c>
      <c r="E26">
        <f t="shared" si="3"/>
        <v>2011</v>
      </c>
      <c r="F26">
        <f t="shared" si="3"/>
        <v>2012</v>
      </c>
      <c r="G26">
        <f t="shared" si="3"/>
        <v>2013</v>
      </c>
      <c r="H26">
        <f t="shared" si="3"/>
        <v>2014</v>
      </c>
      <c r="I26">
        <f t="shared" si="3"/>
        <v>2015</v>
      </c>
      <c r="J26">
        <f t="shared" si="3"/>
        <v>2016</v>
      </c>
      <c r="K26">
        <f t="shared" si="3"/>
        <v>2017</v>
      </c>
      <c r="L26">
        <f t="shared" si="3"/>
        <v>2018</v>
      </c>
    </row>
    <row r="27" spans="2:14" x14ac:dyDescent="0.3">
      <c r="B27">
        <v>2011</v>
      </c>
      <c r="E27">
        <v>542276.46992908849</v>
      </c>
      <c r="F27">
        <v>534932.46292908851</v>
      </c>
      <c r="G27">
        <v>534932.46292908851</v>
      </c>
      <c r="H27">
        <v>482915.22418942675</v>
      </c>
      <c r="I27">
        <v>482915.22418942675</v>
      </c>
      <c r="J27">
        <v>479496.99548441294</v>
      </c>
      <c r="K27">
        <v>412963.37363857043</v>
      </c>
      <c r="L27">
        <v>412963.37363857043</v>
      </c>
      <c r="N27" t="s">
        <v>136</v>
      </c>
    </row>
    <row r="28" spans="2:14" x14ac:dyDescent="0.3">
      <c r="B28">
        <f>B27+1</f>
        <v>2012</v>
      </c>
      <c r="F28">
        <v>1646693.2666431805</v>
      </c>
      <c r="G28">
        <v>1643951.1066431806</v>
      </c>
      <c r="H28">
        <v>1620957.2957183542</v>
      </c>
      <c r="I28">
        <v>1545434.0223995252</v>
      </c>
      <c r="J28">
        <v>1520257.7679369622</v>
      </c>
      <c r="K28">
        <v>1483251.0319144067</v>
      </c>
      <c r="L28">
        <v>1482036.8365838719</v>
      </c>
    </row>
    <row r="29" spans="2:14" x14ac:dyDescent="0.3">
      <c r="B29">
        <f>B28+1</f>
        <v>2013</v>
      </c>
      <c r="F29">
        <v>105128.252835798</v>
      </c>
      <c r="G29">
        <v>1311254.5711398621</v>
      </c>
      <c r="H29">
        <v>1286295.4941970888</v>
      </c>
      <c r="I29">
        <v>1267836.2641257932</v>
      </c>
      <c r="J29">
        <v>1215741.0499531871</v>
      </c>
      <c r="K29">
        <v>939926.72621842113</v>
      </c>
      <c r="L29">
        <v>935609.85219658609</v>
      </c>
    </row>
    <row r="30" spans="2:14" x14ac:dyDescent="0.3">
      <c r="B30">
        <f>B29+1</f>
        <v>2014</v>
      </c>
      <c r="G30">
        <v>137101.16564230001</v>
      </c>
      <c r="H30">
        <v>2281423.7953323</v>
      </c>
      <c r="I30">
        <v>2249999.5234323</v>
      </c>
      <c r="J30">
        <v>2239347.4841895998</v>
      </c>
      <c r="K30">
        <v>2209392.46906</v>
      </c>
      <c r="L30">
        <v>2208488.7876399998</v>
      </c>
    </row>
    <row r="31" spans="2:14" x14ac:dyDescent="0.3">
      <c r="B31">
        <f>B30+1</f>
        <v>2015</v>
      </c>
      <c r="I31">
        <v>11424527</v>
      </c>
      <c r="J31">
        <v>11421100</v>
      </c>
      <c r="K31">
        <v>11416837</v>
      </c>
      <c r="L31">
        <v>11416837</v>
      </c>
    </row>
    <row r="32" spans="2:14" x14ac:dyDescent="0.3">
      <c r="B32">
        <v>2016</v>
      </c>
      <c r="J32">
        <f>$C$10*I31/SUM($I$19,$I$31,$I$43)</f>
        <v>4924.8442861322874</v>
      </c>
      <c r="K32">
        <f>J32</f>
        <v>4924.8442861322874</v>
      </c>
      <c r="L32">
        <f>K32</f>
        <v>4924.8442861322874</v>
      </c>
    </row>
    <row r="33" spans="2:12" x14ac:dyDescent="0.3">
      <c r="B33" t="s">
        <v>115</v>
      </c>
      <c r="C33">
        <f t="shared" ref="C33:H33" si="4">SUM(C27:C31)</f>
        <v>0</v>
      </c>
      <c r="D33">
        <f t="shared" si="4"/>
        <v>0</v>
      </c>
      <c r="E33">
        <f t="shared" si="4"/>
        <v>542276.46992908849</v>
      </c>
      <c r="F33">
        <f t="shared" si="4"/>
        <v>2286753.9824080672</v>
      </c>
      <c r="G33">
        <f t="shared" si="4"/>
        <v>3627239.306354431</v>
      </c>
      <c r="H33">
        <f t="shared" si="4"/>
        <v>5671591.8094371697</v>
      </c>
      <c r="I33">
        <f>SUM(I27:I32)</f>
        <v>16970712.034147047</v>
      </c>
      <c r="J33">
        <f>SUM(J27:J32)</f>
        <v>16880868.141850296</v>
      </c>
      <c r="K33">
        <f>SUM(K27:K32)</f>
        <v>16467295.445117531</v>
      </c>
      <c r="L33">
        <f>SUM(L27:L32)</f>
        <v>16460860.694345161</v>
      </c>
    </row>
    <row r="36" spans="2:12" x14ac:dyDescent="0.3">
      <c r="B36" t="s">
        <v>138</v>
      </c>
    </row>
    <row r="37" spans="2:12" x14ac:dyDescent="0.3">
      <c r="C37" s="120"/>
      <c r="D37" s="120"/>
      <c r="E37" s="120"/>
      <c r="F37" s="120"/>
      <c r="G37" s="120"/>
      <c r="H37" s="120"/>
      <c r="I37" s="120"/>
      <c r="J37" s="120"/>
      <c r="K37" s="120"/>
      <c r="L37" s="120"/>
    </row>
    <row r="38" spans="2:12" x14ac:dyDescent="0.3">
      <c r="B38" t="s">
        <v>144</v>
      </c>
      <c r="C38">
        <v>2009</v>
      </c>
      <c r="D38">
        <f t="shared" ref="D38:L38" si="5">C38+1</f>
        <v>2010</v>
      </c>
      <c r="E38">
        <f t="shared" si="5"/>
        <v>2011</v>
      </c>
      <c r="F38">
        <f t="shared" si="5"/>
        <v>2012</v>
      </c>
      <c r="G38">
        <f t="shared" si="5"/>
        <v>2013</v>
      </c>
      <c r="H38">
        <f t="shared" si="5"/>
        <v>2014</v>
      </c>
      <c r="I38">
        <f t="shared" si="5"/>
        <v>2015</v>
      </c>
      <c r="J38">
        <f t="shared" si="5"/>
        <v>2016</v>
      </c>
      <c r="K38">
        <f t="shared" si="5"/>
        <v>2017</v>
      </c>
      <c r="L38">
        <f t="shared" si="5"/>
        <v>2018</v>
      </c>
    </row>
    <row r="39" spans="2:12" x14ac:dyDescent="0.3">
      <c r="B39">
        <v>2011</v>
      </c>
      <c r="E39">
        <v>791508.53627856204</v>
      </c>
      <c r="F39">
        <v>688860.13627856201</v>
      </c>
      <c r="G39">
        <v>688860.13627856201</v>
      </c>
      <c r="H39">
        <v>688860.13627856201</v>
      </c>
      <c r="I39">
        <v>688860.13627856201</v>
      </c>
      <c r="J39">
        <v>688860.13627856201</v>
      </c>
      <c r="K39">
        <v>688860.13627856201</v>
      </c>
      <c r="L39">
        <v>688860.13627856201</v>
      </c>
    </row>
    <row r="40" spans="2:12" x14ac:dyDescent="0.3">
      <c r="B40">
        <f>B39+1</f>
        <v>2012</v>
      </c>
      <c r="F40">
        <v>43656.3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</row>
    <row r="41" spans="2:12" x14ac:dyDescent="0.3">
      <c r="B41">
        <f>B40+1</f>
        <v>2013</v>
      </c>
      <c r="G41">
        <v>247799.44</v>
      </c>
      <c r="H41">
        <v>144990</v>
      </c>
      <c r="I41">
        <v>144990</v>
      </c>
      <c r="J41">
        <v>144990</v>
      </c>
      <c r="K41">
        <v>0</v>
      </c>
      <c r="L41">
        <v>0</v>
      </c>
    </row>
    <row r="42" spans="2:12" x14ac:dyDescent="0.3">
      <c r="B42">
        <f>B41+1</f>
        <v>2014</v>
      </c>
      <c r="G42">
        <v>16481.7</v>
      </c>
      <c r="H42">
        <v>104027.796</v>
      </c>
      <c r="I42">
        <v>104027.796</v>
      </c>
      <c r="J42">
        <v>104027.796</v>
      </c>
      <c r="K42">
        <v>249017.796</v>
      </c>
      <c r="L42">
        <v>247834.29600000003</v>
      </c>
    </row>
    <row r="43" spans="2:12" x14ac:dyDescent="0.3">
      <c r="B43">
        <f>B42+1</f>
        <v>2015</v>
      </c>
      <c r="I43">
        <v>28463</v>
      </c>
      <c r="J43">
        <v>28463</v>
      </c>
      <c r="K43">
        <v>28463</v>
      </c>
      <c r="L43">
        <v>28463</v>
      </c>
    </row>
    <row r="44" spans="2:12" x14ac:dyDescent="0.3">
      <c r="B44">
        <v>2016</v>
      </c>
      <c r="J44">
        <f>$C$10*I43/SUM($I$19,$I$31,$I$43)</f>
        <v>12.269728358660563</v>
      </c>
      <c r="K44">
        <f>J44</f>
        <v>12.269728358660563</v>
      </c>
      <c r="L44">
        <f>K44</f>
        <v>12.269728358660563</v>
      </c>
    </row>
    <row r="45" spans="2:12" x14ac:dyDescent="0.3">
      <c r="B45" t="s">
        <v>115</v>
      </c>
      <c r="C45">
        <f t="shared" ref="C45:H45" si="6">SUM(C39:C43)</f>
        <v>0</v>
      </c>
      <c r="D45">
        <f t="shared" si="6"/>
        <v>0</v>
      </c>
      <c r="E45">
        <f t="shared" si="6"/>
        <v>791508.53627856204</v>
      </c>
      <c r="F45">
        <f t="shared" si="6"/>
        <v>732516.43627856206</v>
      </c>
      <c r="G45">
        <f t="shared" si="6"/>
        <v>953141.27627856191</v>
      </c>
      <c r="H45">
        <f t="shared" si="6"/>
        <v>937877.93227856199</v>
      </c>
      <c r="I45">
        <f>SUM(I39:I44)</f>
        <v>966340.93227856199</v>
      </c>
      <c r="J45">
        <f>SUM(J39:J44)</f>
        <v>966353.20200692071</v>
      </c>
      <c r="K45">
        <f>SUM(K39:K44)</f>
        <v>966353.20200692071</v>
      </c>
      <c r="L45">
        <f>SUM(L39:L44)</f>
        <v>965169.70200692082</v>
      </c>
    </row>
    <row r="48" spans="2:12" x14ac:dyDescent="0.3">
      <c r="B48" t="s">
        <v>139</v>
      </c>
      <c r="E48" t="s">
        <v>140</v>
      </c>
    </row>
    <row r="49" spans="2:12" x14ac:dyDescent="0.3">
      <c r="B49" t="s">
        <v>1</v>
      </c>
      <c r="C49" s="48">
        <f>AVERAGE('Monthly Data'!D2:D97)</f>
        <v>21084748.737695526</v>
      </c>
      <c r="D49">
        <f>C49/C$52</f>
        <v>0.51635598092857249</v>
      </c>
    </row>
    <row r="50" spans="2:12" x14ac:dyDescent="0.3">
      <c r="B50" t="s">
        <v>98</v>
      </c>
      <c r="C50" s="48">
        <f>AVERAGE('Monthly Data'!H2:H97)</f>
        <v>5560550.2565379255</v>
      </c>
      <c r="D50">
        <f>C50/C$52</f>
        <v>0.13617536627714533</v>
      </c>
      <c r="E50" s="64">
        <f>C50</f>
        <v>5560550.2565379255</v>
      </c>
      <c r="F50">
        <f>E50/E$52</f>
        <v>0.28156115015873723</v>
      </c>
    </row>
    <row r="51" spans="2:12" x14ac:dyDescent="0.3">
      <c r="B51" t="s">
        <v>99</v>
      </c>
      <c r="C51" s="48">
        <f>AVERAGE('Monthly Data'!L2:L97)</f>
        <v>14188446.554289935</v>
      </c>
      <c r="D51">
        <f>C51/C$52</f>
        <v>0.34746865279428207</v>
      </c>
      <c r="E51" s="64">
        <f>C51</f>
        <v>14188446.554289935</v>
      </c>
      <c r="F51">
        <f>E51/E$52</f>
        <v>0.71843884984126283</v>
      </c>
    </row>
    <row r="52" spans="2:12" x14ac:dyDescent="0.3">
      <c r="B52" t="s">
        <v>115</v>
      </c>
      <c r="C52" s="64">
        <f>SUM(C49:C51)</f>
        <v>40833745.548523389</v>
      </c>
      <c r="D52">
        <f>C52/C$52</f>
        <v>1</v>
      </c>
      <c r="E52" s="64">
        <f>SUM(E50:E51)</f>
        <v>19748996.810827859</v>
      </c>
      <c r="F52">
        <f>E52/E$52</f>
        <v>1</v>
      </c>
    </row>
    <row r="53" spans="2:12" x14ac:dyDescent="0.3">
      <c r="C53" s="64"/>
    </row>
    <row r="54" spans="2:12" x14ac:dyDescent="0.3">
      <c r="C54" s="120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2:12" x14ac:dyDescent="0.3">
      <c r="B55" t="s">
        <v>1</v>
      </c>
      <c r="C55">
        <v>2009</v>
      </c>
      <c r="D55">
        <f t="shared" ref="D55:L55" si="7">C55+1</f>
        <v>2010</v>
      </c>
      <c r="E55">
        <f t="shared" si="7"/>
        <v>2011</v>
      </c>
      <c r="F55">
        <f t="shared" si="7"/>
        <v>2012</v>
      </c>
      <c r="G55">
        <f t="shared" si="7"/>
        <v>2013</v>
      </c>
      <c r="H55">
        <f t="shared" si="7"/>
        <v>2014</v>
      </c>
      <c r="I55">
        <f t="shared" si="7"/>
        <v>2015</v>
      </c>
      <c r="J55">
        <f t="shared" si="7"/>
        <v>2016</v>
      </c>
      <c r="K55">
        <f t="shared" si="7"/>
        <v>2017</v>
      </c>
      <c r="L55">
        <f t="shared" si="7"/>
        <v>2018</v>
      </c>
    </row>
    <row r="56" spans="2:12" x14ac:dyDescent="0.3">
      <c r="B56">
        <v>2009</v>
      </c>
      <c r="C56">
        <f>C$4*$D$49/2</f>
        <v>848858.03416797938</v>
      </c>
      <c r="D56">
        <f t="shared" ref="D56:L56" si="8">D$4*$D$49</f>
        <v>1528356.6003691263</v>
      </c>
      <c r="E56">
        <f t="shared" si="8"/>
        <v>1528356.6003691263</v>
      </c>
      <c r="F56">
        <f t="shared" si="8"/>
        <v>1527996.2200742213</v>
      </c>
      <c r="G56">
        <f t="shared" si="8"/>
        <v>1521952.9363613017</v>
      </c>
      <c r="H56">
        <f t="shared" si="8"/>
        <v>1497301.4190725731</v>
      </c>
      <c r="I56">
        <f t="shared" si="8"/>
        <v>1465368.4170917117</v>
      </c>
      <c r="J56">
        <f t="shared" si="8"/>
        <v>1464671.6619052982</v>
      </c>
      <c r="K56">
        <f t="shared" si="8"/>
        <v>1067942.3140662077</v>
      </c>
      <c r="L56">
        <f t="shared" si="8"/>
        <v>614010.82103345357</v>
      </c>
    </row>
    <row r="57" spans="2:12" x14ac:dyDescent="0.3">
      <c r="B57">
        <f>B56+1</f>
        <v>2010</v>
      </c>
      <c r="C57">
        <f>C$5*$D$49/2</f>
        <v>0</v>
      </c>
      <c r="D57">
        <f>D$5*$D$49/2</f>
        <v>472671.54199063027</v>
      </c>
      <c r="E57">
        <f>E$5*$D$49</f>
        <v>641095.03162560926</v>
      </c>
      <c r="F57">
        <f t="shared" ref="F57:L57" si="9">F$5*$D$49</f>
        <v>639194.63255753787</v>
      </c>
      <c r="G57">
        <f t="shared" si="9"/>
        <v>639051.66886614601</v>
      </c>
      <c r="H57">
        <f t="shared" si="9"/>
        <v>629678.46745180199</v>
      </c>
      <c r="I57">
        <f t="shared" si="9"/>
        <v>573350.17427287332</v>
      </c>
      <c r="J57">
        <f t="shared" si="9"/>
        <v>566313.68579453882</v>
      </c>
      <c r="K57">
        <f t="shared" si="9"/>
        <v>510658.73023642774</v>
      </c>
      <c r="L57">
        <f t="shared" si="9"/>
        <v>393114.25856442924</v>
      </c>
    </row>
    <row r="58" spans="2:12" x14ac:dyDescent="0.3">
      <c r="B58">
        <f t="shared" ref="B58:B63" si="10">B57+1</f>
        <v>2011</v>
      </c>
      <c r="C58">
        <f t="shared" ref="C58:D63" si="11">C15</f>
        <v>0</v>
      </c>
      <c r="D58">
        <f t="shared" si="11"/>
        <v>0</v>
      </c>
      <c r="E58">
        <f>E15/2</f>
        <v>414657.27156204742</v>
      </c>
      <c r="F58">
        <f t="shared" ref="F58:L58" si="12">F15</f>
        <v>829314.54312409484</v>
      </c>
      <c r="G58">
        <f t="shared" si="12"/>
        <v>829314.54312409484</v>
      </c>
      <c r="H58">
        <f t="shared" si="12"/>
        <v>827312.5281787049</v>
      </c>
      <c r="I58">
        <f t="shared" si="12"/>
        <v>789121.71410089894</v>
      </c>
      <c r="J58">
        <f t="shared" si="12"/>
        <v>722650.49001296412</v>
      </c>
      <c r="K58">
        <f t="shared" si="12"/>
        <v>661767.06434641941</v>
      </c>
      <c r="L58">
        <f t="shared" si="12"/>
        <v>660820.63699511695</v>
      </c>
    </row>
    <row r="59" spans="2:12" x14ac:dyDescent="0.3">
      <c r="B59">
        <f t="shared" si="10"/>
        <v>2012</v>
      </c>
      <c r="C59">
        <f t="shared" si="11"/>
        <v>0</v>
      </c>
      <c r="D59">
        <f t="shared" si="11"/>
        <v>0</v>
      </c>
      <c r="E59">
        <f>E16</f>
        <v>-54023.284301090185</v>
      </c>
      <c r="F59">
        <f>F16/2</f>
        <v>243897.44006260892</v>
      </c>
      <c r="G59">
        <f t="shared" ref="G59:L59" si="13">G16</f>
        <v>487794.88058298151</v>
      </c>
      <c r="H59">
        <f t="shared" si="13"/>
        <v>487794.88058298151</v>
      </c>
      <c r="I59">
        <f t="shared" si="13"/>
        <v>487603.92025510618</v>
      </c>
      <c r="J59">
        <f t="shared" si="13"/>
        <v>457695.66655077535</v>
      </c>
      <c r="K59">
        <f t="shared" si="13"/>
        <v>412053.04910819349</v>
      </c>
      <c r="L59">
        <f t="shared" si="13"/>
        <v>352049.33192057267</v>
      </c>
    </row>
    <row r="60" spans="2:12" x14ac:dyDescent="0.3">
      <c r="B60">
        <f t="shared" si="10"/>
        <v>2013</v>
      </c>
      <c r="C60">
        <f t="shared" si="11"/>
        <v>0</v>
      </c>
      <c r="D60">
        <f t="shared" si="11"/>
        <v>0</v>
      </c>
      <c r="E60">
        <f>E17</f>
        <v>0</v>
      </c>
      <c r="F60">
        <f>F17</f>
        <v>5381.7411882030692</v>
      </c>
      <c r="G60">
        <f>G17/2</f>
        <v>399130.64629253914</v>
      </c>
      <c r="H60">
        <f>H17</f>
        <v>788886.06940453139</v>
      </c>
      <c r="I60">
        <f>I17</f>
        <v>770008.34556074138</v>
      </c>
      <c r="J60">
        <f>J17</f>
        <v>707457.94912564149</v>
      </c>
      <c r="K60">
        <f>K17</f>
        <v>677970.65311223618</v>
      </c>
      <c r="L60">
        <f>L17</f>
        <v>660157.67103651899</v>
      </c>
    </row>
    <row r="61" spans="2:12" x14ac:dyDescent="0.3">
      <c r="B61">
        <f t="shared" si="10"/>
        <v>2014</v>
      </c>
      <c r="C61">
        <f t="shared" si="11"/>
        <v>0</v>
      </c>
      <c r="D61">
        <f t="shared" si="11"/>
        <v>0</v>
      </c>
      <c r="E61">
        <f>E18</f>
        <v>0</v>
      </c>
      <c r="F61">
        <f>F18</f>
        <v>0</v>
      </c>
      <c r="G61">
        <f>G18</f>
        <v>8848.6797703000011</v>
      </c>
      <c r="H61">
        <f>H18/2</f>
        <v>685321.82212717249</v>
      </c>
      <c r="I61">
        <f>I18</f>
        <v>1251265.600929345</v>
      </c>
      <c r="J61">
        <f>J18</f>
        <v>1189159.3556603447</v>
      </c>
      <c r="K61">
        <f>K18</f>
        <v>1188951.2674943449</v>
      </c>
      <c r="L61">
        <f>L18</f>
        <v>1171680.5665873368</v>
      </c>
    </row>
    <row r="62" spans="2:12" x14ac:dyDescent="0.3">
      <c r="B62">
        <f t="shared" si="10"/>
        <v>2015</v>
      </c>
      <c r="C62">
        <f t="shared" si="11"/>
        <v>0</v>
      </c>
      <c r="D62">
        <f t="shared" si="11"/>
        <v>0</v>
      </c>
      <c r="E62">
        <f>E19</f>
        <v>0</v>
      </c>
      <c r="F62">
        <f>F19</f>
        <v>0</v>
      </c>
      <c r="G62">
        <f>G19</f>
        <v>0</v>
      </c>
      <c r="H62">
        <f>H19</f>
        <v>0</v>
      </c>
      <c r="I62">
        <f>I19/2</f>
        <v>678469</v>
      </c>
      <c r="J62">
        <f>J19</f>
        <v>731956</v>
      </c>
      <c r="K62">
        <f>K19</f>
        <v>731956</v>
      </c>
      <c r="L62">
        <f>L19</f>
        <v>731956</v>
      </c>
    </row>
    <row r="63" spans="2:12" x14ac:dyDescent="0.3">
      <c r="B63">
        <f t="shared" si="10"/>
        <v>2016</v>
      </c>
      <c r="C63">
        <f t="shared" si="11"/>
        <v>0</v>
      </c>
      <c r="D63">
        <f t="shared" si="11"/>
        <v>0</v>
      </c>
      <c r="E63">
        <f>E20</f>
        <v>0</v>
      </c>
      <c r="F63">
        <f>F20</f>
        <v>0</v>
      </c>
      <c r="G63">
        <f>G20</f>
        <v>0</v>
      </c>
      <c r="H63">
        <f>H20</f>
        <v>0</v>
      </c>
      <c r="I63">
        <f>I20</f>
        <v>0</v>
      </c>
      <c r="J63">
        <f>J20/2</f>
        <v>292.47199275452601</v>
      </c>
      <c r="K63">
        <f>K20/2</f>
        <v>292.47199275452601</v>
      </c>
      <c r="L63">
        <f>L20/2</f>
        <v>292.47199275452601</v>
      </c>
    </row>
    <row r="64" spans="2:12" x14ac:dyDescent="0.3">
      <c r="B64" t="s">
        <v>115</v>
      </c>
      <c r="C64">
        <f t="shared" ref="C64:L64" si="14">SUM(C56:C63)</f>
        <v>848858.03416797938</v>
      </c>
      <c r="D64">
        <f t="shared" si="14"/>
        <v>2001028.1423597566</v>
      </c>
      <c r="E64">
        <f t="shared" si="14"/>
        <v>2530085.6192556927</v>
      </c>
      <c r="F64">
        <f t="shared" si="14"/>
        <v>3245784.5770066655</v>
      </c>
      <c r="G64">
        <f t="shared" si="14"/>
        <v>3886093.3549973639</v>
      </c>
      <c r="H64">
        <f t="shared" si="14"/>
        <v>4916295.1868177652</v>
      </c>
      <c r="I64">
        <f t="shared" si="14"/>
        <v>6015187.1722106766</v>
      </c>
      <c r="J64">
        <f t="shared" si="14"/>
        <v>5840197.2810423169</v>
      </c>
      <c r="K64">
        <f t="shared" si="14"/>
        <v>5251591.5503565837</v>
      </c>
      <c r="L64">
        <f t="shared" si="14"/>
        <v>4584081.7581301825</v>
      </c>
    </row>
    <row r="66" spans="2:12" x14ac:dyDescent="0.3">
      <c r="C66" s="120"/>
      <c r="D66" s="120"/>
      <c r="E66" s="120"/>
      <c r="F66" s="120"/>
      <c r="G66" s="120"/>
      <c r="H66" s="120"/>
      <c r="I66" s="120"/>
      <c r="J66" s="120"/>
      <c r="K66" s="120"/>
      <c r="L66" s="120"/>
    </row>
    <row r="67" spans="2:12" x14ac:dyDescent="0.3">
      <c r="B67" t="s">
        <v>98</v>
      </c>
      <c r="C67">
        <v>2009</v>
      </c>
      <c r="D67">
        <f t="shared" ref="D67:L67" si="15">C67+1</f>
        <v>2010</v>
      </c>
      <c r="E67">
        <f t="shared" si="15"/>
        <v>2011</v>
      </c>
      <c r="F67">
        <f t="shared" si="15"/>
        <v>2012</v>
      </c>
      <c r="G67">
        <f t="shared" si="15"/>
        <v>2013</v>
      </c>
      <c r="H67">
        <f t="shared" si="15"/>
        <v>2014</v>
      </c>
      <c r="I67">
        <f t="shared" si="15"/>
        <v>2015</v>
      </c>
      <c r="J67">
        <f t="shared" si="15"/>
        <v>2016</v>
      </c>
      <c r="K67">
        <f t="shared" si="15"/>
        <v>2017</v>
      </c>
      <c r="L67">
        <f t="shared" si="15"/>
        <v>2018</v>
      </c>
    </row>
    <row r="68" spans="2:12" x14ac:dyDescent="0.3">
      <c r="B68">
        <v>2009</v>
      </c>
      <c r="C68">
        <f>C$4*$D$50/2</f>
        <v>223864.0743780059</v>
      </c>
      <c r="D68">
        <f t="shared" ref="D68:L68" si="16">D$4*$D$50</f>
        <v>403064.02471233939</v>
      </c>
      <c r="E68">
        <f t="shared" si="16"/>
        <v>403064.02471233939</v>
      </c>
      <c r="F68">
        <f t="shared" si="16"/>
        <v>402968.9838481482</v>
      </c>
      <c r="G68">
        <f t="shared" si="16"/>
        <v>401375.22604632389</v>
      </c>
      <c r="H68">
        <f t="shared" si="16"/>
        <v>394874.03400039626</v>
      </c>
      <c r="I68">
        <f t="shared" si="16"/>
        <v>386452.54107365099</v>
      </c>
      <c r="J68">
        <f t="shared" si="16"/>
        <v>386268.79014169757</v>
      </c>
      <c r="K68">
        <f t="shared" si="16"/>
        <v>281641.81524401665</v>
      </c>
      <c r="L68">
        <f t="shared" si="16"/>
        <v>161929.27271220565</v>
      </c>
    </row>
    <row r="69" spans="2:12" x14ac:dyDescent="0.3">
      <c r="B69">
        <f>B68+1</f>
        <v>2010</v>
      </c>
      <c r="C69">
        <f>C$5*$D$51</f>
        <v>0</v>
      </c>
      <c r="D69">
        <f>D$5*$D$51/2</f>
        <v>318072.31827609905</v>
      </c>
      <c r="E69">
        <f t="shared" ref="E69:L69" si="17">E$5*$D$51</f>
        <v>431408.63121496898</v>
      </c>
      <c r="F69">
        <f t="shared" si="17"/>
        <v>430129.80589223956</v>
      </c>
      <c r="G69">
        <f t="shared" si="17"/>
        <v>430033.6021043855</v>
      </c>
      <c r="H69">
        <f t="shared" si="17"/>
        <v>423726.14409459423</v>
      </c>
      <c r="I69">
        <f t="shared" si="17"/>
        <v>385821.44875265885</v>
      </c>
      <c r="J69">
        <f t="shared" si="17"/>
        <v>381086.422409839</v>
      </c>
      <c r="K69">
        <f t="shared" si="17"/>
        <v>343634.83253123245</v>
      </c>
      <c r="L69">
        <f t="shared" si="17"/>
        <v>264536.26347459789</v>
      </c>
    </row>
    <row r="70" spans="2:12" x14ac:dyDescent="0.3">
      <c r="B70">
        <f t="shared" ref="B70:B75" si="18">B69+1</f>
        <v>2011</v>
      </c>
      <c r="C70">
        <f t="shared" ref="C70:D75" si="19">(C27+C39)*$F$50</f>
        <v>0</v>
      </c>
      <c r="D70">
        <f t="shared" si="19"/>
        <v>0</v>
      </c>
      <c r="E70">
        <f>(E27+E39)*$F$50/2</f>
        <v>187771.02020615229</v>
      </c>
      <c r="F70">
        <f t="shared" ref="F70:L70" si="20">(F27+F39)*$F$50</f>
        <v>344572.45178865659</v>
      </c>
      <c r="G70">
        <f t="shared" si="20"/>
        <v>344572.45178865659</v>
      </c>
      <c r="H70">
        <f t="shared" si="20"/>
        <v>329926.41822103586</v>
      </c>
      <c r="I70">
        <f t="shared" si="20"/>
        <v>329926.41822103586</v>
      </c>
      <c r="J70">
        <f t="shared" si="20"/>
        <v>328963.9778153465</v>
      </c>
      <c r="K70">
        <f t="shared" si="20"/>
        <v>310230.69472420466</v>
      </c>
      <c r="L70">
        <f t="shared" si="20"/>
        <v>310230.69472420466</v>
      </c>
    </row>
    <row r="71" spans="2:12" x14ac:dyDescent="0.3">
      <c r="B71">
        <f t="shared" si="18"/>
        <v>2012</v>
      </c>
      <c r="C71">
        <f t="shared" si="19"/>
        <v>0</v>
      </c>
      <c r="D71">
        <f t="shared" si="19"/>
        <v>0</v>
      </c>
      <c r="E71">
        <f>(E28+E40)*$F$50</f>
        <v>0</v>
      </c>
      <c r="F71">
        <f>(F28+F40)*$F$50/2</f>
        <v>237968.38407718847</v>
      </c>
      <c r="G71">
        <f t="shared" ref="G71:L71" si="21">(G28+G40)*$F$50</f>
        <v>462872.76439118281</v>
      </c>
      <c r="H71">
        <f t="shared" si="21"/>
        <v>456398.60054065613</v>
      </c>
      <c r="I71">
        <f t="shared" si="21"/>
        <v>435134.18084125395</v>
      </c>
      <c r="J71">
        <f t="shared" si="21"/>
        <v>428045.52567808569</v>
      </c>
      <c r="K71">
        <f t="shared" si="21"/>
        <v>417625.86651995423</v>
      </c>
      <c r="L71">
        <f t="shared" si="21"/>
        <v>417283.99628617143</v>
      </c>
    </row>
    <row r="72" spans="2:12" x14ac:dyDescent="0.3">
      <c r="B72">
        <f t="shared" si="18"/>
        <v>2013</v>
      </c>
      <c r="C72">
        <f t="shared" si="19"/>
        <v>0</v>
      </c>
      <c r="D72">
        <f t="shared" si="19"/>
        <v>0</v>
      </c>
      <c r="E72">
        <f>(E29+E41)*$F$50</f>
        <v>0</v>
      </c>
      <c r="F72">
        <f>(F29+F41)*$F$50</f>
        <v>29600.031782625814</v>
      </c>
      <c r="G72">
        <f>(G29+G41)*$F$50/2</f>
        <v>219484.52026806615</v>
      </c>
      <c r="H72">
        <f>(H29+H41)*$F$50</f>
        <v>402994.38995164895</v>
      </c>
      <c r="I72">
        <f>(I29+I41)*$F$50</f>
        <v>397796.98790173023</v>
      </c>
      <c r="J72">
        <f>(J29+J41)*$F$50</f>
        <v>383128.9994815255</v>
      </c>
      <c r="K72">
        <f>(K29+K41)*$F$50</f>
        <v>264646.85009899514</v>
      </c>
      <c r="L72">
        <f>(L29+L41)*$F$50</f>
        <v>263431.38608431694</v>
      </c>
    </row>
    <row r="73" spans="2:12" x14ac:dyDescent="0.3">
      <c r="B73">
        <f t="shared" si="18"/>
        <v>2014</v>
      </c>
      <c r="C73">
        <f t="shared" si="19"/>
        <v>0</v>
      </c>
      <c r="D73">
        <f t="shared" si="19"/>
        <v>0</v>
      </c>
      <c r="E73">
        <f>(E30+E42)*$F$50</f>
        <v>0</v>
      </c>
      <c r="F73">
        <f>(F30+F42)*$F$50</f>
        <v>0</v>
      </c>
      <c r="G73">
        <f>(G30+G42)*$F$50</f>
        <v>43242.9682949208</v>
      </c>
      <c r="H73">
        <f>(H30+H42)*$F$50/2</f>
        <v>335825.24685175624</v>
      </c>
      <c r="I73">
        <f>(I30+I42)*$F$50</f>
        <v>662802.63956444757</v>
      </c>
      <c r="J73">
        <f>(J30+J42)*$F$50</f>
        <v>659803.43914373685</v>
      </c>
      <c r="K73">
        <f>(K30+K42)*$F$50</f>
        <v>692192.82179233967</v>
      </c>
      <c r="L73">
        <f>(L30+L42)*$F$50</f>
        <v>691605.15259113442</v>
      </c>
    </row>
    <row r="74" spans="2:12" x14ac:dyDescent="0.3">
      <c r="B74">
        <f t="shared" si="18"/>
        <v>2015</v>
      </c>
      <c r="C74">
        <f t="shared" si="19"/>
        <v>0</v>
      </c>
      <c r="D74">
        <f t="shared" si="19"/>
        <v>0</v>
      </c>
      <c r="E74">
        <f>(E31+E43)*$F$50</f>
        <v>0</v>
      </c>
      <c r="F74">
        <f>(F31+F43)*$F$50</f>
        <v>0</v>
      </c>
      <c r="G74">
        <f>(G31+G43)*$F$50</f>
        <v>0</v>
      </c>
      <c r="H74">
        <f>(H31+H43)*$F$50</f>
        <v>0</v>
      </c>
      <c r="I74">
        <f>(I31+I43)*$F$50/2</f>
        <v>1612358.5185782579</v>
      </c>
      <c r="J74">
        <f>(J31+J43)*$F$50</f>
        <v>3223752.1270949221</v>
      </c>
      <c r="K74">
        <f>(K31+K43)*$F$50</f>
        <v>3222551.8319117953</v>
      </c>
      <c r="L74">
        <f>(L31+L43)*$F$50</f>
        <v>3222551.8319117953</v>
      </c>
    </row>
    <row r="75" spans="2:12" x14ac:dyDescent="0.3">
      <c r="B75">
        <f t="shared" si="18"/>
        <v>2016</v>
      </c>
      <c r="C75">
        <f t="shared" si="19"/>
        <v>0</v>
      </c>
      <c r="D75">
        <f t="shared" si="19"/>
        <v>0</v>
      </c>
      <c r="E75">
        <f>(E32+E44)*$F$50</f>
        <v>0</v>
      </c>
      <c r="F75">
        <f>(F32+F44)*$F$50</f>
        <v>0</v>
      </c>
      <c r="G75">
        <f>(G32+G44)*$F$50</f>
        <v>0</v>
      </c>
      <c r="H75">
        <f>(H32+H44)*$F$50</f>
        <v>0</v>
      </c>
      <c r="I75">
        <f>(I32+I44)*$F$50</f>
        <v>0</v>
      </c>
      <c r="J75">
        <f>(J32+J44)*$F$50/2</f>
        <v>695.0497501924458</v>
      </c>
      <c r="K75">
        <f>(K32+K44)*$F$50/2</f>
        <v>695.0497501924458</v>
      </c>
      <c r="L75">
        <f>(L32+L44)*$F$50/2</f>
        <v>695.0497501924458</v>
      </c>
    </row>
    <row r="76" spans="2:12" x14ac:dyDescent="0.3">
      <c r="B76" t="s">
        <v>115</v>
      </c>
      <c r="C76">
        <f t="shared" ref="C76:L76" si="22">SUM(C68:C75)</f>
        <v>223864.0743780059</v>
      </c>
      <c r="D76">
        <f t="shared" si="22"/>
        <v>721136.34298843844</v>
      </c>
      <c r="E76">
        <f t="shared" si="22"/>
        <v>1022243.6761334606</v>
      </c>
      <c r="F76">
        <f t="shared" si="22"/>
        <v>1445239.6573888587</v>
      </c>
      <c r="G76">
        <f t="shared" si="22"/>
        <v>1901581.5328935359</v>
      </c>
      <c r="H76">
        <f t="shared" si="22"/>
        <v>2343744.8336600875</v>
      </c>
      <c r="I76">
        <f t="shared" si="22"/>
        <v>4210292.7349330354</v>
      </c>
      <c r="J76">
        <f t="shared" si="22"/>
        <v>5791744.3315153457</v>
      </c>
      <c r="K76">
        <f t="shared" si="22"/>
        <v>5533219.76257273</v>
      </c>
      <c r="L76">
        <f t="shared" si="22"/>
        <v>5332263.6475346182</v>
      </c>
    </row>
    <row r="78" spans="2:12" x14ac:dyDescent="0.3">
      <c r="C78" s="120"/>
      <c r="D78" s="120"/>
      <c r="E78" s="120"/>
      <c r="F78" s="120"/>
      <c r="G78" s="120"/>
      <c r="H78" s="120"/>
      <c r="I78" s="120"/>
      <c r="J78" s="120"/>
      <c r="K78" s="120"/>
      <c r="L78" s="120"/>
    </row>
    <row r="79" spans="2:12" x14ac:dyDescent="0.3">
      <c r="B79" t="s">
        <v>99</v>
      </c>
      <c r="C79">
        <v>2009</v>
      </c>
      <c r="D79">
        <f t="shared" ref="D79:L79" si="23">C79+1</f>
        <v>2010</v>
      </c>
      <c r="E79">
        <f t="shared" si="23"/>
        <v>2011</v>
      </c>
      <c r="F79">
        <f t="shared" si="23"/>
        <v>2012</v>
      </c>
      <c r="G79">
        <f t="shared" si="23"/>
        <v>2013</v>
      </c>
      <c r="H79">
        <f t="shared" si="23"/>
        <v>2014</v>
      </c>
      <c r="I79">
        <f t="shared" si="23"/>
        <v>2015</v>
      </c>
      <c r="J79">
        <f t="shared" si="23"/>
        <v>2016</v>
      </c>
      <c r="K79">
        <f t="shared" si="23"/>
        <v>2017</v>
      </c>
      <c r="L79">
        <f t="shared" si="23"/>
        <v>2018</v>
      </c>
    </row>
    <row r="80" spans="2:12" x14ac:dyDescent="0.3">
      <c r="B80">
        <v>2009</v>
      </c>
      <c r="C80">
        <f>C$4*$D$51/2</f>
        <v>571217.47096941457</v>
      </c>
      <c r="D80">
        <f t="shared" ref="D80:L80" si="24">D$4*$D$51</f>
        <v>1028468.7861356838</v>
      </c>
      <c r="E80">
        <f t="shared" si="24"/>
        <v>1028468.7861356838</v>
      </c>
      <c r="F80">
        <f t="shared" si="24"/>
        <v>1028226.2773623003</v>
      </c>
      <c r="G80">
        <f t="shared" si="24"/>
        <v>1024159.6029598742</v>
      </c>
      <c r="H80">
        <f t="shared" si="24"/>
        <v>1007570.9900300002</v>
      </c>
      <c r="I80">
        <f t="shared" si="24"/>
        <v>986082.48677297716</v>
      </c>
      <c r="J80">
        <f t="shared" si="24"/>
        <v>985613.62305319379</v>
      </c>
      <c r="K80">
        <f t="shared" si="24"/>
        <v>718644.67699837533</v>
      </c>
      <c r="L80">
        <f t="shared" si="24"/>
        <v>413182.99906575069</v>
      </c>
    </row>
    <row r="81" spans="2:12" x14ac:dyDescent="0.3">
      <c r="B81">
        <f>B80+1</f>
        <v>2010</v>
      </c>
      <c r="C81">
        <f>C$5*$D$51</f>
        <v>0</v>
      </c>
      <c r="D81">
        <f>D$5*$D$51/2</f>
        <v>318072.31827609905</v>
      </c>
      <c r="E81">
        <f>E$5*$D$51</f>
        <v>431408.63121496898</v>
      </c>
      <c r="F81">
        <f t="shared" ref="F81:L81" si="25">F$5*$D$51</f>
        <v>430129.80589223956</v>
      </c>
      <c r="G81">
        <f t="shared" si="25"/>
        <v>430033.6021043855</v>
      </c>
      <c r="H81">
        <f t="shared" si="25"/>
        <v>423726.14409459423</v>
      </c>
      <c r="I81">
        <f t="shared" si="25"/>
        <v>385821.44875265885</v>
      </c>
      <c r="J81">
        <f t="shared" si="25"/>
        <v>381086.422409839</v>
      </c>
      <c r="K81">
        <f t="shared" si="25"/>
        <v>343634.83253123245</v>
      </c>
      <c r="L81">
        <f t="shared" si="25"/>
        <v>264536.26347459789</v>
      </c>
    </row>
    <row r="82" spans="2:12" x14ac:dyDescent="0.3">
      <c r="B82">
        <f t="shared" ref="B82:B87" si="26">B81+1</f>
        <v>2011</v>
      </c>
      <c r="C82">
        <f t="shared" ref="C82:D87" si="27">(C27+C39)*$F$51</f>
        <v>0</v>
      </c>
      <c r="D82">
        <f t="shared" si="27"/>
        <v>0</v>
      </c>
      <c r="E82">
        <f>(E27+E39)*$F$51/2</f>
        <v>479121.48289767304</v>
      </c>
      <c r="F82">
        <f t="shared" ref="F82:L82" si="28">(F27+F39)*$F$51</f>
        <v>879220.14741899387</v>
      </c>
      <c r="G82">
        <f t="shared" si="28"/>
        <v>879220.14741899387</v>
      </c>
      <c r="H82">
        <f t="shared" si="28"/>
        <v>841848.94224695303</v>
      </c>
      <c r="I82">
        <f t="shared" si="28"/>
        <v>841848.94224695303</v>
      </c>
      <c r="J82">
        <f t="shared" si="28"/>
        <v>839393.15394762845</v>
      </c>
      <c r="K82">
        <f t="shared" si="28"/>
        <v>791592.81519292796</v>
      </c>
      <c r="L82">
        <f t="shared" si="28"/>
        <v>791592.81519292796</v>
      </c>
    </row>
    <row r="83" spans="2:12" x14ac:dyDescent="0.3">
      <c r="B83">
        <f t="shared" si="26"/>
        <v>2012</v>
      </c>
      <c r="C83">
        <f t="shared" si="27"/>
        <v>0</v>
      </c>
      <c r="D83">
        <f t="shared" si="27"/>
        <v>0</v>
      </c>
      <c r="E83">
        <f>(E28+E40)*$F$51</f>
        <v>0</v>
      </c>
      <c r="F83">
        <f>(F28+F40)*$F$51/2</f>
        <v>607206.39924440184</v>
      </c>
      <c r="G83">
        <f t="shared" ref="G83:L83" si="29">(G28+G40)*$F$51</f>
        <v>1181078.3422519979</v>
      </c>
      <c r="H83">
        <f t="shared" si="29"/>
        <v>1164558.695177698</v>
      </c>
      <c r="I83">
        <f t="shared" si="29"/>
        <v>1110299.8415582713</v>
      </c>
      <c r="J83">
        <f t="shared" si="29"/>
        <v>1092212.2422588766</v>
      </c>
      <c r="K83">
        <f t="shared" si="29"/>
        <v>1065625.1653944526</v>
      </c>
      <c r="L83">
        <f t="shared" si="29"/>
        <v>1064752.8402977006</v>
      </c>
    </row>
    <row r="84" spans="2:12" x14ac:dyDescent="0.3">
      <c r="B84">
        <f t="shared" si="26"/>
        <v>2013</v>
      </c>
      <c r="C84">
        <f t="shared" si="27"/>
        <v>0</v>
      </c>
      <c r="D84">
        <f t="shared" si="27"/>
        <v>0</v>
      </c>
      <c r="E84">
        <f>(E29+E41)*$F$51</f>
        <v>0</v>
      </c>
      <c r="F84">
        <f>(F29+F41)*$F$51</f>
        <v>75528.221053172194</v>
      </c>
      <c r="G84">
        <f>(G29+G41)*$F$51/2</f>
        <v>560042.48530186492</v>
      </c>
      <c r="H84">
        <f>(H29+H41)*$F$51</f>
        <v>1028291.1042454399</v>
      </c>
      <c r="I84">
        <f>(I29+I41)*$F$51</f>
        <v>1015029.2762240631</v>
      </c>
      <c r="J84">
        <f>(J29+J41)*$F$51</f>
        <v>977602.05047166173</v>
      </c>
      <c r="K84">
        <f>(K29+K41)*$F$51</f>
        <v>675279.87611942599</v>
      </c>
      <c r="L84">
        <f>(L29+L41)*$F$51</f>
        <v>672178.46611226921</v>
      </c>
    </row>
    <row r="85" spans="2:12" x14ac:dyDescent="0.3">
      <c r="B85">
        <f t="shared" si="26"/>
        <v>2014</v>
      </c>
      <c r="C85">
        <f t="shared" si="27"/>
        <v>0</v>
      </c>
      <c r="D85">
        <f t="shared" si="27"/>
        <v>0</v>
      </c>
      <c r="E85">
        <f>(E30+E42)*$F$51</f>
        <v>0</v>
      </c>
      <c r="F85">
        <f>(F30+F42)*$F$51</f>
        <v>0</v>
      </c>
      <c r="G85">
        <f>(G30+G42)*$F$51</f>
        <v>110339.89734737923</v>
      </c>
      <c r="H85">
        <f>(H30+H42)*$F$51/2</f>
        <v>856900.54881439393</v>
      </c>
      <c r="I85">
        <f>(I30+I42)*$F$51</f>
        <v>1691224.6798678527</v>
      </c>
      <c r="J85">
        <f>(J30+J42)*$F$51</f>
        <v>1683571.8410458632</v>
      </c>
      <c r="K85">
        <f>(K30+K42)*$F$51</f>
        <v>1766217.4432676607</v>
      </c>
      <c r="L85">
        <f>(L30+L42)*$F$51</f>
        <v>1764717.9310488654</v>
      </c>
    </row>
    <row r="86" spans="2:12" x14ac:dyDescent="0.3">
      <c r="B86">
        <f t="shared" si="26"/>
        <v>2015</v>
      </c>
      <c r="C86">
        <f t="shared" si="27"/>
        <v>0</v>
      </c>
      <c r="D86">
        <f t="shared" si="27"/>
        <v>0</v>
      </c>
      <c r="E86">
        <f>(E31+E43)*$F$51</f>
        <v>0</v>
      </c>
      <c r="F86">
        <f>(F31+F43)*$F$51</f>
        <v>0</v>
      </c>
      <c r="G86">
        <f>(G31+G43)*$F$51</f>
        <v>0</v>
      </c>
      <c r="H86">
        <f>(H31+H43)*$F$51</f>
        <v>0</v>
      </c>
      <c r="I86">
        <f>(I31+I43)*$F$51/2</f>
        <v>4114136.4814217426</v>
      </c>
      <c r="J86">
        <f>(J31+J43)*$F$51</f>
        <v>8225810.8729050783</v>
      </c>
      <c r="K86">
        <f>(K31+K43)*$F$51</f>
        <v>8222748.1680882052</v>
      </c>
      <c r="L86">
        <f>(L31+L43)*$F$51</f>
        <v>8222748.1680882052</v>
      </c>
    </row>
    <row r="87" spans="2:12" x14ac:dyDescent="0.3">
      <c r="B87">
        <f t="shared" si="26"/>
        <v>2016</v>
      </c>
      <c r="C87">
        <f t="shared" si="27"/>
        <v>0</v>
      </c>
      <c r="D87">
        <f t="shared" si="27"/>
        <v>0</v>
      </c>
      <c r="E87">
        <f>(E32+E44)*$F$51</f>
        <v>0</v>
      </c>
      <c r="F87">
        <f>(F32+F44)*$F$51</f>
        <v>0</v>
      </c>
      <c r="G87">
        <f>(G32+G44)*$F$51</f>
        <v>0</v>
      </c>
      <c r="H87">
        <f>(H32+H44)*$F$51</f>
        <v>0</v>
      </c>
      <c r="I87">
        <f>(I32+I44)*$F$51</f>
        <v>0</v>
      </c>
      <c r="J87">
        <f>(J32+J44)*$F$51/2</f>
        <v>1773.5072570530281</v>
      </c>
      <c r="K87">
        <f>(K32+K44)*$F$51/2</f>
        <v>1773.5072570530281</v>
      </c>
      <c r="L87">
        <f>(L32+L44)*$F$51/2</f>
        <v>1773.5072570530281</v>
      </c>
    </row>
    <row r="88" spans="2:12" x14ac:dyDescent="0.3">
      <c r="B88" t="s">
        <v>115</v>
      </c>
      <c r="C88">
        <f t="shared" ref="C88:L88" si="30">SUM(C80:C87)</f>
        <v>571217.47096941457</v>
      </c>
      <c r="D88">
        <f t="shared" si="30"/>
        <v>1346541.1044117827</v>
      </c>
      <c r="E88">
        <f t="shared" si="30"/>
        <v>1938998.9002483257</v>
      </c>
      <c r="F88">
        <f t="shared" si="30"/>
        <v>3020310.8509711078</v>
      </c>
      <c r="G88">
        <f t="shared" si="30"/>
        <v>4184874.0773844952</v>
      </c>
      <c r="H88">
        <f t="shared" si="30"/>
        <v>5322896.424609079</v>
      </c>
      <c r="I88">
        <f t="shared" si="30"/>
        <v>10144443.156844519</v>
      </c>
      <c r="J88">
        <f t="shared" si="30"/>
        <v>14187063.713349195</v>
      </c>
      <c r="K88">
        <f t="shared" si="30"/>
        <v>13585516.484849334</v>
      </c>
      <c r="L88">
        <f t="shared" si="30"/>
        <v>13195482.99053737</v>
      </c>
    </row>
    <row r="90" spans="2:12" x14ac:dyDescent="0.3">
      <c r="C90" s="120"/>
      <c r="D90" s="120"/>
      <c r="E90" s="120"/>
      <c r="F90" s="120"/>
      <c r="G90" s="120"/>
      <c r="H90" s="120"/>
      <c r="I90" s="120"/>
      <c r="J90" s="120"/>
      <c r="K90" s="120"/>
      <c r="L90" s="120"/>
    </row>
  </sheetData>
  <mergeCells count="8">
    <mergeCell ref="C66:L66"/>
    <mergeCell ref="C78:L78"/>
    <mergeCell ref="C90:L90"/>
    <mergeCell ref="C2:L2"/>
    <mergeCell ref="C13:L13"/>
    <mergeCell ref="C25:L25"/>
    <mergeCell ref="C37:L37"/>
    <mergeCell ref="C54:L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5"/>
  <sheetViews>
    <sheetView topLeftCell="A29" workbookViewId="0">
      <selection activeCell="F58" sqref="F58:S58"/>
    </sheetView>
  </sheetViews>
  <sheetFormatPr defaultRowHeight="13.2" x14ac:dyDescent="0.25"/>
  <cols>
    <col min="1" max="1" width="10.6640625" style="6" customWidth="1"/>
    <col min="2" max="2" width="9.77734375" style="6" customWidth="1"/>
    <col min="3" max="4" width="8.88671875" style="6"/>
    <col min="5" max="5" width="20.77734375" style="6" customWidth="1"/>
    <col min="6" max="6" width="8.88671875" style="6"/>
    <col min="7" max="7" width="9.6640625" style="6" customWidth="1"/>
    <col min="8" max="9" width="8.88671875" style="6"/>
    <col min="10" max="10" width="18.109375" style="6" customWidth="1"/>
    <col min="11" max="16384" width="8.88671875" style="6"/>
  </cols>
  <sheetData>
    <row r="1" spans="1:17" x14ac:dyDescent="0.25">
      <c r="B1" s="6" t="s">
        <v>28</v>
      </c>
      <c r="C1" s="6" t="s">
        <v>29</v>
      </c>
      <c r="E1" s="7" t="s">
        <v>28</v>
      </c>
      <c r="F1" s="8" t="s">
        <v>30</v>
      </c>
      <c r="G1" s="8" t="s">
        <v>31</v>
      </c>
      <c r="H1" s="8" t="s">
        <v>32</v>
      </c>
      <c r="I1" s="8" t="s">
        <v>33</v>
      </c>
      <c r="J1" s="8" t="s">
        <v>34</v>
      </c>
      <c r="K1" s="8" t="s">
        <v>35</v>
      </c>
      <c r="L1" s="8" t="s">
        <v>36</v>
      </c>
      <c r="M1" s="9" t="s">
        <v>37</v>
      </c>
      <c r="N1" s="9" t="s">
        <v>38</v>
      </c>
      <c r="O1" s="9" t="s">
        <v>39</v>
      </c>
      <c r="P1" s="9" t="s">
        <v>40</v>
      </c>
      <c r="Q1" s="9" t="s">
        <v>41</v>
      </c>
    </row>
    <row r="2" spans="1:17" x14ac:dyDescent="0.25">
      <c r="A2" s="10">
        <v>34700</v>
      </c>
      <c r="B2" s="6">
        <v>604.4</v>
      </c>
      <c r="C2" s="6">
        <v>0</v>
      </c>
      <c r="D2" s="6" t="s">
        <v>42</v>
      </c>
      <c r="E2" s="6">
        <v>1995</v>
      </c>
      <c r="F2" s="6">
        <f t="shared" ref="F2:Q18" ca="1" si="0">OFFSET($B$2,(ROW()-2)*12+COLUMN()-6,0)</f>
        <v>604.4</v>
      </c>
      <c r="G2" s="6">
        <f t="shared" ca="1" si="0"/>
        <v>608.5</v>
      </c>
      <c r="H2" s="6">
        <f t="shared" ca="1" si="0"/>
        <v>444.19999999999993</v>
      </c>
      <c r="I2" s="6">
        <f t="shared" ca="1" si="0"/>
        <v>329.49999999999983</v>
      </c>
      <c r="J2" s="6">
        <f t="shared" ca="1" si="0"/>
        <v>98.000000000000028</v>
      </c>
      <c r="K2" s="6">
        <f t="shared" ca="1" si="0"/>
        <v>10.799999999999999</v>
      </c>
      <c r="L2" s="6">
        <f t="shared" ca="1" si="0"/>
        <v>0.5</v>
      </c>
      <c r="M2" s="6">
        <f t="shared" ca="1" si="0"/>
        <v>0</v>
      </c>
      <c r="N2" s="6">
        <f t="shared" ca="1" si="0"/>
        <v>70.7</v>
      </c>
      <c r="O2" s="6">
        <f t="shared" ca="1" si="0"/>
        <v>155.6</v>
      </c>
      <c r="P2" s="6">
        <f t="shared" ca="1" si="0"/>
        <v>468.29999999999995</v>
      </c>
      <c r="Q2" s="6">
        <f t="shared" ca="1" si="0"/>
        <v>642.09999999999991</v>
      </c>
    </row>
    <row r="3" spans="1:17" x14ac:dyDescent="0.25">
      <c r="A3" s="10">
        <v>34731</v>
      </c>
      <c r="B3" s="6">
        <v>608.5</v>
      </c>
      <c r="C3" s="6">
        <v>0</v>
      </c>
      <c r="E3" s="6">
        <f>E2+1</f>
        <v>1996</v>
      </c>
      <c r="F3" s="6">
        <f t="shared" ca="1" si="0"/>
        <v>684.89999999999986</v>
      </c>
      <c r="G3" s="6">
        <f t="shared" ca="1" si="0"/>
        <v>608.79999999999995</v>
      </c>
      <c r="H3" s="6">
        <f t="shared" ca="1" si="0"/>
        <v>563</v>
      </c>
      <c r="I3" s="6">
        <f t="shared" ca="1" si="0"/>
        <v>319.49999999999989</v>
      </c>
      <c r="J3" s="6">
        <f t="shared" ca="1" si="0"/>
        <v>150.89999999999998</v>
      </c>
      <c r="K3" s="6">
        <f t="shared" ca="1" si="0"/>
        <v>3.2</v>
      </c>
      <c r="L3" s="6">
        <f t="shared" ca="1" si="0"/>
        <v>0.89999999999999991</v>
      </c>
      <c r="M3" s="6">
        <f t="shared" ca="1" si="0"/>
        <v>0</v>
      </c>
      <c r="N3" s="6">
        <f t="shared" ca="1" si="0"/>
        <v>41.5</v>
      </c>
      <c r="O3" s="6">
        <f t="shared" ca="1" si="0"/>
        <v>197.29999999999998</v>
      </c>
      <c r="P3" s="6">
        <f t="shared" ca="1" si="0"/>
        <v>473.70000000000005</v>
      </c>
      <c r="Q3" s="6">
        <f t="shared" ca="1" si="0"/>
        <v>549.29999999999995</v>
      </c>
    </row>
    <row r="4" spans="1:17" x14ac:dyDescent="0.25">
      <c r="A4" s="10">
        <v>34759</v>
      </c>
      <c r="B4" s="6">
        <v>444.19999999999993</v>
      </c>
      <c r="C4" s="6">
        <v>0</v>
      </c>
      <c r="E4" s="6">
        <f t="shared" ref="E4:E22" si="1">E3+1</f>
        <v>1997</v>
      </c>
      <c r="F4" s="6">
        <f t="shared" ca="1" si="0"/>
        <v>688.09999999999991</v>
      </c>
      <c r="G4" s="6">
        <f t="shared" ca="1" si="0"/>
        <v>500.50000000000006</v>
      </c>
      <c r="H4" s="6">
        <f t="shared" ca="1" si="0"/>
        <v>455.19999999999993</v>
      </c>
      <c r="I4" s="6">
        <f t="shared" ca="1" si="0"/>
        <v>305.19999999999987</v>
      </c>
      <c r="J4" s="6">
        <f t="shared" ca="1" si="0"/>
        <v>204.59999999999991</v>
      </c>
      <c r="K4" s="6">
        <f t="shared" ca="1" si="0"/>
        <v>15.199999999999996</v>
      </c>
      <c r="L4" s="6">
        <f t="shared" ca="1" si="0"/>
        <v>0</v>
      </c>
      <c r="M4" s="6">
        <f t="shared" ca="1" si="0"/>
        <v>2.9</v>
      </c>
      <c r="N4" s="6">
        <f t="shared" ca="1" si="0"/>
        <v>34.400000000000006</v>
      </c>
      <c r="O4" s="6">
        <f t="shared" ca="1" si="0"/>
        <v>210.70000000000002</v>
      </c>
      <c r="P4" s="6">
        <f t="shared" ca="1" si="0"/>
        <v>427.29999999999995</v>
      </c>
      <c r="Q4" s="6">
        <f t="shared" ca="1" si="0"/>
        <v>534.09999999999991</v>
      </c>
    </row>
    <row r="5" spans="1:17" x14ac:dyDescent="0.25">
      <c r="A5" s="10">
        <v>34790</v>
      </c>
      <c r="B5" s="6">
        <v>329.49999999999983</v>
      </c>
      <c r="C5" s="6">
        <v>0</v>
      </c>
      <c r="E5" s="6">
        <f t="shared" si="1"/>
        <v>1998</v>
      </c>
      <c r="F5" s="6">
        <f t="shared" ca="1" si="0"/>
        <v>532.90000000000009</v>
      </c>
      <c r="G5" s="6">
        <f t="shared" ca="1" si="0"/>
        <v>429.89999999999992</v>
      </c>
      <c r="H5" s="6">
        <f t="shared" ca="1" si="0"/>
        <v>424.09999999999997</v>
      </c>
      <c r="I5" s="6">
        <f t="shared" ca="1" si="0"/>
        <v>232.7999999999999</v>
      </c>
      <c r="J5" s="6">
        <f t="shared" ca="1" si="0"/>
        <v>28.299999999999997</v>
      </c>
      <c r="K5" s="6">
        <f t="shared" ca="1" si="0"/>
        <v>42.100000000000009</v>
      </c>
      <c r="L5" s="6">
        <f t="shared" ca="1" si="0"/>
        <v>0</v>
      </c>
      <c r="M5" s="6">
        <f t="shared" ca="1" si="0"/>
        <v>0.5</v>
      </c>
      <c r="N5" s="6">
        <f t="shared" ca="1" si="0"/>
        <v>13.100000000000001</v>
      </c>
      <c r="O5" s="6">
        <f t="shared" ca="1" si="0"/>
        <v>158.89999999999998</v>
      </c>
      <c r="P5" s="6">
        <f t="shared" ca="1" si="0"/>
        <v>314.19999999999993</v>
      </c>
      <c r="Q5" s="6">
        <f t="shared" ca="1" si="0"/>
        <v>467.00000000000006</v>
      </c>
    </row>
    <row r="6" spans="1:17" x14ac:dyDescent="0.25">
      <c r="A6" s="10">
        <v>34820</v>
      </c>
      <c r="B6" s="6">
        <v>98.000000000000028</v>
      </c>
      <c r="C6" s="6">
        <v>9.8999999999999986</v>
      </c>
      <c r="E6" s="6">
        <f t="shared" si="1"/>
        <v>1999</v>
      </c>
      <c r="F6" s="6">
        <f t="shared" ca="1" si="0"/>
        <v>689.20000000000027</v>
      </c>
      <c r="G6" s="6">
        <f t="shared" ca="1" si="0"/>
        <v>480.4</v>
      </c>
      <c r="H6" s="6">
        <f t="shared" ca="1" si="0"/>
        <v>492.49999999999994</v>
      </c>
      <c r="I6" s="6">
        <f t="shared" ca="1" si="0"/>
        <v>229.59999999999997</v>
      </c>
      <c r="J6" s="6">
        <f t="shared" ca="1" si="0"/>
        <v>58.300000000000011</v>
      </c>
      <c r="K6" s="6">
        <f t="shared" ca="1" si="0"/>
        <v>17.599999999999998</v>
      </c>
      <c r="L6" s="6">
        <f t="shared" ca="1" si="0"/>
        <v>0</v>
      </c>
      <c r="M6" s="6">
        <f t="shared" ca="1" si="0"/>
        <v>0.5</v>
      </c>
      <c r="N6" s="6">
        <f t="shared" ca="1" si="0"/>
        <v>30.799999999999997</v>
      </c>
      <c r="O6" s="6">
        <f t="shared" ca="1" si="0"/>
        <v>204.09999999999997</v>
      </c>
      <c r="P6" s="6">
        <f t="shared" ca="1" si="0"/>
        <v>312.19999999999993</v>
      </c>
      <c r="Q6" s="6">
        <f t="shared" ca="1" si="0"/>
        <v>533.10000000000014</v>
      </c>
    </row>
    <row r="7" spans="1:17" x14ac:dyDescent="0.25">
      <c r="A7" s="10">
        <v>34851</v>
      </c>
      <c r="B7" s="6">
        <v>10.799999999999999</v>
      </c>
      <c r="C7" s="6">
        <v>122.6</v>
      </c>
      <c r="E7" s="6">
        <f t="shared" si="1"/>
        <v>2000</v>
      </c>
      <c r="F7" s="6">
        <f t="shared" ca="1" si="0"/>
        <v>652.79999999999995</v>
      </c>
      <c r="G7" s="6">
        <f t="shared" ca="1" si="0"/>
        <v>497.1</v>
      </c>
      <c r="H7" s="6">
        <f t="shared" ca="1" si="0"/>
        <v>348.29999999999995</v>
      </c>
      <c r="I7" s="6">
        <f t="shared" ca="1" si="0"/>
        <v>275.2999999999999</v>
      </c>
      <c r="J7" s="6">
        <f t="shared" ca="1" si="0"/>
        <v>74.000000000000014</v>
      </c>
      <c r="K7" s="6">
        <f t="shared" ca="1" si="0"/>
        <v>14.8</v>
      </c>
      <c r="L7" s="6">
        <f t="shared" ca="1" si="0"/>
        <v>0</v>
      </c>
      <c r="M7" s="6">
        <f t="shared" ca="1" si="0"/>
        <v>3.4000000000000004</v>
      </c>
      <c r="N7" s="6">
        <f t="shared" ca="1" si="0"/>
        <v>61.400000000000006</v>
      </c>
      <c r="O7" s="6">
        <f t="shared" ca="1" si="0"/>
        <v>148.4</v>
      </c>
      <c r="P7" s="6">
        <f t="shared" ca="1" si="0"/>
        <v>386.6</v>
      </c>
      <c r="Q7" s="6">
        <f t="shared" ca="1" si="0"/>
        <v>741.09999999999991</v>
      </c>
    </row>
    <row r="8" spans="1:17" x14ac:dyDescent="0.25">
      <c r="A8" s="10">
        <v>34881</v>
      </c>
      <c r="B8" s="6">
        <v>0.5</v>
      </c>
      <c r="C8" s="6">
        <v>188.60000000000002</v>
      </c>
      <c r="E8" s="6">
        <f t="shared" si="1"/>
        <v>2001</v>
      </c>
      <c r="F8" s="6">
        <f t="shared" ca="1" si="0"/>
        <v>626.20000000000005</v>
      </c>
      <c r="G8" s="6">
        <f t="shared" ca="1" si="0"/>
        <v>516.69999999999993</v>
      </c>
      <c r="H8" s="6">
        <f t="shared" ca="1" si="0"/>
        <v>499.49999999999994</v>
      </c>
      <c r="I8" s="6">
        <f t="shared" ca="1" si="0"/>
        <v>231.59999999999997</v>
      </c>
      <c r="J8" s="6">
        <f t="shared" ca="1" si="0"/>
        <v>67.300000000000011</v>
      </c>
      <c r="K8" s="6">
        <f t="shared" ca="1" si="0"/>
        <v>22.5</v>
      </c>
      <c r="L8" s="6">
        <f t="shared" ca="1" si="0"/>
        <v>2.7</v>
      </c>
      <c r="M8" s="6">
        <f t="shared" ca="1" si="0"/>
        <v>0</v>
      </c>
      <c r="N8" s="6">
        <f t="shared" ca="1" si="0"/>
        <v>60.800000000000011</v>
      </c>
      <c r="O8" s="6">
        <f t="shared" ca="1" si="0"/>
        <v>191.79999999999998</v>
      </c>
      <c r="P8" s="6">
        <f t="shared" ca="1" si="0"/>
        <v>254.39999999999992</v>
      </c>
      <c r="Q8" s="6">
        <f t="shared" ca="1" si="0"/>
        <v>470</v>
      </c>
    </row>
    <row r="9" spans="1:17" x14ac:dyDescent="0.25">
      <c r="A9" s="10">
        <v>34912</v>
      </c>
      <c r="B9" s="6">
        <v>0</v>
      </c>
      <c r="C9" s="6">
        <v>214.90000000000009</v>
      </c>
      <c r="E9" s="6">
        <f t="shared" si="1"/>
        <v>2002</v>
      </c>
      <c r="F9" s="6">
        <f t="shared" ca="1" si="0"/>
        <v>524.70000000000005</v>
      </c>
      <c r="G9" s="6">
        <f t="shared" ca="1" si="0"/>
        <v>476.09999999999997</v>
      </c>
      <c r="H9" s="6">
        <f t="shared" ca="1" si="0"/>
        <v>486.19999999999987</v>
      </c>
      <c r="I9" s="6">
        <f t="shared" ca="1" si="0"/>
        <v>259.7999999999999</v>
      </c>
      <c r="J9" s="6">
        <f t="shared" ca="1" si="0"/>
        <v>170.8</v>
      </c>
      <c r="K9" s="6">
        <f t="shared" ca="1" si="0"/>
        <v>12</v>
      </c>
      <c r="L9" s="6">
        <f t="shared" ca="1" si="0"/>
        <v>0</v>
      </c>
      <c r="M9" s="6">
        <f t="shared" ca="1" si="0"/>
        <v>0</v>
      </c>
      <c r="N9" s="6">
        <f t="shared" ca="1" si="0"/>
        <v>14.5</v>
      </c>
      <c r="O9" s="6">
        <f t="shared" ca="1" si="0"/>
        <v>240.79999999999993</v>
      </c>
      <c r="P9" s="6">
        <f t="shared" ca="1" si="0"/>
        <v>402.19999999999993</v>
      </c>
      <c r="Q9" s="6">
        <f t="shared" ca="1" si="0"/>
        <v>582.90000000000009</v>
      </c>
    </row>
    <row r="10" spans="1:17" x14ac:dyDescent="0.25">
      <c r="A10" s="10">
        <v>34943</v>
      </c>
      <c r="B10" s="6">
        <v>70.7</v>
      </c>
      <c r="C10" s="6">
        <v>37</v>
      </c>
      <c r="E10" s="6">
        <f t="shared" si="1"/>
        <v>2003</v>
      </c>
      <c r="F10" s="6">
        <f t="shared" ca="1" si="0"/>
        <v>730.59999999999991</v>
      </c>
      <c r="G10" s="6">
        <f t="shared" ca="1" si="0"/>
        <v>621.69999999999993</v>
      </c>
      <c r="H10" s="6">
        <f t="shared" ca="1" si="0"/>
        <v>490.29999999999995</v>
      </c>
      <c r="I10" s="6">
        <f t="shared" ca="1" si="0"/>
        <v>289.79999999999984</v>
      </c>
      <c r="J10" s="6">
        <f t="shared" ca="1" si="0"/>
        <v>128.50000000000003</v>
      </c>
      <c r="K10" s="6">
        <f t="shared" ca="1" si="0"/>
        <v>27.6</v>
      </c>
      <c r="L10" s="6">
        <f t="shared" ca="1" si="0"/>
        <v>0</v>
      </c>
      <c r="M10" s="6">
        <f t="shared" ca="1" si="0"/>
        <v>0</v>
      </c>
      <c r="N10" s="6">
        <f t="shared" ca="1" si="0"/>
        <v>42.7</v>
      </c>
      <c r="O10" s="6">
        <f t="shared" ca="1" si="0"/>
        <v>218.59999999999997</v>
      </c>
      <c r="P10" s="6">
        <f t="shared" ca="1" si="0"/>
        <v>335.49999999999994</v>
      </c>
      <c r="Q10" s="6">
        <f t="shared" ca="1" si="0"/>
        <v>531.90000000000009</v>
      </c>
    </row>
    <row r="11" spans="1:17" x14ac:dyDescent="0.25">
      <c r="A11" s="10">
        <v>34973</v>
      </c>
      <c r="B11" s="6">
        <v>155.6</v>
      </c>
      <c r="C11" s="6">
        <v>7.3</v>
      </c>
      <c r="E11" s="6">
        <f t="shared" si="1"/>
        <v>2004</v>
      </c>
      <c r="F11" s="6">
        <f t="shared" ca="1" si="0"/>
        <v>748.19999999999993</v>
      </c>
      <c r="G11" s="6">
        <f t="shared" ca="1" si="0"/>
        <v>557.70000000000005</v>
      </c>
      <c r="H11" s="6">
        <f t="shared" ca="1" si="0"/>
        <v>408.99999999999989</v>
      </c>
      <c r="I11" s="6">
        <f t="shared" ca="1" si="0"/>
        <v>239.89999999999992</v>
      </c>
      <c r="J11" s="6">
        <f t="shared" ca="1" si="0"/>
        <v>93.700000000000031</v>
      </c>
      <c r="K11" s="6">
        <f t="shared" ca="1" si="0"/>
        <v>16</v>
      </c>
      <c r="L11" s="6">
        <f t="shared" ca="1" si="0"/>
        <v>2.2000000000000002</v>
      </c>
      <c r="M11" s="6">
        <f t="shared" ca="1" si="0"/>
        <v>3.7</v>
      </c>
      <c r="N11" s="6">
        <f t="shared" ca="1" si="0"/>
        <v>18.7</v>
      </c>
      <c r="O11" s="6">
        <f t="shared" ca="1" si="0"/>
        <v>176.89999999999998</v>
      </c>
      <c r="P11" s="6">
        <f t="shared" ca="1" si="0"/>
        <v>343.49999999999989</v>
      </c>
      <c r="Q11" s="6">
        <f t="shared" ca="1" si="0"/>
        <v>589.10000000000014</v>
      </c>
    </row>
    <row r="12" spans="1:17" x14ac:dyDescent="0.25">
      <c r="A12" s="10">
        <v>35004</v>
      </c>
      <c r="B12" s="6">
        <v>468.29999999999995</v>
      </c>
      <c r="C12" s="6">
        <v>0</v>
      </c>
      <c r="E12" s="6">
        <f t="shared" si="1"/>
        <v>2005</v>
      </c>
      <c r="F12" s="6">
        <f t="shared" ca="1" si="0"/>
        <v>688.99999999999989</v>
      </c>
      <c r="G12" s="6">
        <f t="shared" ca="1" si="0"/>
        <v>543.30000000000007</v>
      </c>
      <c r="H12" s="6">
        <f t="shared" ca="1" si="0"/>
        <v>523.4</v>
      </c>
      <c r="I12" s="6">
        <f t="shared" ca="1" si="0"/>
        <v>228.5</v>
      </c>
      <c r="J12" s="6">
        <f t="shared" ca="1" si="0"/>
        <v>134.4</v>
      </c>
      <c r="K12" s="6">
        <f t="shared" ca="1" si="0"/>
        <v>3.4000000000000004</v>
      </c>
      <c r="L12" s="6">
        <f t="shared" ca="1" si="0"/>
        <v>0</v>
      </c>
      <c r="M12" s="6">
        <f t="shared" ca="1" si="0"/>
        <v>0</v>
      </c>
      <c r="N12" s="6">
        <f t="shared" ca="1" si="0"/>
        <v>13.5</v>
      </c>
      <c r="O12" s="6">
        <f t="shared" ca="1" si="0"/>
        <v>175.69999999999996</v>
      </c>
      <c r="P12" s="6">
        <f t="shared" ca="1" si="0"/>
        <v>344.8</v>
      </c>
      <c r="Q12" s="6">
        <f t="shared" ca="1" si="0"/>
        <v>637.60000000000025</v>
      </c>
    </row>
    <row r="13" spans="1:17" x14ac:dyDescent="0.25">
      <c r="A13" s="10">
        <v>35034</v>
      </c>
      <c r="B13" s="6">
        <v>642.09999999999991</v>
      </c>
      <c r="C13" s="6">
        <v>0</v>
      </c>
      <c r="E13" s="6">
        <f t="shared" si="1"/>
        <v>2006</v>
      </c>
      <c r="F13" s="6">
        <f t="shared" ca="1" si="0"/>
        <v>486.69999999999993</v>
      </c>
      <c r="G13" s="6">
        <f t="shared" ca="1" si="0"/>
        <v>530.70000000000005</v>
      </c>
      <c r="H13" s="6">
        <f t="shared" ca="1" si="0"/>
        <v>450.49999999999983</v>
      </c>
      <c r="I13" s="6">
        <f t="shared" ca="1" si="0"/>
        <v>211.6999999999999</v>
      </c>
      <c r="J13" s="6">
        <f t="shared" ca="1" si="0"/>
        <v>99.800000000000011</v>
      </c>
      <c r="K13" s="6">
        <f t="shared" ca="1" si="0"/>
        <v>10.3</v>
      </c>
      <c r="L13" s="6">
        <f t="shared" ca="1" si="0"/>
        <v>0</v>
      </c>
      <c r="M13" s="6">
        <f t="shared" ca="1" si="0"/>
        <v>0</v>
      </c>
      <c r="N13" s="6">
        <f t="shared" ca="1" si="0"/>
        <v>44.400000000000006</v>
      </c>
      <c r="O13" s="6">
        <f t="shared" ca="1" si="0"/>
        <v>243.09999999999991</v>
      </c>
      <c r="P13" s="6">
        <f t="shared" ca="1" si="0"/>
        <v>353.09999999999991</v>
      </c>
      <c r="Q13" s="6">
        <f t="shared" ca="1" si="0"/>
        <v>457.89999999999986</v>
      </c>
    </row>
    <row r="14" spans="1:17" x14ac:dyDescent="0.25">
      <c r="A14" s="10">
        <v>35065</v>
      </c>
      <c r="B14" s="6">
        <v>684.89999999999986</v>
      </c>
      <c r="C14" s="6">
        <v>0</v>
      </c>
      <c r="E14" s="6">
        <f t="shared" si="1"/>
        <v>2007</v>
      </c>
      <c r="F14" s="6">
        <f t="shared" ca="1" si="0"/>
        <v>588</v>
      </c>
      <c r="G14" s="6">
        <f t="shared" ca="1" si="0"/>
        <v>675.8</v>
      </c>
      <c r="H14" s="6">
        <f t="shared" ca="1" si="0"/>
        <v>417.69999999999993</v>
      </c>
      <c r="I14" s="6">
        <f t="shared" ca="1" si="0"/>
        <v>287.09999999999991</v>
      </c>
      <c r="J14" s="6">
        <f t="shared" ca="1" si="0"/>
        <v>85.8</v>
      </c>
      <c r="K14" s="6">
        <f t="shared" ca="1" si="0"/>
        <v>9.7999999999999989</v>
      </c>
      <c r="L14" s="6">
        <f t="shared" ca="1" si="0"/>
        <v>0.7</v>
      </c>
      <c r="M14" s="6">
        <f t="shared" ca="1" si="0"/>
        <v>3.9000000000000004</v>
      </c>
      <c r="N14" s="6">
        <f t="shared" ca="1" si="0"/>
        <v>24.099999999999998</v>
      </c>
      <c r="O14" s="6">
        <f t="shared" ca="1" si="0"/>
        <v>110.4</v>
      </c>
      <c r="P14" s="6">
        <f t="shared" ca="1" si="0"/>
        <v>402.3</v>
      </c>
      <c r="Q14" s="6">
        <f t="shared" ca="1" si="0"/>
        <v>593.40000000000009</v>
      </c>
    </row>
    <row r="15" spans="1:17" x14ac:dyDescent="0.25">
      <c r="A15" s="10">
        <v>35096</v>
      </c>
      <c r="B15" s="6">
        <v>608.79999999999995</v>
      </c>
      <c r="C15" s="6">
        <v>0</v>
      </c>
      <c r="E15" s="6">
        <f t="shared" si="1"/>
        <v>2008</v>
      </c>
      <c r="F15" s="6">
        <f t="shared" ca="1" si="0"/>
        <v>602.20000000000005</v>
      </c>
      <c r="G15" s="6">
        <f t="shared" ca="1" si="0"/>
        <v>616.1</v>
      </c>
      <c r="H15" s="6">
        <f t="shared" ca="1" si="0"/>
        <v>523.70000000000005</v>
      </c>
      <c r="I15" s="6">
        <f t="shared" ca="1" si="0"/>
        <v>212.59999999999991</v>
      </c>
      <c r="J15" s="6">
        <f t="shared" ca="1" si="0"/>
        <v>138.4</v>
      </c>
      <c r="K15" s="6">
        <f t="shared" ca="1" si="0"/>
        <v>5</v>
      </c>
      <c r="L15" s="6">
        <f t="shared" ca="1" si="0"/>
        <v>0.5</v>
      </c>
      <c r="M15" s="6">
        <f t="shared" ca="1" si="0"/>
        <v>1.5</v>
      </c>
      <c r="N15" s="6">
        <f t="shared" ca="1" si="0"/>
        <v>16.7</v>
      </c>
      <c r="O15" s="6">
        <f t="shared" ca="1" si="0"/>
        <v>218.89999999999998</v>
      </c>
      <c r="P15" s="6">
        <f t="shared" ca="1" si="0"/>
        <v>410.9</v>
      </c>
      <c r="Q15" s="6">
        <f t="shared" ca="1" si="0"/>
        <v>631.00000000000011</v>
      </c>
    </row>
    <row r="16" spans="1:17" x14ac:dyDescent="0.25">
      <c r="A16" s="10">
        <v>35125</v>
      </c>
      <c r="B16" s="6">
        <v>563</v>
      </c>
      <c r="C16" s="6">
        <v>0</v>
      </c>
      <c r="E16" s="6">
        <f t="shared" si="1"/>
        <v>2009</v>
      </c>
      <c r="F16" s="6">
        <f t="shared" ca="1" si="0"/>
        <v>768.79999999999973</v>
      </c>
      <c r="G16" s="6">
        <f t="shared" ca="1" si="0"/>
        <v>540</v>
      </c>
      <c r="H16" s="6">
        <f t="shared" ca="1" si="0"/>
        <v>456.7999999999999</v>
      </c>
      <c r="I16" s="6">
        <f t="shared" ca="1" si="0"/>
        <v>263.29999999999995</v>
      </c>
      <c r="J16" s="6">
        <f t="shared" ca="1" si="0"/>
        <v>83.40000000000002</v>
      </c>
      <c r="K16" s="6">
        <f t="shared" ca="1" si="0"/>
        <v>25.299999999999997</v>
      </c>
      <c r="L16" s="6">
        <f t="shared" ca="1" si="0"/>
        <v>0.5</v>
      </c>
      <c r="M16" s="6">
        <f t="shared" ca="1" si="0"/>
        <v>5.9</v>
      </c>
      <c r="N16" s="6">
        <f t="shared" ca="1" si="0"/>
        <v>26.2</v>
      </c>
      <c r="O16" s="6">
        <f t="shared" ca="1" si="0"/>
        <v>230.79999999999995</v>
      </c>
      <c r="P16" s="6">
        <f t="shared" ca="1" si="0"/>
        <v>305.49999999999989</v>
      </c>
      <c r="Q16" s="6">
        <f t="shared" ca="1" si="0"/>
        <v>582</v>
      </c>
    </row>
    <row r="17" spans="1:17" x14ac:dyDescent="0.25">
      <c r="A17" s="10">
        <v>35156</v>
      </c>
      <c r="B17" s="6">
        <v>319.49999999999989</v>
      </c>
      <c r="C17" s="6">
        <v>0.8</v>
      </c>
      <c r="E17" s="6">
        <f t="shared" si="1"/>
        <v>2010</v>
      </c>
      <c r="F17" s="6">
        <f t="shared" ca="1" si="0"/>
        <v>663.29999999999984</v>
      </c>
      <c r="G17" s="6">
        <f t="shared" ca="1" si="0"/>
        <v>557.29999999999995</v>
      </c>
      <c r="H17" s="6">
        <f t="shared" ca="1" si="0"/>
        <v>393.39999999999986</v>
      </c>
      <c r="I17" s="6">
        <f t="shared" ca="1" si="0"/>
        <v>174.9</v>
      </c>
      <c r="J17" s="6">
        <f t="shared" ca="1" si="0"/>
        <v>84.300000000000011</v>
      </c>
      <c r="K17" s="6">
        <f t="shared" ca="1" si="0"/>
        <v>3.9000000000000004</v>
      </c>
      <c r="L17" s="6">
        <f t="shared" ca="1" si="0"/>
        <v>0</v>
      </c>
      <c r="M17" s="6">
        <f t="shared" ca="1" si="0"/>
        <v>0</v>
      </c>
      <c r="N17" s="6">
        <f t="shared" ca="1" si="0"/>
        <v>38</v>
      </c>
      <c r="O17" s="6">
        <f t="shared" ca="1" si="0"/>
        <v>157.6</v>
      </c>
      <c r="P17" s="6">
        <f t="shared" ca="1" si="0"/>
        <v>376.59999999999991</v>
      </c>
      <c r="Q17" s="6">
        <f t="shared" ca="1" si="0"/>
        <v>645.59999999999991</v>
      </c>
    </row>
    <row r="18" spans="1:17" x14ac:dyDescent="0.25">
      <c r="A18" s="10">
        <v>35186</v>
      </c>
      <c r="B18" s="6">
        <v>150.89999999999998</v>
      </c>
      <c r="C18" s="6">
        <v>27.500000000000004</v>
      </c>
      <c r="E18" s="6">
        <f t="shared" si="1"/>
        <v>2011</v>
      </c>
      <c r="F18" s="6">
        <f t="shared" ca="1" si="0"/>
        <v>703.59999999999991</v>
      </c>
      <c r="G18" s="6">
        <f t="shared" ca="1" si="0"/>
        <v>583.20000000000005</v>
      </c>
      <c r="H18" s="6">
        <f t="shared" ca="1" si="0"/>
        <v>514.30000000000007</v>
      </c>
      <c r="I18" s="6">
        <f t="shared" ca="1" si="0"/>
        <v>278.59999999999985</v>
      </c>
      <c r="J18" s="6">
        <f t="shared" ca="1" si="0"/>
        <v>105.20000000000003</v>
      </c>
      <c r="K18" s="6">
        <f t="shared" ca="1" si="0"/>
        <v>7.6000000000000005</v>
      </c>
      <c r="L18" s="6">
        <f t="shared" ca="1" si="0"/>
        <v>0</v>
      </c>
      <c r="M18" s="6">
        <f t="shared" ca="1" si="0"/>
        <v>0</v>
      </c>
      <c r="N18" s="6">
        <f t="shared" ca="1" si="0"/>
        <v>51.4</v>
      </c>
      <c r="O18" s="6">
        <f t="shared" ca="1" si="0"/>
        <v>185.29999999999998</v>
      </c>
      <c r="P18" s="6">
        <f t="shared" ca="1" si="0"/>
        <v>297.2999999999999</v>
      </c>
      <c r="Q18" s="6">
        <f t="shared" ca="1" si="0"/>
        <v>485.4</v>
      </c>
    </row>
    <row r="19" spans="1:17" x14ac:dyDescent="0.25">
      <c r="A19" s="10">
        <v>35217</v>
      </c>
      <c r="B19" s="6">
        <v>3.2</v>
      </c>
      <c r="C19" s="6">
        <v>111.49999999999999</v>
      </c>
      <c r="E19" s="6">
        <f t="shared" si="1"/>
        <v>2012</v>
      </c>
      <c r="F19" s="6">
        <f t="shared" ref="F19:Q23" ca="1" si="2">OFFSET($B$2,(ROW()-2)*12+COLUMN()-6,0)</f>
        <v>559.59999999999991</v>
      </c>
      <c r="G19" s="6">
        <f t="shared" ca="1" si="2"/>
        <v>492.40000000000003</v>
      </c>
      <c r="H19" s="6">
        <f t="shared" ca="1" si="2"/>
        <v>250.79999999999995</v>
      </c>
      <c r="I19" s="6">
        <f t="shared" ca="1" si="2"/>
        <v>252.49999999999991</v>
      </c>
      <c r="J19" s="6">
        <f t="shared" ca="1" si="2"/>
        <v>48.2</v>
      </c>
      <c r="K19" s="6">
        <f t="shared" ca="1" si="2"/>
        <v>10.3</v>
      </c>
      <c r="L19" s="6">
        <f t="shared" ca="1" si="2"/>
        <v>0</v>
      </c>
      <c r="M19" s="6">
        <f t="shared" ca="1" si="2"/>
        <v>0.7</v>
      </c>
      <c r="N19" s="6">
        <f t="shared" ca="1" si="2"/>
        <v>53.2</v>
      </c>
      <c r="O19" s="6">
        <f t="shared" ca="1" si="2"/>
        <v>207.19999999999996</v>
      </c>
      <c r="P19" s="6">
        <f t="shared" ca="1" si="2"/>
        <v>405.49999999999994</v>
      </c>
      <c r="Q19" s="6">
        <f t="shared" ca="1" si="2"/>
        <v>484.20000000000005</v>
      </c>
    </row>
    <row r="20" spans="1:17" x14ac:dyDescent="0.25">
      <c r="A20" s="10">
        <v>35247</v>
      </c>
      <c r="B20" s="6">
        <v>0.89999999999999991</v>
      </c>
      <c r="C20" s="6">
        <v>122.79999999999997</v>
      </c>
      <c r="E20" s="6">
        <f t="shared" si="1"/>
        <v>2013</v>
      </c>
      <c r="F20" s="6">
        <f t="shared" ca="1" si="2"/>
        <v>598.19999999999993</v>
      </c>
      <c r="G20" s="6">
        <f t="shared" ca="1" si="2"/>
        <v>574.80000000000007</v>
      </c>
      <c r="H20" s="6">
        <f t="shared" ca="1" si="2"/>
        <v>505.20000000000005</v>
      </c>
      <c r="I20" s="6">
        <f t="shared" ca="1" si="2"/>
        <v>300.19999999999993</v>
      </c>
      <c r="J20" s="6">
        <f t="shared" ca="1" si="2"/>
        <v>73.300000000000011</v>
      </c>
      <c r="K20" s="6">
        <f t="shared" ca="1" si="2"/>
        <v>14.700000000000001</v>
      </c>
      <c r="L20" s="6">
        <f t="shared" ca="1" si="2"/>
        <v>1.5</v>
      </c>
      <c r="M20" s="6">
        <f t="shared" ca="1" si="2"/>
        <v>1.2</v>
      </c>
      <c r="N20" s="6">
        <f t="shared" ca="1" si="2"/>
        <v>41.2</v>
      </c>
      <c r="O20" s="6">
        <f t="shared" ca="1" si="2"/>
        <v>170.49999999999997</v>
      </c>
      <c r="P20" s="6">
        <f t="shared" ca="1" si="2"/>
        <v>424.9</v>
      </c>
      <c r="Q20" s="6">
        <f t="shared" ca="1" si="2"/>
        <v>614.30000000000007</v>
      </c>
    </row>
    <row r="21" spans="1:17" x14ac:dyDescent="0.25">
      <c r="A21" s="10">
        <v>35278</v>
      </c>
      <c r="B21" s="6">
        <v>0</v>
      </c>
      <c r="C21" s="6">
        <v>152.4</v>
      </c>
      <c r="E21" s="6">
        <f t="shared" si="1"/>
        <v>2014</v>
      </c>
      <c r="F21" s="6">
        <f t="shared" ca="1" si="2"/>
        <v>784.99999999999977</v>
      </c>
      <c r="G21" s="6">
        <f t="shared" ca="1" si="2"/>
        <v>674.19999999999982</v>
      </c>
      <c r="H21" s="6">
        <f t="shared" ca="1" si="2"/>
        <v>591.90000000000009</v>
      </c>
      <c r="I21" s="6">
        <f t="shared" ca="1" si="2"/>
        <v>253.7</v>
      </c>
      <c r="J21" s="6">
        <f t="shared" ca="1" si="2"/>
        <v>90.600000000000009</v>
      </c>
      <c r="K21" s="6">
        <f t="shared" ca="1" si="2"/>
        <v>2.4000000000000004</v>
      </c>
      <c r="L21" s="6">
        <f t="shared" ca="1" si="2"/>
        <v>0.7</v>
      </c>
      <c r="M21" s="6">
        <f t="shared" ca="1" si="2"/>
        <v>0.7</v>
      </c>
      <c r="N21" s="6">
        <f t="shared" ca="1" si="2"/>
        <v>57.20000000000001</v>
      </c>
      <c r="O21" s="6">
        <f t="shared" ca="1" si="2"/>
        <v>179.7</v>
      </c>
      <c r="P21" s="6">
        <f t="shared" ca="1" si="2"/>
        <v>442</v>
      </c>
      <c r="Q21" s="6">
        <f t="shared" ca="1" si="2"/>
        <v>513.9</v>
      </c>
    </row>
    <row r="22" spans="1:17" x14ac:dyDescent="0.25">
      <c r="A22" s="10">
        <v>35309</v>
      </c>
      <c r="B22" s="6">
        <v>41.5</v>
      </c>
      <c r="C22" s="6">
        <v>48.79999999999999</v>
      </c>
      <c r="E22" s="6">
        <f t="shared" si="1"/>
        <v>2015</v>
      </c>
      <c r="F22" s="6">
        <f t="shared" ca="1" si="2"/>
        <v>724.69999999999982</v>
      </c>
      <c r="G22" s="6">
        <f t="shared" ca="1" si="2"/>
        <v>757.39999999999986</v>
      </c>
      <c r="H22" s="6">
        <f t="shared" ca="1" si="2"/>
        <v>508.7</v>
      </c>
      <c r="I22" s="6">
        <f t="shared" ca="1" si="2"/>
        <v>257.39999999999992</v>
      </c>
      <c r="J22" s="6">
        <f t="shared" ca="1" si="2"/>
        <v>68.7</v>
      </c>
      <c r="K22" s="6">
        <f t="shared" ca="1" si="2"/>
        <v>13.1</v>
      </c>
      <c r="L22" s="6">
        <f t="shared" ca="1" si="2"/>
        <v>1.9</v>
      </c>
      <c r="M22" s="6">
        <f t="shared" ca="1" si="2"/>
        <v>3.2</v>
      </c>
      <c r="N22" s="6">
        <f t="shared" ca="1" si="2"/>
        <v>10.8</v>
      </c>
      <c r="O22" s="6">
        <f t="shared" ca="1" si="2"/>
        <v>157.80000000000001</v>
      </c>
      <c r="P22" s="6">
        <f t="shared" ca="1" si="2"/>
        <v>286.60000000000002</v>
      </c>
      <c r="Q22" s="6">
        <f t="shared" ca="1" si="2"/>
        <v>392.2</v>
      </c>
    </row>
    <row r="23" spans="1:17" x14ac:dyDescent="0.25">
      <c r="A23" s="10">
        <v>35339</v>
      </c>
      <c r="B23" s="6">
        <v>197.29999999999998</v>
      </c>
      <c r="C23" s="6">
        <v>4.3</v>
      </c>
      <c r="E23" s="6">
        <v>2016</v>
      </c>
      <c r="F23" s="6">
        <f t="shared" ca="1" si="2"/>
        <v>618.5</v>
      </c>
      <c r="G23" s="6">
        <f t="shared" ca="1" si="2"/>
        <v>510.5</v>
      </c>
      <c r="H23" s="6">
        <f t="shared" ca="1" si="2"/>
        <v>350.9</v>
      </c>
      <c r="I23" s="6">
        <f t="shared" ca="1" si="2"/>
        <v>315.20000000000005</v>
      </c>
      <c r="J23" s="6">
        <f t="shared" ca="1" si="2"/>
        <v>110.9</v>
      </c>
      <c r="K23" s="6">
        <f t="shared" ca="1" si="2"/>
        <v>5.6</v>
      </c>
      <c r="L23" s="6">
        <f t="shared" ca="1" si="2"/>
        <v>0</v>
      </c>
      <c r="M23" s="6">
        <f t="shared" ca="1" si="2"/>
        <v>0</v>
      </c>
      <c r="N23" s="6">
        <f t="shared" ca="1" si="2"/>
        <v>8</v>
      </c>
      <c r="O23" s="6">
        <f t="shared" ca="1" si="2"/>
        <v>146</v>
      </c>
      <c r="P23" s="6">
        <f t="shared" ca="1" si="2"/>
        <v>290.7</v>
      </c>
      <c r="Q23" s="6">
        <f t="shared" ca="1" si="2"/>
        <v>581.1</v>
      </c>
    </row>
    <row r="24" spans="1:17" x14ac:dyDescent="0.25">
      <c r="A24" s="10">
        <v>35370</v>
      </c>
      <c r="B24" s="6">
        <v>473.70000000000005</v>
      </c>
      <c r="C24" s="6">
        <v>0</v>
      </c>
      <c r="E24" s="6">
        <v>2017</v>
      </c>
      <c r="F24" s="6">
        <f ca="1">TREND(F$4:F$23,$E$4:$E$23,$E24)</f>
        <v>672.8231578947366</v>
      </c>
      <c r="G24" s="6">
        <f t="shared" ref="G24:Q25" ca="1" si="3">TREND(G$4:G$23,$E$4:$E$23,$E24)</f>
        <v>637.28000000000065</v>
      </c>
      <c r="H24" s="6">
        <f t="shared" ca="1" si="3"/>
        <v>454.88210526315794</v>
      </c>
      <c r="I24" s="6">
        <f t="shared" ca="1" si="3"/>
        <v>263.13947368421032</v>
      </c>
      <c r="J24" s="6">
        <f t="shared" ca="1" si="3"/>
        <v>83.360526315789684</v>
      </c>
      <c r="K24" s="6">
        <f t="shared" ca="1" si="3"/>
        <v>4.5368421052630765</v>
      </c>
      <c r="L24" s="6">
        <f t="shared" ca="1" si="3"/>
        <v>0.74263157894736764</v>
      </c>
      <c r="M24" s="6">
        <f t="shared" ca="1" si="3"/>
        <v>1.3442105263157895</v>
      </c>
      <c r="N24" s="6">
        <f t="shared" ca="1" si="3"/>
        <v>31.753157894736859</v>
      </c>
      <c r="O24" s="6">
        <f t="shared" ca="1" si="3"/>
        <v>172.31210526315772</v>
      </c>
      <c r="P24" s="6">
        <f t="shared" ca="1" si="3"/>
        <v>359.30631578947367</v>
      </c>
      <c r="Q24" s="6">
        <f t="shared" ca="1" si="3"/>
        <v>536.3357894736846</v>
      </c>
    </row>
    <row r="25" spans="1:17" x14ac:dyDescent="0.25">
      <c r="A25" s="10">
        <v>35400</v>
      </c>
      <c r="B25" s="6">
        <v>549.29999999999995</v>
      </c>
      <c r="C25" s="6">
        <v>0</v>
      </c>
      <c r="E25" s="6">
        <v>2018</v>
      </c>
      <c r="F25" s="6">
        <f ca="1">TREND(F$4:F$23,$E$4:$E$23,$E25)</f>
        <v>675.09060150375944</v>
      </c>
      <c r="G25" s="6">
        <f t="shared" ca="1" si="3"/>
        <v>644.94571428571362</v>
      </c>
      <c r="H25" s="6">
        <f t="shared" ca="1" si="3"/>
        <v>454.90706766917299</v>
      </c>
      <c r="I25" s="6">
        <f t="shared" ca="1" si="3"/>
        <v>263.91609022556372</v>
      </c>
      <c r="J25" s="6">
        <f t="shared" ca="1" si="3"/>
        <v>82.021052631579096</v>
      </c>
      <c r="K25" s="6">
        <f t="shared" ca="1" si="3"/>
        <v>3.6393984962405739</v>
      </c>
      <c r="L25" s="6">
        <f t="shared" ca="1" si="3"/>
        <v>0.76240601503759109</v>
      </c>
      <c r="M25" s="6">
        <f t="shared" ca="1" si="3"/>
        <v>1.3384210526315794</v>
      </c>
      <c r="N25" s="6">
        <f t="shared" ca="1" si="3"/>
        <v>31.629172932330818</v>
      </c>
      <c r="O25" s="6">
        <f t="shared" ca="1" si="3"/>
        <v>170.94563909774433</v>
      </c>
      <c r="P25" s="6">
        <f t="shared" ca="1" si="3"/>
        <v>359.63977443609014</v>
      </c>
      <c r="Q25" s="6">
        <f t="shared" ca="1" si="3"/>
        <v>534.71157894736871</v>
      </c>
    </row>
    <row r="26" spans="1:17" x14ac:dyDescent="0.25">
      <c r="A26" s="10">
        <v>35431</v>
      </c>
      <c r="B26" s="6">
        <v>688.09999999999991</v>
      </c>
      <c r="C26" s="6">
        <v>0</v>
      </c>
      <c r="E26" s="11" t="s">
        <v>43</v>
      </c>
      <c r="F26" s="6">
        <f ca="1">AVERAGE(F14:F23)</f>
        <v>661.18999999999994</v>
      </c>
      <c r="G26" s="6">
        <f t="shared" ref="G26:Q26" ca="1" si="4">AVERAGE(G14:G23)</f>
        <v>598.16999999999985</v>
      </c>
      <c r="H26" s="6">
        <f t="shared" ca="1" si="4"/>
        <v>451.34</v>
      </c>
      <c r="I26" s="6">
        <f t="shared" ca="1" si="4"/>
        <v>259.5499999999999</v>
      </c>
      <c r="J26" s="6">
        <f t="shared" ca="1" si="4"/>
        <v>88.880000000000024</v>
      </c>
      <c r="K26" s="6">
        <f t="shared" ca="1" si="4"/>
        <v>9.77</v>
      </c>
      <c r="L26" s="6">
        <f t="shared" ca="1" si="4"/>
        <v>0.58000000000000007</v>
      </c>
      <c r="M26" s="6">
        <f t="shared" ca="1" si="4"/>
        <v>1.7099999999999997</v>
      </c>
      <c r="N26" s="6">
        <f t="shared" ca="1" si="4"/>
        <v>32.68</v>
      </c>
      <c r="O26" s="6">
        <f t="shared" ca="1" si="4"/>
        <v>176.42</v>
      </c>
      <c r="P26" s="6">
        <f t="shared" ca="1" si="4"/>
        <v>364.2299999999999</v>
      </c>
      <c r="Q26" s="6">
        <f t="shared" ca="1" si="4"/>
        <v>552.31000000000006</v>
      </c>
    </row>
    <row r="27" spans="1:17" x14ac:dyDescent="0.25">
      <c r="A27" s="10">
        <v>35462</v>
      </c>
      <c r="B27" s="6">
        <v>500.50000000000006</v>
      </c>
      <c r="C27" s="6">
        <v>0</v>
      </c>
      <c r="E27" s="11" t="s">
        <v>44</v>
      </c>
      <c r="F27" s="6">
        <f ca="1">AVERAGE(F4:F23)</f>
        <v>649.01499999999999</v>
      </c>
      <c r="G27" s="6">
        <f t="shared" ref="G27:Q27" ca="1" si="5">AVERAGE(G4:G23)</f>
        <v>556.78999999999985</v>
      </c>
      <c r="H27" s="6">
        <f t="shared" ca="1" si="5"/>
        <v>454.62</v>
      </c>
      <c r="I27" s="6">
        <f t="shared" ca="1" si="5"/>
        <v>254.9849999999999</v>
      </c>
      <c r="J27" s="6">
        <f t="shared" ca="1" si="5"/>
        <v>97.425000000000011</v>
      </c>
      <c r="K27" s="6">
        <f t="shared" ca="1" si="5"/>
        <v>13.960000000000003</v>
      </c>
      <c r="L27" s="6">
        <f t="shared" ca="1" si="5"/>
        <v>0.53500000000000003</v>
      </c>
      <c r="M27" s="6">
        <f t="shared" ca="1" si="5"/>
        <v>1.4049999999999998</v>
      </c>
      <c r="N27" s="6">
        <f t="shared" ca="1" si="5"/>
        <v>33.055000000000007</v>
      </c>
      <c r="O27" s="6">
        <f t="shared" ca="1" si="5"/>
        <v>186.65999999999997</v>
      </c>
      <c r="P27" s="6">
        <f t="shared" ca="1" si="5"/>
        <v>355.80500000000001</v>
      </c>
      <c r="Q27" s="6">
        <f t="shared" ca="1" si="5"/>
        <v>553.3900000000001</v>
      </c>
    </row>
    <row r="28" spans="1:17" x14ac:dyDescent="0.25">
      <c r="A28" s="10">
        <v>35490</v>
      </c>
      <c r="B28" s="6">
        <v>455.19999999999993</v>
      </c>
      <c r="C28" s="6">
        <v>0</v>
      </c>
    </row>
    <row r="29" spans="1:17" x14ac:dyDescent="0.25">
      <c r="A29" s="10">
        <v>35521</v>
      </c>
      <c r="B29" s="6">
        <v>305.19999999999987</v>
      </c>
      <c r="C29" s="6">
        <v>0.3</v>
      </c>
    </row>
    <row r="30" spans="1:17" x14ac:dyDescent="0.25">
      <c r="A30" s="10">
        <v>35551</v>
      </c>
      <c r="B30" s="6">
        <v>204.59999999999991</v>
      </c>
      <c r="C30" s="6">
        <v>0</v>
      </c>
    </row>
    <row r="31" spans="1:17" x14ac:dyDescent="0.25">
      <c r="A31" s="10">
        <v>35582</v>
      </c>
      <c r="B31" s="6">
        <v>15.199999999999996</v>
      </c>
      <c r="C31" s="6">
        <v>106.5</v>
      </c>
    </row>
    <row r="32" spans="1:17" x14ac:dyDescent="0.25">
      <c r="A32" s="10">
        <v>35612</v>
      </c>
      <c r="B32" s="6">
        <v>0</v>
      </c>
      <c r="C32" s="6">
        <v>145.5</v>
      </c>
    </row>
    <row r="33" spans="1:17" x14ac:dyDescent="0.25">
      <c r="A33" s="10">
        <v>35643</v>
      </c>
      <c r="B33" s="6">
        <v>2.9</v>
      </c>
      <c r="C33" s="6">
        <v>85.799999999999969</v>
      </c>
      <c r="E33" s="7" t="s">
        <v>29</v>
      </c>
      <c r="F33" s="8" t="s">
        <v>30</v>
      </c>
      <c r="G33" s="8" t="s">
        <v>31</v>
      </c>
      <c r="H33" s="8" t="s">
        <v>32</v>
      </c>
      <c r="I33" s="8" t="s">
        <v>33</v>
      </c>
      <c r="J33" s="8" t="s">
        <v>34</v>
      </c>
      <c r="K33" s="8" t="s">
        <v>35</v>
      </c>
      <c r="L33" s="8" t="s">
        <v>36</v>
      </c>
      <c r="M33" s="9" t="s">
        <v>37</v>
      </c>
      <c r="N33" s="9" t="s">
        <v>38</v>
      </c>
      <c r="O33" s="9" t="s">
        <v>39</v>
      </c>
      <c r="P33" s="9" t="s">
        <v>40</v>
      </c>
      <c r="Q33" s="9" t="s">
        <v>41</v>
      </c>
    </row>
    <row r="34" spans="1:17" x14ac:dyDescent="0.25">
      <c r="A34" s="10">
        <v>35674</v>
      </c>
      <c r="B34" s="6">
        <v>34.400000000000006</v>
      </c>
      <c r="C34" s="6">
        <v>41.3</v>
      </c>
      <c r="E34" s="6">
        <v>1995</v>
      </c>
      <c r="F34" s="6">
        <f t="shared" ref="F34:F50" ca="1" si="6">OFFSET($C$2,(ROW()-34)*12+COLUMN()-6,0)</f>
        <v>0</v>
      </c>
      <c r="G34" s="6">
        <f t="shared" ref="G34:Q49" ca="1" si="7">OFFSET($C$2,(ROW()-34)*12+COLUMN()-6,0)</f>
        <v>0</v>
      </c>
      <c r="H34" s="6">
        <f t="shared" ca="1" si="7"/>
        <v>0</v>
      </c>
      <c r="I34" s="6">
        <f t="shared" ca="1" si="7"/>
        <v>0</v>
      </c>
      <c r="J34" s="6">
        <f t="shared" ca="1" si="7"/>
        <v>9.8999999999999986</v>
      </c>
      <c r="K34" s="6">
        <f t="shared" ca="1" si="7"/>
        <v>122.6</v>
      </c>
      <c r="L34" s="6">
        <f t="shared" ca="1" si="7"/>
        <v>188.60000000000002</v>
      </c>
      <c r="M34" s="6">
        <f t="shared" ca="1" si="7"/>
        <v>214.90000000000009</v>
      </c>
      <c r="N34" s="6">
        <f t="shared" ca="1" si="7"/>
        <v>37</v>
      </c>
      <c r="O34" s="6">
        <f t="shared" ca="1" si="7"/>
        <v>7.3</v>
      </c>
      <c r="P34" s="6">
        <f t="shared" ca="1" si="7"/>
        <v>0</v>
      </c>
      <c r="Q34" s="6">
        <f t="shared" ca="1" si="7"/>
        <v>0</v>
      </c>
    </row>
    <row r="35" spans="1:17" x14ac:dyDescent="0.25">
      <c r="A35" s="10">
        <v>35704</v>
      </c>
      <c r="B35" s="6">
        <v>210.70000000000002</v>
      </c>
      <c r="C35" s="6">
        <v>28.6</v>
      </c>
      <c r="E35" s="6">
        <v>1996</v>
      </c>
      <c r="F35" s="6">
        <f t="shared" ca="1" si="6"/>
        <v>0</v>
      </c>
      <c r="G35" s="6">
        <f t="shared" ca="1" si="7"/>
        <v>0</v>
      </c>
      <c r="H35" s="6">
        <f t="shared" ca="1" si="7"/>
        <v>0</v>
      </c>
      <c r="I35" s="6">
        <f t="shared" ca="1" si="7"/>
        <v>0.8</v>
      </c>
      <c r="J35" s="6">
        <f t="shared" ca="1" si="7"/>
        <v>27.500000000000004</v>
      </c>
      <c r="K35" s="6">
        <f t="shared" ca="1" si="7"/>
        <v>111.49999999999999</v>
      </c>
      <c r="L35" s="6">
        <f t="shared" ca="1" si="7"/>
        <v>122.79999999999997</v>
      </c>
      <c r="M35" s="6">
        <f t="shared" ca="1" si="7"/>
        <v>152.4</v>
      </c>
      <c r="N35" s="6">
        <f t="shared" ca="1" si="7"/>
        <v>48.79999999999999</v>
      </c>
      <c r="O35" s="6">
        <f t="shared" ca="1" si="7"/>
        <v>4.3</v>
      </c>
      <c r="P35" s="6">
        <f t="shared" ca="1" si="7"/>
        <v>0</v>
      </c>
      <c r="Q35" s="6">
        <f t="shared" ca="1" si="7"/>
        <v>0</v>
      </c>
    </row>
    <row r="36" spans="1:17" x14ac:dyDescent="0.25">
      <c r="A36" s="10">
        <v>35735</v>
      </c>
      <c r="B36" s="6">
        <v>427.29999999999995</v>
      </c>
      <c r="C36" s="6">
        <v>0</v>
      </c>
      <c r="E36" s="6">
        <v>1997</v>
      </c>
      <c r="F36" s="6">
        <f t="shared" ca="1" si="6"/>
        <v>0</v>
      </c>
      <c r="G36" s="6">
        <f t="shared" ca="1" si="7"/>
        <v>0</v>
      </c>
      <c r="H36" s="6">
        <f t="shared" ca="1" si="7"/>
        <v>0</v>
      </c>
      <c r="I36" s="6">
        <f t="shared" ca="1" si="7"/>
        <v>0.3</v>
      </c>
      <c r="J36" s="6">
        <f t="shared" ca="1" si="7"/>
        <v>0</v>
      </c>
      <c r="K36" s="6">
        <f t="shared" ca="1" si="7"/>
        <v>106.5</v>
      </c>
      <c r="L36" s="6">
        <f t="shared" ca="1" si="7"/>
        <v>145.5</v>
      </c>
      <c r="M36" s="6">
        <f t="shared" ca="1" si="7"/>
        <v>85.799999999999969</v>
      </c>
      <c r="N36" s="6">
        <f t="shared" ca="1" si="7"/>
        <v>41.3</v>
      </c>
      <c r="O36" s="6">
        <f t="shared" ca="1" si="7"/>
        <v>28.6</v>
      </c>
      <c r="P36" s="6">
        <f t="shared" ca="1" si="7"/>
        <v>0</v>
      </c>
      <c r="Q36" s="6">
        <f t="shared" ca="1" si="7"/>
        <v>0</v>
      </c>
    </row>
    <row r="37" spans="1:17" x14ac:dyDescent="0.25">
      <c r="A37" s="10">
        <v>35765</v>
      </c>
      <c r="B37" s="6">
        <v>534.09999999999991</v>
      </c>
      <c r="C37" s="6">
        <v>0</v>
      </c>
      <c r="E37" s="6">
        <v>1998</v>
      </c>
      <c r="F37" s="6">
        <f t="shared" ca="1" si="6"/>
        <v>0</v>
      </c>
      <c r="G37" s="6">
        <f t="shared" ca="1" si="7"/>
        <v>0</v>
      </c>
      <c r="H37" s="6">
        <f t="shared" ca="1" si="7"/>
        <v>7.1</v>
      </c>
      <c r="I37" s="6">
        <f t="shared" ca="1" si="7"/>
        <v>0</v>
      </c>
      <c r="J37" s="6">
        <f t="shared" ca="1" si="7"/>
        <v>66.399999999999991</v>
      </c>
      <c r="K37" s="6">
        <f t="shared" ca="1" si="7"/>
        <v>133.4</v>
      </c>
      <c r="L37" s="6">
        <f t="shared" ca="1" si="7"/>
        <v>177.89999999999998</v>
      </c>
      <c r="M37" s="6">
        <f t="shared" ca="1" si="7"/>
        <v>169.20000000000002</v>
      </c>
      <c r="N37" s="6">
        <f t="shared" ca="1" si="7"/>
        <v>100.8</v>
      </c>
      <c r="O37" s="6">
        <f t="shared" ca="1" si="7"/>
        <v>5.6</v>
      </c>
      <c r="P37" s="6">
        <f t="shared" ca="1" si="7"/>
        <v>0</v>
      </c>
      <c r="Q37" s="6">
        <f t="shared" ca="1" si="7"/>
        <v>0</v>
      </c>
    </row>
    <row r="38" spans="1:17" x14ac:dyDescent="0.25">
      <c r="A38" s="10">
        <v>35796</v>
      </c>
      <c r="B38" s="6">
        <v>532.90000000000009</v>
      </c>
      <c r="C38" s="6">
        <v>0</v>
      </c>
      <c r="E38" s="6">
        <v>1999</v>
      </c>
      <c r="F38" s="6">
        <f t="shared" ca="1" si="6"/>
        <v>0</v>
      </c>
      <c r="G38" s="6">
        <f t="shared" ca="1" si="7"/>
        <v>0</v>
      </c>
      <c r="H38" s="6">
        <f t="shared" ca="1" si="7"/>
        <v>0</v>
      </c>
      <c r="I38" s="6">
        <f t="shared" ca="1" si="7"/>
        <v>0</v>
      </c>
      <c r="J38" s="6">
        <f t="shared" ca="1" si="7"/>
        <v>35.6</v>
      </c>
      <c r="K38" s="6">
        <f t="shared" ca="1" si="7"/>
        <v>147.69999999999999</v>
      </c>
      <c r="L38" s="6">
        <f t="shared" ca="1" si="7"/>
        <v>245.40000000000012</v>
      </c>
      <c r="M38" s="6">
        <f t="shared" ca="1" si="7"/>
        <v>120.69999999999997</v>
      </c>
      <c r="N38" s="6">
        <f t="shared" ca="1" si="7"/>
        <v>68.399999999999977</v>
      </c>
      <c r="O38" s="6">
        <f t="shared" ca="1" si="7"/>
        <v>3.5</v>
      </c>
      <c r="P38" s="6">
        <f t="shared" ca="1" si="7"/>
        <v>0</v>
      </c>
      <c r="Q38" s="6">
        <f t="shared" ca="1" si="7"/>
        <v>0</v>
      </c>
    </row>
    <row r="39" spans="1:17" x14ac:dyDescent="0.25">
      <c r="A39" s="10">
        <v>35827</v>
      </c>
      <c r="B39" s="6">
        <v>429.89999999999992</v>
      </c>
      <c r="C39" s="6">
        <v>0</v>
      </c>
      <c r="E39" s="6">
        <v>2000</v>
      </c>
      <c r="F39" s="6">
        <f t="shared" ca="1" si="6"/>
        <v>0</v>
      </c>
      <c r="G39" s="6">
        <f t="shared" ca="1" si="7"/>
        <v>0</v>
      </c>
      <c r="H39" s="6">
        <f t="shared" ca="1" si="7"/>
        <v>1.8</v>
      </c>
      <c r="I39" s="6">
        <f t="shared" ca="1" si="7"/>
        <v>0.3</v>
      </c>
      <c r="J39" s="6">
        <f t="shared" ca="1" si="7"/>
        <v>47.099999999999987</v>
      </c>
      <c r="K39" s="6">
        <f t="shared" ca="1" si="7"/>
        <v>120.59999999999998</v>
      </c>
      <c r="L39" s="6">
        <f t="shared" ca="1" si="7"/>
        <v>113.69999999999997</v>
      </c>
      <c r="M39" s="6">
        <f t="shared" ca="1" si="7"/>
        <v>131.5</v>
      </c>
      <c r="N39" s="6">
        <f t="shared" ca="1" si="7"/>
        <v>62.499999999999993</v>
      </c>
      <c r="O39" s="6">
        <f t="shared" ca="1" si="7"/>
        <v>6.1</v>
      </c>
      <c r="P39" s="6">
        <f t="shared" ca="1" si="7"/>
        <v>0</v>
      </c>
      <c r="Q39" s="6">
        <f t="shared" ca="1" si="7"/>
        <v>0</v>
      </c>
    </row>
    <row r="40" spans="1:17" x14ac:dyDescent="0.25">
      <c r="A40" s="10">
        <v>35855</v>
      </c>
      <c r="B40" s="6">
        <v>424.09999999999997</v>
      </c>
      <c r="C40" s="6">
        <v>7.1</v>
      </c>
      <c r="E40" s="6">
        <v>2001</v>
      </c>
      <c r="F40" s="6">
        <f t="shared" ca="1" si="6"/>
        <v>0</v>
      </c>
      <c r="G40" s="6">
        <f t="shared" ca="1" si="7"/>
        <v>0</v>
      </c>
      <c r="H40" s="6">
        <f t="shared" ca="1" si="7"/>
        <v>0</v>
      </c>
      <c r="I40" s="6">
        <f t="shared" ca="1" si="7"/>
        <v>3.8</v>
      </c>
      <c r="J40" s="6">
        <f t="shared" ca="1" si="7"/>
        <v>31.300000000000004</v>
      </c>
      <c r="K40" s="6">
        <f t="shared" ca="1" si="7"/>
        <v>123.29999999999998</v>
      </c>
      <c r="L40" s="6">
        <f t="shared" ca="1" si="7"/>
        <v>172.20000000000005</v>
      </c>
      <c r="M40" s="6">
        <f t="shared" ca="1" si="7"/>
        <v>185.70000000000007</v>
      </c>
      <c r="N40" s="6">
        <f t="shared" ca="1" si="7"/>
        <v>42.899999999999984</v>
      </c>
      <c r="O40" s="6">
        <f t="shared" ca="1" si="7"/>
        <v>4.5999999999999996</v>
      </c>
      <c r="P40" s="6">
        <f t="shared" ca="1" si="7"/>
        <v>0</v>
      </c>
      <c r="Q40" s="6">
        <f t="shared" ca="1" si="7"/>
        <v>0</v>
      </c>
    </row>
    <row r="41" spans="1:17" x14ac:dyDescent="0.25">
      <c r="A41" s="10">
        <v>35886</v>
      </c>
      <c r="B41" s="6">
        <v>232.7999999999999</v>
      </c>
      <c r="C41" s="6">
        <v>0</v>
      </c>
      <c r="E41" s="6">
        <v>2002</v>
      </c>
      <c r="F41" s="6">
        <f t="shared" ca="1" si="6"/>
        <v>0</v>
      </c>
      <c r="G41" s="6">
        <f t="shared" ca="1" si="7"/>
        <v>0</v>
      </c>
      <c r="H41" s="6">
        <f t="shared" ca="1" si="7"/>
        <v>0</v>
      </c>
      <c r="I41" s="6">
        <f t="shared" ca="1" si="7"/>
        <v>22.6</v>
      </c>
      <c r="J41" s="6">
        <f t="shared" ca="1" si="7"/>
        <v>16.5</v>
      </c>
      <c r="K41" s="6">
        <f t="shared" ca="1" si="7"/>
        <v>132</v>
      </c>
      <c r="L41" s="6">
        <f t="shared" ca="1" si="7"/>
        <v>216.30000000000004</v>
      </c>
      <c r="M41" s="6">
        <f t="shared" ca="1" si="7"/>
        <v>168.30000000000004</v>
      </c>
      <c r="N41" s="6">
        <f t="shared" ca="1" si="7"/>
        <v>105.19999999999999</v>
      </c>
      <c r="O41" s="6">
        <f t="shared" ca="1" si="7"/>
        <v>16.100000000000001</v>
      </c>
      <c r="P41" s="6">
        <f t="shared" ca="1" si="7"/>
        <v>0</v>
      </c>
      <c r="Q41" s="6">
        <f t="shared" ca="1" si="7"/>
        <v>0</v>
      </c>
    </row>
    <row r="42" spans="1:17" x14ac:dyDescent="0.25">
      <c r="A42" s="10">
        <v>35916</v>
      </c>
      <c r="B42" s="6">
        <v>28.299999999999997</v>
      </c>
      <c r="C42" s="6">
        <v>66.399999999999991</v>
      </c>
      <c r="E42" s="6">
        <v>2003</v>
      </c>
      <c r="F42" s="6">
        <f t="shared" ca="1" si="6"/>
        <v>0</v>
      </c>
      <c r="G42" s="6">
        <f t="shared" ca="1" si="7"/>
        <v>0</v>
      </c>
      <c r="H42" s="6">
        <f t="shared" ca="1" si="7"/>
        <v>0</v>
      </c>
      <c r="I42" s="6">
        <f t="shared" ca="1" si="7"/>
        <v>5.0999999999999996</v>
      </c>
      <c r="J42" s="6">
        <f t="shared" ca="1" si="7"/>
        <v>2.6</v>
      </c>
      <c r="K42" s="6">
        <f t="shared" ca="1" si="7"/>
        <v>72.8</v>
      </c>
      <c r="L42" s="6">
        <f t="shared" ca="1" si="7"/>
        <v>156.4</v>
      </c>
      <c r="M42" s="6">
        <f t="shared" ca="1" si="7"/>
        <v>163.80000000000001</v>
      </c>
      <c r="N42" s="6">
        <f t="shared" ca="1" si="7"/>
        <v>48.3</v>
      </c>
      <c r="O42" s="6">
        <f t="shared" ca="1" si="7"/>
        <v>3</v>
      </c>
      <c r="P42" s="6">
        <f t="shared" ca="1" si="7"/>
        <v>0</v>
      </c>
      <c r="Q42" s="6">
        <f t="shared" ca="1" si="7"/>
        <v>0</v>
      </c>
    </row>
    <row r="43" spans="1:17" x14ac:dyDescent="0.25">
      <c r="A43" s="10">
        <v>35947</v>
      </c>
      <c r="B43" s="6">
        <v>42.100000000000009</v>
      </c>
      <c r="C43" s="6">
        <v>133.4</v>
      </c>
      <c r="E43" s="6">
        <v>2004</v>
      </c>
      <c r="F43" s="6">
        <f t="shared" ca="1" si="6"/>
        <v>0</v>
      </c>
      <c r="G43" s="6">
        <f t="shared" ca="1" si="7"/>
        <v>0</v>
      </c>
      <c r="H43" s="6">
        <f t="shared" ca="1" si="7"/>
        <v>0</v>
      </c>
      <c r="I43" s="6">
        <f t="shared" ca="1" si="7"/>
        <v>12.100000000000001</v>
      </c>
      <c r="J43" s="6">
        <f t="shared" ca="1" si="7"/>
        <v>37.4</v>
      </c>
      <c r="K43" s="6">
        <f t="shared" ca="1" si="7"/>
        <v>76.999999999999986</v>
      </c>
      <c r="L43" s="6">
        <f t="shared" ca="1" si="7"/>
        <v>138.5</v>
      </c>
      <c r="M43" s="6">
        <f t="shared" ca="1" si="7"/>
        <v>90.09999999999998</v>
      </c>
      <c r="N43" s="6">
        <f t="shared" ca="1" si="7"/>
        <v>77.999999999999986</v>
      </c>
      <c r="O43" s="6">
        <f t="shared" ca="1" si="7"/>
        <v>2.8</v>
      </c>
      <c r="P43" s="6">
        <f t="shared" ca="1" si="7"/>
        <v>0</v>
      </c>
      <c r="Q43" s="6">
        <f t="shared" ca="1" si="7"/>
        <v>0</v>
      </c>
    </row>
    <row r="44" spans="1:17" x14ac:dyDescent="0.25">
      <c r="A44" s="10">
        <v>35977</v>
      </c>
      <c r="B44" s="6">
        <v>0</v>
      </c>
      <c r="C44" s="6">
        <v>177.89999999999998</v>
      </c>
      <c r="E44" s="6">
        <v>2005</v>
      </c>
      <c r="F44" s="6">
        <f t="shared" ca="1" si="6"/>
        <v>0</v>
      </c>
      <c r="G44" s="6">
        <f t="shared" ca="1" si="7"/>
        <v>0</v>
      </c>
      <c r="H44" s="6">
        <f t="shared" ca="1" si="7"/>
        <v>0</v>
      </c>
      <c r="I44" s="6">
        <f t="shared" ca="1" si="7"/>
        <v>2.8</v>
      </c>
      <c r="J44" s="6">
        <f t="shared" ca="1" si="7"/>
        <v>8.1</v>
      </c>
      <c r="K44" s="6">
        <f t="shared" ca="1" si="7"/>
        <v>174.20000000000002</v>
      </c>
      <c r="L44" s="6">
        <f t="shared" ca="1" si="7"/>
        <v>203.80000000000007</v>
      </c>
      <c r="M44" s="6">
        <f t="shared" ca="1" si="7"/>
        <v>192.20000000000007</v>
      </c>
      <c r="N44" s="6">
        <f t="shared" ca="1" si="7"/>
        <v>91.6</v>
      </c>
      <c r="O44" s="6">
        <f t="shared" ca="1" si="7"/>
        <v>23.9</v>
      </c>
      <c r="P44" s="6">
        <f t="shared" ca="1" si="7"/>
        <v>0</v>
      </c>
      <c r="Q44" s="6">
        <f t="shared" ca="1" si="7"/>
        <v>0</v>
      </c>
    </row>
    <row r="45" spans="1:17" x14ac:dyDescent="0.25">
      <c r="A45" s="10">
        <v>36008</v>
      </c>
      <c r="B45" s="6">
        <v>0.5</v>
      </c>
      <c r="C45" s="6">
        <v>169.20000000000002</v>
      </c>
      <c r="E45" s="6">
        <v>2006</v>
      </c>
      <c r="F45" s="6">
        <f t="shared" ca="1" si="6"/>
        <v>0</v>
      </c>
      <c r="G45" s="6">
        <f t="shared" ca="1" si="7"/>
        <v>0</v>
      </c>
      <c r="H45" s="6">
        <f t="shared" ca="1" si="7"/>
        <v>0</v>
      </c>
      <c r="I45" s="6">
        <f t="shared" ca="1" si="7"/>
        <v>0.8</v>
      </c>
      <c r="J45" s="6">
        <f t="shared" ca="1" si="7"/>
        <v>46.2</v>
      </c>
      <c r="K45" s="6">
        <f t="shared" ca="1" si="7"/>
        <v>90.799999999999983</v>
      </c>
      <c r="L45" s="6">
        <f t="shared" ca="1" si="7"/>
        <v>206.00000000000006</v>
      </c>
      <c r="M45" s="6">
        <f t="shared" ca="1" si="7"/>
        <v>155.30000000000001</v>
      </c>
      <c r="N45" s="6">
        <f t="shared" ca="1" si="7"/>
        <v>27.900000000000002</v>
      </c>
      <c r="O45" s="6">
        <f t="shared" ca="1" si="7"/>
        <v>1.8</v>
      </c>
      <c r="P45" s="6">
        <f t="shared" ca="1" si="7"/>
        <v>0</v>
      </c>
      <c r="Q45" s="6">
        <f t="shared" ca="1" si="7"/>
        <v>0</v>
      </c>
    </row>
    <row r="46" spans="1:17" x14ac:dyDescent="0.25">
      <c r="A46" s="10">
        <v>36039</v>
      </c>
      <c r="B46" s="6">
        <v>13.100000000000001</v>
      </c>
      <c r="C46" s="6">
        <v>100.8</v>
      </c>
      <c r="E46" s="6">
        <v>2007</v>
      </c>
      <c r="F46" s="6">
        <f t="shared" ca="1" si="6"/>
        <v>0</v>
      </c>
      <c r="G46" s="6">
        <f t="shared" ca="1" si="7"/>
        <v>0</v>
      </c>
      <c r="H46" s="6">
        <f t="shared" ca="1" si="7"/>
        <v>4</v>
      </c>
      <c r="I46" s="6">
        <f t="shared" ca="1" si="7"/>
        <v>2.8</v>
      </c>
      <c r="J46" s="6">
        <f t="shared" ca="1" si="7"/>
        <v>48.099999999999994</v>
      </c>
      <c r="K46" s="6">
        <f t="shared" ca="1" si="7"/>
        <v>131.6</v>
      </c>
      <c r="L46" s="6">
        <f t="shared" ca="1" si="7"/>
        <v>144</v>
      </c>
      <c r="M46" s="6">
        <f t="shared" ca="1" si="7"/>
        <v>173.3</v>
      </c>
      <c r="N46" s="6">
        <f t="shared" ca="1" si="7"/>
        <v>77.299999999999983</v>
      </c>
      <c r="O46" s="6">
        <f t="shared" ca="1" si="7"/>
        <v>40.699999999999996</v>
      </c>
      <c r="P46" s="6">
        <f t="shared" ca="1" si="7"/>
        <v>0</v>
      </c>
      <c r="Q46" s="6">
        <f t="shared" ca="1" si="7"/>
        <v>0</v>
      </c>
    </row>
    <row r="47" spans="1:17" x14ac:dyDescent="0.25">
      <c r="A47" s="10">
        <v>36069</v>
      </c>
      <c r="B47" s="6">
        <v>158.89999999999998</v>
      </c>
      <c r="C47" s="6">
        <v>5.6</v>
      </c>
      <c r="E47" s="6">
        <v>2008</v>
      </c>
      <c r="F47" s="6">
        <f t="shared" ca="1" si="6"/>
        <v>0</v>
      </c>
      <c r="G47" s="6">
        <f t="shared" ca="1" si="7"/>
        <v>0</v>
      </c>
      <c r="H47" s="6">
        <f t="shared" ca="1" si="7"/>
        <v>0</v>
      </c>
      <c r="I47" s="6">
        <f t="shared" ca="1" si="7"/>
        <v>1.5</v>
      </c>
      <c r="J47" s="6">
        <f t="shared" ca="1" si="7"/>
        <v>13.399999999999999</v>
      </c>
      <c r="K47" s="6">
        <f t="shared" ca="1" si="7"/>
        <v>120.39999999999998</v>
      </c>
      <c r="L47" s="6">
        <f t="shared" ca="1" si="7"/>
        <v>180.50000000000006</v>
      </c>
      <c r="M47" s="6">
        <f t="shared" ca="1" si="7"/>
        <v>137.09999999999997</v>
      </c>
      <c r="N47" s="6">
        <f t="shared" ca="1" si="7"/>
        <v>56.099999999999994</v>
      </c>
      <c r="O47" s="6">
        <f t="shared" ca="1" si="7"/>
        <v>2.2999999999999998</v>
      </c>
      <c r="P47" s="6">
        <f t="shared" ca="1" si="7"/>
        <v>0</v>
      </c>
      <c r="Q47" s="6">
        <f t="shared" ca="1" si="7"/>
        <v>0</v>
      </c>
    </row>
    <row r="48" spans="1:17" x14ac:dyDescent="0.25">
      <c r="A48" s="10">
        <v>36100</v>
      </c>
      <c r="B48" s="6">
        <v>314.19999999999993</v>
      </c>
      <c r="C48" s="6">
        <v>0</v>
      </c>
      <c r="E48" s="6">
        <v>2009</v>
      </c>
      <c r="F48" s="6">
        <f t="shared" ca="1" si="6"/>
        <v>0</v>
      </c>
      <c r="G48" s="6">
        <f t="shared" ca="1" si="7"/>
        <v>0</v>
      </c>
      <c r="H48" s="6">
        <f t="shared" ca="1" si="7"/>
        <v>0</v>
      </c>
      <c r="I48" s="6">
        <f t="shared" ca="1" si="7"/>
        <v>10.399999999999999</v>
      </c>
      <c r="J48" s="6">
        <f t="shared" ca="1" si="7"/>
        <v>12.899999999999999</v>
      </c>
      <c r="K48" s="6">
        <f t="shared" ca="1" si="7"/>
        <v>79.399999999999991</v>
      </c>
      <c r="L48" s="6">
        <f t="shared" ca="1" si="7"/>
        <v>100.19999999999999</v>
      </c>
      <c r="M48" s="6">
        <f t="shared" ca="1" si="7"/>
        <v>133.4</v>
      </c>
      <c r="N48" s="6">
        <f t="shared" ca="1" si="7"/>
        <v>54.699999999999989</v>
      </c>
      <c r="O48" s="6">
        <f t="shared" ca="1" si="7"/>
        <v>0</v>
      </c>
      <c r="P48" s="6">
        <f t="shared" ca="1" si="7"/>
        <v>0</v>
      </c>
      <c r="Q48" s="6">
        <f t="shared" ca="1" si="7"/>
        <v>0</v>
      </c>
    </row>
    <row r="49" spans="1:17" x14ac:dyDescent="0.25">
      <c r="A49" s="10">
        <v>36130</v>
      </c>
      <c r="B49" s="6">
        <v>467.00000000000006</v>
      </c>
      <c r="C49" s="6">
        <v>0</v>
      </c>
      <c r="E49" s="6">
        <v>2010</v>
      </c>
      <c r="F49" s="6">
        <f t="shared" ca="1" si="6"/>
        <v>0</v>
      </c>
      <c r="G49" s="6">
        <f t="shared" ca="1" si="7"/>
        <v>0</v>
      </c>
      <c r="H49" s="6">
        <f t="shared" ca="1" si="7"/>
        <v>0</v>
      </c>
      <c r="I49" s="6">
        <f t="shared" ca="1" si="7"/>
        <v>5</v>
      </c>
      <c r="J49" s="6">
        <f t="shared" ca="1" si="7"/>
        <v>59.699999999999989</v>
      </c>
      <c r="K49" s="6">
        <f t="shared" ca="1" si="7"/>
        <v>135.89999999999998</v>
      </c>
      <c r="L49" s="6">
        <f t="shared" ca="1" si="7"/>
        <v>227.00000000000006</v>
      </c>
      <c r="M49" s="6">
        <f t="shared" ca="1" si="7"/>
        <v>211.80000000000004</v>
      </c>
      <c r="N49" s="6">
        <f t="shared" ca="1" si="7"/>
        <v>59.699999999999989</v>
      </c>
      <c r="O49" s="6">
        <f t="shared" ca="1" si="7"/>
        <v>1.4000000000000001</v>
      </c>
      <c r="P49" s="6">
        <f t="shared" ca="1" si="7"/>
        <v>0</v>
      </c>
      <c r="Q49" s="6">
        <f t="shared" ca="1" si="7"/>
        <v>0</v>
      </c>
    </row>
    <row r="50" spans="1:17" x14ac:dyDescent="0.25">
      <c r="A50" s="10">
        <v>36161</v>
      </c>
      <c r="B50" s="6">
        <v>689.20000000000027</v>
      </c>
      <c r="C50" s="6">
        <v>0</v>
      </c>
      <c r="E50" s="6">
        <v>2011</v>
      </c>
      <c r="F50" s="6">
        <f t="shared" ca="1" si="6"/>
        <v>0</v>
      </c>
      <c r="G50" s="6">
        <f t="shared" ref="G50:Q50" ca="1" si="8">OFFSET($C$2,(ROW()-34)*12+COLUMN()-6,0)</f>
        <v>0</v>
      </c>
      <c r="H50" s="6">
        <f t="shared" ca="1" si="8"/>
        <v>0</v>
      </c>
      <c r="I50" s="6">
        <f t="shared" ca="1" si="8"/>
        <v>0.5</v>
      </c>
      <c r="J50" s="6">
        <f t="shared" ca="1" si="8"/>
        <v>37.200000000000003</v>
      </c>
      <c r="K50" s="6">
        <f t="shared" ca="1" si="8"/>
        <v>115.89999999999998</v>
      </c>
      <c r="L50" s="6">
        <f t="shared" ca="1" si="8"/>
        <v>255.50000000000006</v>
      </c>
      <c r="M50" s="6">
        <f t="shared" ca="1" si="8"/>
        <v>159.50000000000003</v>
      </c>
      <c r="N50" s="6">
        <f t="shared" ca="1" si="8"/>
        <v>60.199999999999989</v>
      </c>
      <c r="O50" s="6">
        <f t="shared" ca="1" si="8"/>
        <v>2.6999999999999997</v>
      </c>
      <c r="P50" s="6">
        <f t="shared" ca="1" si="8"/>
        <v>0</v>
      </c>
      <c r="Q50" s="6">
        <f t="shared" ca="1" si="8"/>
        <v>0</v>
      </c>
    </row>
    <row r="51" spans="1:17" x14ac:dyDescent="0.25">
      <c r="A51" s="10">
        <v>36192</v>
      </c>
      <c r="B51" s="6">
        <v>480.4</v>
      </c>
      <c r="C51" s="6">
        <v>0</v>
      </c>
      <c r="E51" s="6">
        <v>2012</v>
      </c>
      <c r="F51" s="6">
        <f t="shared" ref="F51:Q55" ca="1" si="9">OFFSET($C$2,(ROW()-34)*12+COLUMN()-6,0)</f>
        <v>0</v>
      </c>
      <c r="G51" s="6">
        <f t="shared" ca="1" si="9"/>
        <v>0</v>
      </c>
      <c r="H51" s="6">
        <f t="shared" ca="1" si="9"/>
        <v>4.8</v>
      </c>
      <c r="I51" s="6">
        <f t="shared" ca="1" si="9"/>
        <v>4.3</v>
      </c>
      <c r="J51" s="6">
        <f t="shared" ca="1" si="9"/>
        <v>59.3</v>
      </c>
      <c r="K51" s="6">
        <f t="shared" ca="1" si="9"/>
        <v>147.09999999999997</v>
      </c>
      <c r="L51" s="6">
        <f t="shared" ca="1" si="9"/>
        <v>235.50000000000009</v>
      </c>
      <c r="M51" s="6">
        <f t="shared" ca="1" si="9"/>
        <v>143.69999999999999</v>
      </c>
      <c r="N51" s="6">
        <f t="shared" ca="1" si="9"/>
        <v>50.29999999999999</v>
      </c>
      <c r="O51" s="6">
        <f t="shared" ca="1" si="9"/>
        <v>5.6</v>
      </c>
      <c r="P51" s="6">
        <f t="shared" ca="1" si="9"/>
        <v>0</v>
      </c>
      <c r="Q51" s="6">
        <f t="shared" ca="1" si="9"/>
        <v>0</v>
      </c>
    </row>
    <row r="52" spans="1:17" x14ac:dyDescent="0.25">
      <c r="A52" s="10">
        <v>36220</v>
      </c>
      <c r="B52" s="6">
        <v>492.49999999999994</v>
      </c>
      <c r="C52" s="6">
        <v>0</v>
      </c>
      <c r="E52" s="6">
        <v>2013</v>
      </c>
      <c r="F52" s="6">
        <f t="shared" ca="1" si="9"/>
        <v>0</v>
      </c>
      <c r="G52" s="6">
        <f t="shared" ca="1" si="9"/>
        <v>0</v>
      </c>
      <c r="H52" s="6">
        <f t="shared" ca="1" si="9"/>
        <v>0</v>
      </c>
      <c r="I52" s="6">
        <f t="shared" ca="1" si="9"/>
        <v>0</v>
      </c>
      <c r="J52" s="6">
        <f t="shared" ca="1" si="9"/>
        <v>59.899999999999991</v>
      </c>
      <c r="K52" s="6">
        <f t="shared" ca="1" si="9"/>
        <v>103.49999999999999</v>
      </c>
      <c r="L52" s="6">
        <f t="shared" ca="1" si="9"/>
        <v>174.80000000000004</v>
      </c>
      <c r="M52" s="6">
        <f t="shared" ca="1" si="9"/>
        <v>134.29999999999998</v>
      </c>
      <c r="N52" s="6">
        <f t="shared" ca="1" si="9"/>
        <v>65.3</v>
      </c>
      <c r="O52" s="6">
        <f t="shared" ca="1" si="9"/>
        <v>19.899999999999999</v>
      </c>
      <c r="P52" s="6">
        <f t="shared" ca="1" si="9"/>
        <v>0</v>
      </c>
      <c r="Q52" s="6">
        <f t="shared" ca="1" si="9"/>
        <v>0</v>
      </c>
    </row>
    <row r="53" spans="1:17" x14ac:dyDescent="0.25">
      <c r="A53" s="10">
        <v>36251</v>
      </c>
      <c r="B53" s="6">
        <v>229.59999999999997</v>
      </c>
      <c r="C53" s="6">
        <v>0</v>
      </c>
      <c r="E53" s="6">
        <v>2014</v>
      </c>
      <c r="F53" s="6">
        <f t="shared" ca="1" si="9"/>
        <v>0</v>
      </c>
      <c r="G53" s="6">
        <f t="shared" ca="1" si="9"/>
        <v>0</v>
      </c>
      <c r="H53" s="6">
        <f t="shared" ca="1" si="9"/>
        <v>0</v>
      </c>
      <c r="I53" s="6">
        <f t="shared" ca="1" si="9"/>
        <v>0</v>
      </c>
      <c r="J53" s="6">
        <f t="shared" ca="1" si="9"/>
        <v>36.4</v>
      </c>
      <c r="K53" s="6">
        <f t="shared" ca="1" si="9"/>
        <v>123.29999999999997</v>
      </c>
      <c r="L53" s="6">
        <f t="shared" ca="1" si="9"/>
        <v>113.59999999999997</v>
      </c>
      <c r="M53" s="6">
        <f t="shared" ca="1" si="9"/>
        <v>130.19999999999996</v>
      </c>
      <c r="N53" s="6">
        <f t="shared" ca="1" si="9"/>
        <v>50.499999999999979</v>
      </c>
      <c r="O53" s="6">
        <f t="shared" ca="1" si="9"/>
        <v>3.9</v>
      </c>
      <c r="P53" s="6">
        <f t="shared" ca="1" si="9"/>
        <v>0</v>
      </c>
      <c r="Q53" s="6">
        <f t="shared" ca="1" si="9"/>
        <v>0</v>
      </c>
    </row>
    <row r="54" spans="1:17" x14ac:dyDescent="0.25">
      <c r="A54" s="10">
        <v>36281</v>
      </c>
      <c r="B54" s="6">
        <v>58.300000000000011</v>
      </c>
      <c r="C54" s="6">
        <v>35.6</v>
      </c>
      <c r="E54" s="6">
        <v>2015</v>
      </c>
      <c r="F54" s="6">
        <f t="shared" ca="1" si="9"/>
        <v>0</v>
      </c>
      <c r="G54" s="6">
        <f t="shared" ca="1" si="9"/>
        <v>0</v>
      </c>
      <c r="H54" s="6">
        <f t="shared" ca="1" si="9"/>
        <v>0</v>
      </c>
      <c r="I54" s="6">
        <f t="shared" ca="1" si="9"/>
        <v>0</v>
      </c>
      <c r="J54" s="6">
        <f t="shared" ca="1" si="9"/>
        <v>64.099999999999994</v>
      </c>
      <c r="K54" s="6">
        <f t="shared" ca="1" si="9"/>
        <v>89.59999999999998</v>
      </c>
      <c r="L54" s="6">
        <f t="shared" ca="1" si="9"/>
        <v>152.89999999999998</v>
      </c>
      <c r="M54" s="6">
        <f t="shared" ca="1" si="9"/>
        <v>138.69999999999999</v>
      </c>
      <c r="N54" s="6">
        <f t="shared" ca="1" si="9"/>
        <v>109.19999999999997</v>
      </c>
      <c r="O54" s="6">
        <f t="shared" ca="1" si="9"/>
        <v>2.6</v>
      </c>
      <c r="P54" s="6">
        <f t="shared" ca="1" si="9"/>
        <v>0.5</v>
      </c>
      <c r="Q54" s="6">
        <f t="shared" ca="1" si="9"/>
        <v>0</v>
      </c>
    </row>
    <row r="55" spans="1:17" x14ac:dyDescent="0.25">
      <c r="A55" s="10">
        <v>36312</v>
      </c>
      <c r="B55" s="6">
        <v>17.599999999999998</v>
      </c>
      <c r="C55" s="6">
        <v>147.69999999999999</v>
      </c>
      <c r="E55" s="6">
        <v>2016</v>
      </c>
      <c r="F55" s="6">
        <f t="shared" ca="1" si="9"/>
        <v>0</v>
      </c>
      <c r="G55" s="6">
        <f t="shared" ca="1" si="9"/>
        <v>0</v>
      </c>
      <c r="H55" s="6">
        <f t="shared" ca="1" si="9"/>
        <v>0</v>
      </c>
      <c r="I55" s="6">
        <f t="shared" ca="1" si="9"/>
        <v>0</v>
      </c>
      <c r="J55" s="6">
        <f t="shared" ca="1" si="9"/>
        <v>47</v>
      </c>
      <c r="K55" s="6">
        <f t="shared" ca="1" si="9"/>
        <v>127.2</v>
      </c>
      <c r="L55" s="6">
        <f t="shared" ca="1" si="9"/>
        <v>213.1</v>
      </c>
      <c r="M55" s="6">
        <f t="shared" ca="1" si="9"/>
        <v>219</v>
      </c>
      <c r="N55" s="6">
        <f t="shared" ca="1" si="9"/>
        <v>90.1</v>
      </c>
      <c r="O55" s="6">
        <f t="shared" ca="1" si="9"/>
        <v>22.7</v>
      </c>
      <c r="P55" s="6">
        <f t="shared" ca="1" si="9"/>
        <v>0</v>
      </c>
      <c r="Q55" s="6">
        <f t="shared" ca="1" si="9"/>
        <v>0</v>
      </c>
    </row>
    <row r="56" spans="1:17" x14ac:dyDescent="0.25">
      <c r="A56" s="10">
        <v>36342</v>
      </c>
      <c r="B56" s="6">
        <v>0</v>
      </c>
      <c r="C56" s="6">
        <v>245.40000000000012</v>
      </c>
      <c r="E56" s="6">
        <v>2017</v>
      </c>
      <c r="F56" s="6">
        <f ca="1">MAX(TREND(F$36:F$55,$E$36:$E$55,$E56),0)</f>
        <v>0</v>
      </c>
      <c r="G56" s="6">
        <f t="shared" ref="G56:Q57" ca="1" si="10">MAX(TREND(G$36:G$55,$E$36:$E$55,$E56),0)</f>
        <v>0</v>
      </c>
      <c r="H56" s="6">
        <f t="shared" ca="1" si="10"/>
        <v>0.19578947368418653</v>
      </c>
      <c r="I56" s="6">
        <f t="shared" ca="1" si="10"/>
        <v>1.9247368421052897</v>
      </c>
      <c r="J56" s="6">
        <f t="shared" ca="1" si="10"/>
        <v>50.841052631578805</v>
      </c>
      <c r="K56" s="6">
        <f t="shared" ca="1" si="10"/>
        <v>113.74473684210534</v>
      </c>
      <c r="L56" s="6">
        <f t="shared" ca="1" si="10"/>
        <v>185.71842105263181</v>
      </c>
      <c r="M56" s="6">
        <f t="shared" ca="1" si="10"/>
        <v>168.4052631578943</v>
      </c>
      <c r="N56" s="6">
        <f t="shared" ca="1" si="10"/>
        <v>70.334736842105258</v>
      </c>
      <c r="O56" s="6">
        <f t="shared" ca="1" si="10"/>
        <v>8.7973684210526244</v>
      </c>
      <c r="P56" s="6">
        <f t="shared" ca="1" si="10"/>
        <v>9.2105263157895578E-2</v>
      </c>
      <c r="Q56" s="6">
        <f t="shared" ca="1" si="10"/>
        <v>0</v>
      </c>
    </row>
    <row r="57" spans="1:17" x14ac:dyDescent="0.25">
      <c r="A57" s="10">
        <v>36373</v>
      </c>
      <c r="B57" s="6">
        <v>0.5</v>
      </c>
      <c r="C57" s="6">
        <v>120.69999999999997</v>
      </c>
      <c r="E57" s="6">
        <v>2018</v>
      </c>
      <c r="F57" s="6">
        <f ca="1">MAX(TREND(F$36:F$55,$E$36:$E$55,$E57),0)</f>
        <v>0</v>
      </c>
      <c r="G57" s="6">
        <f t="shared" ca="1" si="10"/>
        <v>0</v>
      </c>
      <c r="H57" s="6">
        <f t="shared" ca="1" si="10"/>
        <v>0.13015037593982015</v>
      </c>
      <c r="I57" s="6">
        <f t="shared" ca="1" si="10"/>
        <v>1.7637593984962336</v>
      </c>
      <c r="J57" s="6">
        <f t="shared" ca="1" si="10"/>
        <v>52.210676691729077</v>
      </c>
      <c r="K57" s="6">
        <f t="shared" ca="1" si="10"/>
        <v>113.37661654135343</v>
      </c>
      <c r="L57" s="6">
        <f t="shared" ca="1" si="10"/>
        <v>186.39255639097769</v>
      </c>
      <c r="M57" s="6">
        <f t="shared" ca="1" si="10"/>
        <v>169.95052631578938</v>
      </c>
      <c r="N57" s="6">
        <f t="shared" ca="1" si="10"/>
        <v>70.650902255639153</v>
      </c>
      <c r="O57" s="6">
        <f t="shared" ca="1" si="10"/>
        <v>8.6933082706766811</v>
      </c>
      <c r="P57" s="6">
        <f t="shared" ca="1" si="10"/>
        <v>9.849624060150397E-2</v>
      </c>
      <c r="Q57" s="6">
        <f t="shared" ca="1" si="10"/>
        <v>0</v>
      </c>
    </row>
    <row r="58" spans="1:17" x14ac:dyDescent="0.25">
      <c r="A58" s="10">
        <v>36404</v>
      </c>
      <c r="B58" s="6">
        <v>30.799999999999997</v>
      </c>
      <c r="C58" s="6">
        <v>68.399999999999977</v>
      </c>
      <c r="E58" s="11" t="s">
        <v>43</v>
      </c>
      <c r="F58" s="6">
        <f ca="1">AVERAGE(F46:F55)</f>
        <v>0</v>
      </c>
      <c r="G58" s="6">
        <f t="shared" ref="G58:Q58" ca="1" si="11">AVERAGE(G46:G55)</f>
        <v>0</v>
      </c>
      <c r="H58" s="6">
        <f t="shared" ca="1" si="11"/>
        <v>0.88000000000000012</v>
      </c>
      <c r="I58" s="6">
        <f t="shared" ca="1" si="11"/>
        <v>2.4500000000000002</v>
      </c>
      <c r="J58" s="6">
        <f t="shared" ca="1" si="11"/>
        <v>43.79999999999999</v>
      </c>
      <c r="K58" s="6">
        <f t="shared" ca="1" si="11"/>
        <v>117.38999999999999</v>
      </c>
      <c r="L58" s="6">
        <f t="shared" ca="1" si="11"/>
        <v>179.70999999999998</v>
      </c>
      <c r="M58" s="6">
        <f t="shared" ca="1" si="11"/>
        <v>158.1</v>
      </c>
      <c r="N58" s="6">
        <f t="shared" ca="1" si="11"/>
        <v>67.34</v>
      </c>
      <c r="O58" s="6">
        <f t="shared" ca="1" si="11"/>
        <v>10.18</v>
      </c>
      <c r="P58" s="6">
        <f t="shared" ca="1" si="11"/>
        <v>0.05</v>
      </c>
      <c r="Q58" s="6">
        <f t="shared" ca="1" si="11"/>
        <v>0</v>
      </c>
    </row>
    <row r="59" spans="1:17" x14ac:dyDescent="0.25">
      <c r="A59" s="10">
        <v>36434</v>
      </c>
      <c r="B59" s="6">
        <v>204.09999999999997</v>
      </c>
      <c r="C59" s="6">
        <v>3.5</v>
      </c>
      <c r="E59" s="11" t="s">
        <v>44</v>
      </c>
      <c r="F59" s="6">
        <f ca="1">AVERAGE(F36:F55)</f>
        <v>0</v>
      </c>
      <c r="G59" s="6">
        <f t="shared" ref="G59:Q59" ca="1" si="12">AVERAGE(G36:G55)</f>
        <v>0</v>
      </c>
      <c r="H59" s="6">
        <f t="shared" ca="1" si="12"/>
        <v>0.88500000000000001</v>
      </c>
      <c r="I59" s="6">
        <f t="shared" ca="1" si="12"/>
        <v>3.6149999999999998</v>
      </c>
      <c r="J59" s="6">
        <f t="shared" ca="1" si="12"/>
        <v>36.459999999999994</v>
      </c>
      <c r="K59" s="6">
        <f t="shared" ca="1" si="12"/>
        <v>117.60999999999999</v>
      </c>
      <c r="L59" s="6">
        <f t="shared" ca="1" si="12"/>
        <v>178.64000000000001</v>
      </c>
      <c r="M59" s="6">
        <f t="shared" ca="1" si="12"/>
        <v>152.18</v>
      </c>
      <c r="N59" s="6">
        <f t="shared" ca="1" si="12"/>
        <v>67.014999999999986</v>
      </c>
      <c r="O59" s="6">
        <f t="shared" ca="1" si="12"/>
        <v>9.8899999999999988</v>
      </c>
      <c r="P59" s="6">
        <f t="shared" ca="1" si="12"/>
        <v>2.5000000000000001E-2</v>
      </c>
      <c r="Q59" s="6">
        <f t="shared" ca="1" si="12"/>
        <v>0</v>
      </c>
    </row>
    <row r="60" spans="1:17" x14ac:dyDescent="0.25">
      <c r="A60" s="10">
        <v>36465</v>
      </c>
      <c r="B60" s="6">
        <v>312.19999999999993</v>
      </c>
      <c r="C60" s="6">
        <v>0</v>
      </c>
    </row>
    <row r="61" spans="1:17" x14ac:dyDescent="0.25">
      <c r="A61" s="10">
        <v>36495</v>
      </c>
      <c r="B61" s="6">
        <v>533.10000000000014</v>
      </c>
      <c r="C61" s="6">
        <v>0</v>
      </c>
    </row>
    <row r="62" spans="1:17" x14ac:dyDescent="0.25">
      <c r="A62" s="10">
        <v>36526</v>
      </c>
      <c r="B62" s="6">
        <v>652.79999999999995</v>
      </c>
      <c r="C62" s="6">
        <v>0</v>
      </c>
    </row>
    <row r="63" spans="1:17" x14ac:dyDescent="0.25">
      <c r="A63" s="10">
        <v>36557</v>
      </c>
      <c r="B63" s="6">
        <v>497.1</v>
      </c>
      <c r="C63" s="6">
        <v>0</v>
      </c>
    </row>
    <row r="64" spans="1:17" x14ac:dyDescent="0.25">
      <c r="A64" s="10">
        <v>36586</v>
      </c>
      <c r="B64" s="6">
        <v>348.29999999999995</v>
      </c>
      <c r="C64" s="6">
        <v>1.8</v>
      </c>
    </row>
    <row r="65" spans="1:13" x14ac:dyDescent="0.25">
      <c r="A65" s="10">
        <v>36617</v>
      </c>
      <c r="B65" s="6">
        <v>275.2999999999999</v>
      </c>
      <c r="C65" s="6">
        <v>0.3</v>
      </c>
    </row>
    <row r="66" spans="1:13" x14ac:dyDescent="0.25">
      <c r="A66" s="10">
        <v>36647</v>
      </c>
      <c r="B66" s="6">
        <v>74.000000000000014</v>
      </c>
      <c r="C66" s="6">
        <v>47.099999999999987</v>
      </c>
    </row>
    <row r="67" spans="1:13" ht="13.8" x14ac:dyDescent="0.25">
      <c r="A67" s="10">
        <v>36678</v>
      </c>
      <c r="B67" s="6">
        <v>14.8</v>
      </c>
      <c r="C67" s="6">
        <v>120.59999999999998</v>
      </c>
      <c r="E67" s="12" t="s">
        <v>45</v>
      </c>
      <c r="J67" s="12" t="s">
        <v>46</v>
      </c>
    </row>
    <row r="68" spans="1:13" x14ac:dyDescent="0.25">
      <c r="A68" s="10">
        <v>36708</v>
      </c>
      <c r="B68" s="6">
        <v>0</v>
      </c>
      <c r="C68" s="6">
        <v>113.69999999999997</v>
      </c>
      <c r="G68" s="13" t="s">
        <v>28</v>
      </c>
      <c r="H68" s="13" t="s">
        <v>29</v>
      </c>
      <c r="L68" s="6" t="s">
        <v>28</v>
      </c>
      <c r="M68" s="6" t="s">
        <v>29</v>
      </c>
    </row>
    <row r="69" spans="1:13" x14ac:dyDescent="0.25">
      <c r="A69" s="10">
        <v>36739</v>
      </c>
      <c r="B69" s="6">
        <v>3.4000000000000004</v>
      </c>
      <c r="C69" s="6">
        <v>131.5</v>
      </c>
      <c r="E69" s="6" t="s">
        <v>47</v>
      </c>
      <c r="F69" s="6" t="s">
        <v>48</v>
      </c>
      <c r="G69" s="6">
        <f t="shared" ref="G69:G80" ca="1" si="13">OFFSET($F$26,0,(ROW()-ROW(G$69)))</f>
        <v>661.18999999999994</v>
      </c>
      <c r="H69" s="6">
        <f t="shared" ref="H69:H80" ca="1" si="14">OFFSET($F$58,0,(ROW()-ROW(H$69)))</f>
        <v>0</v>
      </c>
      <c r="J69" s="6" t="s">
        <v>47</v>
      </c>
      <c r="K69" s="6" t="s">
        <v>48</v>
      </c>
      <c r="L69" s="14">
        <f t="shared" ref="L69:L80" ca="1" si="15">OFFSET($F$25,0,(ROW()-ROW(G$69)))</f>
        <v>675.09060150375944</v>
      </c>
      <c r="M69" s="14">
        <f ca="1">OFFSET($F$57,0,(ROW()-ROW(G$69)))</f>
        <v>0</v>
      </c>
    </row>
    <row r="70" spans="1:13" x14ac:dyDescent="0.25">
      <c r="A70" s="10">
        <v>36770</v>
      </c>
      <c r="B70" s="6">
        <v>61.400000000000006</v>
      </c>
      <c r="C70" s="6">
        <v>62.499999999999993</v>
      </c>
      <c r="E70" s="6" t="s">
        <v>47</v>
      </c>
      <c r="F70" s="6" t="s">
        <v>49</v>
      </c>
      <c r="G70" s="6">
        <f t="shared" ca="1" si="13"/>
        <v>598.16999999999985</v>
      </c>
      <c r="H70" s="6">
        <f t="shared" ca="1" si="14"/>
        <v>0</v>
      </c>
      <c r="J70" s="6" t="s">
        <v>47</v>
      </c>
      <c r="K70" s="6" t="s">
        <v>49</v>
      </c>
      <c r="L70" s="14">
        <f t="shared" ca="1" si="15"/>
        <v>644.94571428571362</v>
      </c>
      <c r="M70" s="14">
        <f t="shared" ref="M70:M80" ca="1" si="16">OFFSET($F$57,0,(ROW()-ROW(G$69)))</f>
        <v>0</v>
      </c>
    </row>
    <row r="71" spans="1:13" x14ac:dyDescent="0.25">
      <c r="A71" s="10">
        <v>36800</v>
      </c>
      <c r="B71" s="6">
        <v>148.4</v>
      </c>
      <c r="C71" s="6">
        <v>6.1</v>
      </c>
      <c r="E71" s="6" t="s">
        <v>47</v>
      </c>
      <c r="F71" s="6" t="s">
        <v>50</v>
      </c>
      <c r="G71" s="6">
        <f t="shared" ca="1" si="13"/>
        <v>451.34</v>
      </c>
      <c r="H71" s="6">
        <f t="shared" ca="1" si="14"/>
        <v>0.88000000000000012</v>
      </c>
      <c r="J71" s="6" t="s">
        <v>47</v>
      </c>
      <c r="K71" s="6" t="s">
        <v>50</v>
      </c>
      <c r="L71" s="14">
        <f t="shared" ca="1" si="15"/>
        <v>454.90706766917299</v>
      </c>
      <c r="M71" s="14">
        <f t="shared" ca="1" si="16"/>
        <v>0.13015037593982015</v>
      </c>
    </row>
    <row r="72" spans="1:13" x14ac:dyDescent="0.25">
      <c r="A72" s="10">
        <v>36831</v>
      </c>
      <c r="B72" s="6">
        <v>386.6</v>
      </c>
      <c r="C72" s="6">
        <v>0</v>
      </c>
      <c r="E72" s="6" t="s">
        <v>47</v>
      </c>
      <c r="F72" s="6" t="s">
        <v>51</v>
      </c>
      <c r="G72" s="6">
        <f t="shared" ca="1" si="13"/>
        <v>259.5499999999999</v>
      </c>
      <c r="H72" s="6">
        <f t="shared" ca="1" si="14"/>
        <v>2.4500000000000002</v>
      </c>
      <c r="J72" s="6" t="s">
        <v>47</v>
      </c>
      <c r="K72" s="6" t="s">
        <v>51</v>
      </c>
      <c r="L72" s="14">
        <f t="shared" ca="1" si="15"/>
        <v>263.91609022556372</v>
      </c>
      <c r="M72" s="14">
        <f t="shared" ca="1" si="16"/>
        <v>1.7637593984962336</v>
      </c>
    </row>
    <row r="73" spans="1:13" x14ac:dyDescent="0.25">
      <c r="A73" s="10">
        <v>36861</v>
      </c>
      <c r="B73" s="6">
        <v>741.09999999999991</v>
      </c>
      <c r="C73" s="6">
        <v>0</v>
      </c>
      <c r="E73" s="6" t="s">
        <v>47</v>
      </c>
      <c r="F73" s="6" t="s">
        <v>34</v>
      </c>
      <c r="G73" s="6">
        <f t="shared" ca="1" si="13"/>
        <v>88.880000000000024</v>
      </c>
      <c r="H73" s="6">
        <f t="shared" ca="1" si="14"/>
        <v>43.79999999999999</v>
      </c>
      <c r="J73" s="6" t="s">
        <v>47</v>
      </c>
      <c r="K73" s="6" t="s">
        <v>34</v>
      </c>
      <c r="L73" s="14">
        <f t="shared" ca="1" si="15"/>
        <v>82.021052631579096</v>
      </c>
      <c r="M73" s="14">
        <f t="shared" ca="1" si="16"/>
        <v>52.210676691729077</v>
      </c>
    </row>
    <row r="74" spans="1:13" x14ac:dyDescent="0.25">
      <c r="A74" s="10">
        <v>36892</v>
      </c>
      <c r="B74" s="6">
        <v>626.20000000000005</v>
      </c>
      <c r="C74" s="6">
        <v>0</v>
      </c>
      <c r="E74" s="6" t="s">
        <v>47</v>
      </c>
      <c r="F74" s="6" t="s">
        <v>35</v>
      </c>
      <c r="G74" s="6">
        <f t="shared" ca="1" si="13"/>
        <v>9.77</v>
      </c>
      <c r="H74" s="6">
        <f t="shared" ca="1" si="14"/>
        <v>117.38999999999999</v>
      </c>
      <c r="J74" s="6" t="s">
        <v>47</v>
      </c>
      <c r="K74" s="6" t="s">
        <v>35</v>
      </c>
      <c r="L74" s="14">
        <f t="shared" ca="1" si="15"/>
        <v>3.6393984962405739</v>
      </c>
      <c r="M74" s="14">
        <f t="shared" ca="1" si="16"/>
        <v>113.37661654135343</v>
      </c>
    </row>
    <row r="75" spans="1:13" x14ac:dyDescent="0.25">
      <c r="A75" s="10">
        <v>36923</v>
      </c>
      <c r="B75" s="6">
        <v>516.69999999999993</v>
      </c>
      <c r="C75" s="6">
        <v>0</v>
      </c>
      <c r="E75" s="6" t="s">
        <v>47</v>
      </c>
      <c r="F75" s="6" t="s">
        <v>36</v>
      </c>
      <c r="G75" s="6">
        <f t="shared" ca="1" si="13"/>
        <v>0.58000000000000007</v>
      </c>
      <c r="H75" s="6">
        <f t="shared" ca="1" si="14"/>
        <v>179.70999999999998</v>
      </c>
      <c r="J75" s="6" t="s">
        <v>47</v>
      </c>
      <c r="K75" s="6" t="s">
        <v>36</v>
      </c>
      <c r="L75" s="14">
        <f t="shared" ca="1" si="15"/>
        <v>0.76240601503759109</v>
      </c>
      <c r="M75" s="14">
        <f t="shared" ca="1" si="16"/>
        <v>186.39255639097769</v>
      </c>
    </row>
    <row r="76" spans="1:13" x14ac:dyDescent="0.25">
      <c r="A76" s="10">
        <v>36951</v>
      </c>
      <c r="B76" s="6">
        <v>499.49999999999994</v>
      </c>
      <c r="C76" s="6">
        <v>0</v>
      </c>
      <c r="E76" s="6" t="s">
        <v>47</v>
      </c>
      <c r="F76" s="6" t="s">
        <v>37</v>
      </c>
      <c r="G76" s="6">
        <f t="shared" ca="1" si="13"/>
        <v>1.7099999999999997</v>
      </c>
      <c r="H76" s="6">
        <f t="shared" ca="1" si="14"/>
        <v>158.1</v>
      </c>
      <c r="J76" s="6" t="s">
        <v>47</v>
      </c>
      <c r="K76" s="6" t="s">
        <v>37</v>
      </c>
      <c r="L76" s="14">
        <f t="shared" ca="1" si="15"/>
        <v>1.3384210526315794</v>
      </c>
      <c r="M76" s="14">
        <f t="shared" ca="1" si="16"/>
        <v>169.95052631578938</v>
      </c>
    </row>
    <row r="77" spans="1:13" x14ac:dyDescent="0.25">
      <c r="A77" s="10">
        <v>36982</v>
      </c>
      <c r="B77" s="6">
        <v>231.59999999999997</v>
      </c>
      <c r="C77" s="6">
        <v>3.8</v>
      </c>
      <c r="E77" s="6" t="s">
        <v>47</v>
      </c>
      <c r="F77" s="6" t="s">
        <v>52</v>
      </c>
      <c r="G77" s="6">
        <f t="shared" ca="1" si="13"/>
        <v>32.68</v>
      </c>
      <c r="H77" s="6">
        <f t="shared" ca="1" si="14"/>
        <v>67.34</v>
      </c>
      <c r="J77" s="6" t="s">
        <v>47</v>
      </c>
      <c r="K77" s="6" t="s">
        <v>52</v>
      </c>
      <c r="L77" s="14">
        <f t="shared" ca="1" si="15"/>
        <v>31.629172932330818</v>
      </c>
      <c r="M77" s="14">
        <f t="shared" ca="1" si="16"/>
        <v>70.650902255639153</v>
      </c>
    </row>
    <row r="78" spans="1:13" x14ac:dyDescent="0.25">
      <c r="A78" s="10">
        <v>37012</v>
      </c>
      <c r="B78" s="6">
        <v>67.300000000000011</v>
      </c>
      <c r="C78" s="6">
        <v>31.300000000000004</v>
      </c>
      <c r="E78" s="6" t="s">
        <v>47</v>
      </c>
      <c r="F78" s="6" t="s">
        <v>53</v>
      </c>
      <c r="G78" s="6">
        <f t="shared" ca="1" si="13"/>
        <v>176.42</v>
      </c>
      <c r="H78" s="6">
        <f t="shared" ca="1" si="14"/>
        <v>10.18</v>
      </c>
      <c r="J78" s="6" t="s">
        <v>47</v>
      </c>
      <c r="K78" s="6" t="s">
        <v>53</v>
      </c>
      <c r="L78" s="14">
        <f t="shared" ca="1" si="15"/>
        <v>170.94563909774433</v>
      </c>
      <c r="M78" s="14">
        <f t="shared" ca="1" si="16"/>
        <v>8.6933082706766811</v>
      </c>
    </row>
    <row r="79" spans="1:13" x14ac:dyDescent="0.25">
      <c r="A79" s="10">
        <v>37043</v>
      </c>
      <c r="B79" s="6">
        <v>22.5</v>
      </c>
      <c r="C79" s="6">
        <v>123.29999999999998</v>
      </c>
      <c r="E79" s="6" t="s">
        <v>47</v>
      </c>
      <c r="F79" s="6" t="s">
        <v>54</v>
      </c>
      <c r="G79" s="6">
        <f t="shared" ca="1" si="13"/>
        <v>364.2299999999999</v>
      </c>
      <c r="H79" s="6">
        <f t="shared" ca="1" si="14"/>
        <v>0.05</v>
      </c>
      <c r="J79" s="6" t="s">
        <v>47</v>
      </c>
      <c r="K79" s="6" t="s">
        <v>54</v>
      </c>
      <c r="L79" s="14">
        <f t="shared" ca="1" si="15"/>
        <v>359.63977443609014</v>
      </c>
      <c r="M79" s="14">
        <f t="shared" ca="1" si="16"/>
        <v>9.849624060150397E-2</v>
      </c>
    </row>
    <row r="80" spans="1:13" x14ac:dyDescent="0.25">
      <c r="A80" s="10">
        <v>37073</v>
      </c>
      <c r="B80" s="6">
        <v>2.7</v>
      </c>
      <c r="C80" s="6">
        <v>172.20000000000005</v>
      </c>
      <c r="E80" s="6" t="s">
        <v>47</v>
      </c>
      <c r="F80" s="6" t="s">
        <v>55</v>
      </c>
      <c r="G80" s="6">
        <f t="shared" ca="1" si="13"/>
        <v>552.31000000000006</v>
      </c>
      <c r="H80" s="6">
        <f t="shared" ca="1" si="14"/>
        <v>0</v>
      </c>
      <c r="J80" s="6" t="s">
        <v>47</v>
      </c>
      <c r="K80" s="6" t="s">
        <v>55</v>
      </c>
      <c r="L80" s="14">
        <f t="shared" ca="1" si="15"/>
        <v>534.71157894736871</v>
      </c>
      <c r="M80" s="14">
        <f t="shared" ca="1" si="16"/>
        <v>0</v>
      </c>
    </row>
    <row r="81" spans="1:13" x14ac:dyDescent="0.25">
      <c r="A81" s="10">
        <v>37104</v>
      </c>
      <c r="B81" s="6">
        <v>0</v>
      </c>
      <c r="C81" s="6">
        <v>185.70000000000007</v>
      </c>
      <c r="G81" s="14"/>
      <c r="H81" s="14"/>
      <c r="L81" s="14"/>
      <c r="M81" s="14"/>
    </row>
    <row r="82" spans="1:13" x14ac:dyDescent="0.25">
      <c r="A82" s="10">
        <v>37135</v>
      </c>
      <c r="B82" s="6">
        <v>60.800000000000011</v>
      </c>
      <c r="C82" s="6">
        <v>42.899999999999984</v>
      </c>
    </row>
    <row r="83" spans="1:13" x14ac:dyDescent="0.25">
      <c r="A83" s="10">
        <v>37165</v>
      </c>
      <c r="B83" s="6">
        <v>191.79999999999998</v>
      </c>
      <c r="C83" s="6">
        <v>4.5999999999999996</v>
      </c>
    </row>
    <row r="84" spans="1:13" x14ac:dyDescent="0.25">
      <c r="A84" s="10">
        <v>37196</v>
      </c>
      <c r="B84" s="6">
        <v>254.39999999999992</v>
      </c>
      <c r="C84" s="6">
        <v>0</v>
      </c>
    </row>
    <row r="85" spans="1:13" x14ac:dyDescent="0.25">
      <c r="A85" s="10">
        <v>37226</v>
      </c>
      <c r="B85" s="6">
        <v>470</v>
      </c>
      <c r="C85" s="6">
        <v>0</v>
      </c>
    </row>
    <row r="86" spans="1:13" x14ac:dyDescent="0.25">
      <c r="A86" s="10">
        <v>37257</v>
      </c>
      <c r="B86" s="6">
        <v>524.70000000000005</v>
      </c>
      <c r="C86" s="6">
        <v>0</v>
      </c>
    </row>
    <row r="87" spans="1:13" x14ac:dyDescent="0.25">
      <c r="A87" s="10">
        <v>37288</v>
      </c>
      <c r="B87" s="6">
        <v>476.09999999999997</v>
      </c>
      <c r="C87" s="6">
        <v>0</v>
      </c>
    </row>
    <row r="88" spans="1:13" x14ac:dyDescent="0.25">
      <c r="A88" s="10">
        <v>37316</v>
      </c>
      <c r="B88" s="6">
        <v>486.19999999999987</v>
      </c>
      <c r="C88" s="6">
        <v>0</v>
      </c>
    </row>
    <row r="89" spans="1:13" x14ac:dyDescent="0.25">
      <c r="A89" s="10">
        <v>37347</v>
      </c>
      <c r="B89" s="6">
        <v>259.7999999999999</v>
      </c>
      <c r="C89" s="6">
        <v>22.6</v>
      </c>
    </row>
    <row r="90" spans="1:13" x14ac:dyDescent="0.25">
      <c r="A90" s="10">
        <v>37377</v>
      </c>
      <c r="B90" s="6">
        <v>170.8</v>
      </c>
      <c r="C90" s="6">
        <v>16.5</v>
      </c>
    </row>
    <row r="91" spans="1:13" x14ac:dyDescent="0.25">
      <c r="A91" s="10">
        <v>37408</v>
      </c>
      <c r="B91" s="6">
        <v>12</v>
      </c>
      <c r="C91" s="6">
        <v>132</v>
      </c>
    </row>
    <row r="92" spans="1:13" x14ac:dyDescent="0.25">
      <c r="A92" s="10">
        <v>37438</v>
      </c>
      <c r="B92" s="6">
        <v>0</v>
      </c>
      <c r="C92" s="6">
        <v>216.30000000000004</v>
      </c>
    </row>
    <row r="93" spans="1:13" x14ac:dyDescent="0.25">
      <c r="A93" s="10">
        <v>37469</v>
      </c>
      <c r="B93" s="6">
        <v>0</v>
      </c>
      <c r="C93" s="6">
        <v>168.30000000000004</v>
      </c>
    </row>
    <row r="94" spans="1:13" x14ac:dyDescent="0.25">
      <c r="A94" s="10">
        <v>37500</v>
      </c>
      <c r="B94" s="6">
        <v>14.5</v>
      </c>
      <c r="C94" s="6">
        <v>105.19999999999999</v>
      </c>
    </row>
    <row r="95" spans="1:13" x14ac:dyDescent="0.25">
      <c r="A95" s="10">
        <v>37530</v>
      </c>
      <c r="B95" s="6">
        <v>240.79999999999993</v>
      </c>
      <c r="C95" s="6">
        <v>16.100000000000001</v>
      </c>
    </row>
    <row r="96" spans="1:13" x14ac:dyDescent="0.25">
      <c r="A96" s="10">
        <v>37561</v>
      </c>
      <c r="B96" s="6">
        <v>402.19999999999993</v>
      </c>
      <c r="C96" s="6">
        <v>0</v>
      </c>
    </row>
    <row r="97" spans="1:3" x14ac:dyDescent="0.25">
      <c r="A97" s="10">
        <v>37591</v>
      </c>
      <c r="B97" s="6">
        <v>582.90000000000009</v>
      </c>
      <c r="C97" s="6">
        <v>0</v>
      </c>
    </row>
    <row r="98" spans="1:3" x14ac:dyDescent="0.25">
      <c r="A98" s="10">
        <v>37622</v>
      </c>
      <c r="B98" s="6">
        <v>730.59999999999991</v>
      </c>
      <c r="C98" s="6">
        <v>0</v>
      </c>
    </row>
    <row r="99" spans="1:3" x14ac:dyDescent="0.25">
      <c r="A99" s="10">
        <v>37653</v>
      </c>
      <c r="B99" s="6">
        <v>621.69999999999993</v>
      </c>
      <c r="C99" s="6">
        <v>0</v>
      </c>
    </row>
    <row r="100" spans="1:3" x14ac:dyDescent="0.25">
      <c r="A100" s="10">
        <v>37681</v>
      </c>
      <c r="B100" s="6">
        <v>490.29999999999995</v>
      </c>
      <c r="C100" s="6">
        <v>0</v>
      </c>
    </row>
    <row r="101" spans="1:3" x14ac:dyDescent="0.25">
      <c r="A101" s="10">
        <v>37712</v>
      </c>
      <c r="B101" s="6">
        <v>289.79999999999984</v>
      </c>
      <c r="C101" s="6">
        <v>5.0999999999999996</v>
      </c>
    </row>
    <row r="102" spans="1:3" x14ac:dyDescent="0.25">
      <c r="A102" s="10">
        <v>37742</v>
      </c>
      <c r="B102" s="6">
        <v>128.50000000000003</v>
      </c>
      <c r="C102" s="6">
        <v>2.6</v>
      </c>
    </row>
    <row r="103" spans="1:3" x14ac:dyDescent="0.25">
      <c r="A103" s="10">
        <v>37773</v>
      </c>
      <c r="B103" s="6">
        <v>27.6</v>
      </c>
      <c r="C103" s="6">
        <v>72.8</v>
      </c>
    </row>
    <row r="104" spans="1:3" x14ac:dyDescent="0.25">
      <c r="A104" s="10">
        <v>37803</v>
      </c>
      <c r="B104" s="6">
        <v>0</v>
      </c>
      <c r="C104" s="6">
        <v>156.4</v>
      </c>
    </row>
    <row r="105" spans="1:3" x14ac:dyDescent="0.25">
      <c r="A105" s="10">
        <v>37834</v>
      </c>
      <c r="B105" s="6">
        <v>0</v>
      </c>
      <c r="C105" s="6">
        <v>163.80000000000001</v>
      </c>
    </row>
    <row r="106" spans="1:3" x14ac:dyDescent="0.25">
      <c r="A106" s="10">
        <v>37865</v>
      </c>
      <c r="B106" s="6">
        <v>42.7</v>
      </c>
      <c r="C106" s="6">
        <v>48.3</v>
      </c>
    </row>
    <row r="107" spans="1:3" x14ac:dyDescent="0.25">
      <c r="A107" s="10">
        <v>37895</v>
      </c>
      <c r="B107" s="6">
        <v>218.59999999999997</v>
      </c>
      <c r="C107" s="6">
        <v>3</v>
      </c>
    </row>
    <row r="108" spans="1:3" x14ac:dyDescent="0.25">
      <c r="A108" s="10">
        <v>37926</v>
      </c>
      <c r="B108" s="6">
        <v>335.49999999999994</v>
      </c>
      <c r="C108" s="6">
        <v>0</v>
      </c>
    </row>
    <row r="109" spans="1:3" x14ac:dyDescent="0.25">
      <c r="A109" s="10">
        <v>37956</v>
      </c>
      <c r="B109" s="6">
        <v>531.90000000000009</v>
      </c>
      <c r="C109" s="6">
        <v>0</v>
      </c>
    </row>
    <row r="110" spans="1:3" x14ac:dyDescent="0.25">
      <c r="A110" s="10">
        <v>37987</v>
      </c>
      <c r="B110" s="6">
        <v>748.19999999999993</v>
      </c>
      <c r="C110" s="6">
        <v>0</v>
      </c>
    </row>
    <row r="111" spans="1:3" x14ac:dyDescent="0.25">
      <c r="A111" s="10">
        <v>38018</v>
      </c>
      <c r="B111" s="6">
        <v>557.70000000000005</v>
      </c>
      <c r="C111" s="6">
        <v>0</v>
      </c>
    </row>
    <row r="112" spans="1:3" x14ac:dyDescent="0.25">
      <c r="A112" s="10">
        <v>38047</v>
      </c>
      <c r="B112" s="6">
        <v>408.99999999999989</v>
      </c>
      <c r="C112" s="6">
        <v>0</v>
      </c>
    </row>
    <row r="113" spans="1:3" x14ac:dyDescent="0.25">
      <c r="A113" s="10">
        <v>38078</v>
      </c>
      <c r="B113" s="6">
        <v>239.89999999999992</v>
      </c>
      <c r="C113" s="6">
        <v>12.100000000000001</v>
      </c>
    </row>
    <row r="114" spans="1:3" x14ac:dyDescent="0.25">
      <c r="A114" s="10">
        <v>38108</v>
      </c>
      <c r="B114" s="6">
        <v>93.700000000000031</v>
      </c>
      <c r="C114" s="6">
        <v>37.4</v>
      </c>
    </row>
    <row r="115" spans="1:3" x14ac:dyDescent="0.25">
      <c r="A115" s="10">
        <v>38139</v>
      </c>
      <c r="B115" s="6">
        <v>16</v>
      </c>
      <c r="C115" s="6">
        <v>76.999999999999986</v>
      </c>
    </row>
    <row r="116" spans="1:3" x14ac:dyDescent="0.25">
      <c r="A116" s="10">
        <v>38169</v>
      </c>
      <c r="B116" s="6">
        <v>2.2000000000000002</v>
      </c>
      <c r="C116" s="6">
        <v>138.5</v>
      </c>
    </row>
    <row r="117" spans="1:3" x14ac:dyDescent="0.25">
      <c r="A117" s="10">
        <v>38200</v>
      </c>
      <c r="B117" s="6">
        <v>3.7</v>
      </c>
      <c r="C117" s="6">
        <v>90.09999999999998</v>
      </c>
    </row>
    <row r="118" spans="1:3" x14ac:dyDescent="0.25">
      <c r="A118" s="10">
        <v>38231</v>
      </c>
      <c r="B118" s="6">
        <v>18.7</v>
      </c>
      <c r="C118" s="6">
        <v>77.999999999999986</v>
      </c>
    </row>
    <row r="119" spans="1:3" x14ac:dyDescent="0.25">
      <c r="A119" s="10">
        <v>38261</v>
      </c>
      <c r="B119" s="6">
        <v>176.89999999999998</v>
      </c>
      <c r="C119" s="6">
        <v>2.8</v>
      </c>
    </row>
    <row r="120" spans="1:3" x14ac:dyDescent="0.25">
      <c r="A120" s="10">
        <v>38292</v>
      </c>
      <c r="B120" s="6">
        <v>343.49999999999989</v>
      </c>
      <c r="C120" s="6">
        <v>0</v>
      </c>
    </row>
    <row r="121" spans="1:3" x14ac:dyDescent="0.25">
      <c r="A121" s="10">
        <v>38322</v>
      </c>
      <c r="B121" s="6">
        <v>589.10000000000014</v>
      </c>
      <c r="C121" s="6">
        <v>0</v>
      </c>
    </row>
    <row r="122" spans="1:3" x14ac:dyDescent="0.25">
      <c r="A122" s="10">
        <v>38353</v>
      </c>
      <c r="B122" s="6">
        <v>688.99999999999989</v>
      </c>
      <c r="C122" s="6">
        <v>0</v>
      </c>
    </row>
    <row r="123" spans="1:3" x14ac:dyDescent="0.25">
      <c r="A123" s="10">
        <v>38384</v>
      </c>
      <c r="B123" s="6">
        <v>543.30000000000007</v>
      </c>
      <c r="C123" s="6">
        <v>0</v>
      </c>
    </row>
    <row r="124" spans="1:3" x14ac:dyDescent="0.25">
      <c r="A124" s="10">
        <v>38412</v>
      </c>
      <c r="B124" s="6">
        <v>523.4</v>
      </c>
      <c r="C124" s="6">
        <v>0</v>
      </c>
    </row>
    <row r="125" spans="1:3" x14ac:dyDescent="0.25">
      <c r="A125" s="10">
        <v>38443</v>
      </c>
      <c r="B125" s="6">
        <v>228.5</v>
      </c>
      <c r="C125" s="6">
        <v>2.8</v>
      </c>
    </row>
    <row r="126" spans="1:3" x14ac:dyDescent="0.25">
      <c r="A126" s="10">
        <v>38473</v>
      </c>
      <c r="B126" s="6">
        <v>134.4</v>
      </c>
      <c r="C126" s="6">
        <v>8.1</v>
      </c>
    </row>
    <row r="127" spans="1:3" x14ac:dyDescent="0.25">
      <c r="A127" s="10">
        <v>38504</v>
      </c>
      <c r="B127" s="6">
        <v>3.4000000000000004</v>
      </c>
      <c r="C127" s="6">
        <v>174.20000000000002</v>
      </c>
    </row>
    <row r="128" spans="1:3" x14ac:dyDescent="0.25">
      <c r="A128" s="10">
        <v>38534</v>
      </c>
      <c r="B128" s="6">
        <v>0</v>
      </c>
      <c r="C128" s="6">
        <v>203.80000000000007</v>
      </c>
    </row>
    <row r="129" spans="1:3" x14ac:dyDescent="0.25">
      <c r="A129" s="10">
        <v>38565</v>
      </c>
      <c r="B129" s="6">
        <v>0</v>
      </c>
      <c r="C129" s="6">
        <v>192.20000000000007</v>
      </c>
    </row>
    <row r="130" spans="1:3" x14ac:dyDescent="0.25">
      <c r="A130" s="10">
        <v>38596</v>
      </c>
      <c r="B130" s="6">
        <v>13.5</v>
      </c>
      <c r="C130" s="6">
        <v>91.6</v>
      </c>
    </row>
    <row r="131" spans="1:3" x14ac:dyDescent="0.25">
      <c r="A131" s="10">
        <v>38626</v>
      </c>
      <c r="B131" s="6">
        <v>175.69999999999996</v>
      </c>
      <c r="C131" s="6">
        <v>23.9</v>
      </c>
    </row>
    <row r="132" spans="1:3" x14ac:dyDescent="0.25">
      <c r="A132" s="10">
        <v>38657</v>
      </c>
      <c r="B132" s="6">
        <v>344.8</v>
      </c>
      <c r="C132" s="6">
        <v>0</v>
      </c>
    </row>
    <row r="133" spans="1:3" x14ac:dyDescent="0.25">
      <c r="A133" s="10">
        <v>38687</v>
      </c>
      <c r="B133" s="6">
        <v>637.60000000000025</v>
      </c>
      <c r="C133" s="6">
        <v>0</v>
      </c>
    </row>
    <row r="134" spans="1:3" x14ac:dyDescent="0.25">
      <c r="A134" s="10">
        <v>38718</v>
      </c>
      <c r="B134" s="6">
        <v>486.69999999999993</v>
      </c>
      <c r="C134" s="6">
        <v>0</v>
      </c>
    </row>
    <row r="135" spans="1:3" x14ac:dyDescent="0.25">
      <c r="A135" s="10">
        <v>38749</v>
      </c>
      <c r="B135" s="6">
        <v>530.70000000000005</v>
      </c>
      <c r="C135" s="6">
        <v>0</v>
      </c>
    </row>
    <row r="136" spans="1:3" x14ac:dyDescent="0.25">
      <c r="A136" s="10">
        <v>38777</v>
      </c>
      <c r="B136" s="6">
        <v>450.49999999999983</v>
      </c>
      <c r="C136" s="6">
        <v>0</v>
      </c>
    </row>
    <row r="137" spans="1:3" x14ac:dyDescent="0.25">
      <c r="A137" s="10">
        <v>38808</v>
      </c>
      <c r="B137" s="6">
        <v>211.6999999999999</v>
      </c>
      <c r="C137" s="6">
        <v>0.8</v>
      </c>
    </row>
    <row r="138" spans="1:3" x14ac:dyDescent="0.25">
      <c r="A138" s="10">
        <v>38838</v>
      </c>
      <c r="B138" s="6">
        <v>99.800000000000011</v>
      </c>
      <c r="C138" s="6">
        <v>46.2</v>
      </c>
    </row>
    <row r="139" spans="1:3" x14ac:dyDescent="0.25">
      <c r="A139" s="10">
        <v>38869</v>
      </c>
      <c r="B139" s="6">
        <v>10.3</v>
      </c>
      <c r="C139" s="6">
        <v>90.799999999999983</v>
      </c>
    </row>
    <row r="140" spans="1:3" x14ac:dyDescent="0.25">
      <c r="A140" s="10">
        <v>38899</v>
      </c>
      <c r="B140" s="6">
        <v>0</v>
      </c>
      <c r="C140" s="6">
        <v>206.00000000000006</v>
      </c>
    </row>
    <row r="141" spans="1:3" x14ac:dyDescent="0.25">
      <c r="A141" s="10">
        <v>38930</v>
      </c>
      <c r="B141" s="6">
        <v>0</v>
      </c>
      <c r="C141" s="6">
        <v>155.30000000000001</v>
      </c>
    </row>
    <row r="142" spans="1:3" x14ac:dyDescent="0.25">
      <c r="A142" s="10">
        <v>38961</v>
      </c>
      <c r="B142" s="6">
        <v>44.400000000000006</v>
      </c>
      <c r="C142" s="6">
        <v>27.900000000000002</v>
      </c>
    </row>
    <row r="143" spans="1:3" x14ac:dyDescent="0.25">
      <c r="A143" s="10">
        <v>38991</v>
      </c>
      <c r="B143" s="6">
        <v>243.09999999999991</v>
      </c>
      <c r="C143" s="6">
        <v>1.8</v>
      </c>
    </row>
    <row r="144" spans="1:3" x14ac:dyDescent="0.25">
      <c r="A144" s="10">
        <v>39022</v>
      </c>
      <c r="B144" s="6">
        <v>353.09999999999991</v>
      </c>
      <c r="C144" s="6">
        <v>0</v>
      </c>
    </row>
    <row r="145" spans="1:3" x14ac:dyDescent="0.25">
      <c r="A145" s="10">
        <v>39052</v>
      </c>
      <c r="B145" s="6">
        <v>457.89999999999986</v>
      </c>
      <c r="C145" s="6">
        <v>0</v>
      </c>
    </row>
    <row r="146" spans="1:3" x14ac:dyDescent="0.25">
      <c r="A146" s="10">
        <v>39083</v>
      </c>
      <c r="B146" s="6">
        <v>588</v>
      </c>
      <c r="C146" s="6">
        <v>0</v>
      </c>
    </row>
    <row r="147" spans="1:3" x14ac:dyDescent="0.25">
      <c r="A147" s="10">
        <v>39114</v>
      </c>
      <c r="B147" s="6">
        <v>675.8</v>
      </c>
      <c r="C147" s="6">
        <v>0</v>
      </c>
    </row>
    <row r="148" spans="1:3" x14ac:dyDescent="0.25">
      <c r="A148" s="10">
        <v>39142</v>
      </c>
      <c r="B148" s="6">
        <v>417.69999999999993</v>
      </c>
      <c r="C148" s="6">
        <v>4</v>
      </c>
    </row>
    <row r="149" spans="1:3" x14ac:dyDescent="0.25">
      <c r="A149" s="10">
        <v>39173</v>
      </c>
      <c r="B149" s="6">
        <v>287.09999999999991</v>
      </c>
      <c r="C149" s="6">
        <v>2.8</v>
      </c>
    </row>
    <row r="150" spans="1:3" x14ac:dyDescent="0.25">
      <c r="A150" s="10">
        <v>39203</v>
      </c>
      <c r="B150" s="6">
        <v>85.8</v>
      </c>
      <c r="C150" s="6">
        <v>48.099999999999994</v>
      </c>
    </row>
    <row r="151" spans="1:3" x14ac:dyDescent="0.25">
      <c r="A151" s="10">
        <v>39234</v>
      </c>
      <c r="B151" s="6">
        <v>9.7999999999999989</v>
      </c>
      <c r="C151" s="6">
        <v>131.6</v>
      </c>
    </row>
    <row r="152" spans="1:3" x14ac:dyDescent="0.25">
      <c r="A152" s="10">
        <v>39264</v>
      </c>
      <c r="B152" s="6">
        <v>0.7</v>
      </c>
      <c r="C152" s="6">
        <v>144</v>
      </c>
    </row>
    <row r="153" spans="1:3" x14ac:dyDescent="0.25">
      <c r="A153" s="10">
        <v>39295</v>
      </c>
      <c r="B153" s="6">
        <v>3.9000000000000004</v>
      </c>
      <c r="C153" s="6">
        <v>173.3</v>
      </c>
    </row>
    <row r="154" spans="1:3" x14ac:dyDescent="0.25">
      <c r="A154" s="10">
        <v>39326</v>
      </c>
      <c r="B154" s="6">
        <v>24.099999999999998</v>
      </c>
      <c r="C154" s="6">
        <v>77.299999999999983</v>
      </c>
    </row>
    <row r="155" spans="1:3" x14ac:dyDescent="0.25">
      <c r="A155" s="10">
        <v>39356</v>
      </c>
      <c r="B155" s="6">
        <v>110.4</v>
      </c>
      <c r="C155" s="6">
        <v>40.699999999999996</v>
      </c>
    </row>
    <row r="156" spans="1:3" x14ac:dyDescent="0.25">
      <c r="A156" s="10">
        <v>39387</v>
      </c>
      <c r="B156" s="6">
        <v>402.3</v>
      </c>
      <c r="C156" s="6">
        <v>0</v>
      </c>
    </row>
    <row r="157" spans="1:3" x14ac:dyDescent="0.25">
      <c r="A157" s="10">
        <v>39417</v>
      </c>
      <c r="B157" s="6">
        <v>593.40000000000009</v>
      </c>
      <c r="C157" s="6">
        <v>0</v>
      </c>
    </row>
    <row r="158" spans="1:3" x14ac:dyDescent="0.25">
      <c r="A158" s="10">
        <v>39448</v>
      </c>
      <c r="B158" s="6">
        <v>602.20000000000005</v>
      </c>
      <c r="C158" s="6">
        <v>0</v>
      </c>
    </row>
    <row r="159" spans="1:3" x14ac:dyDescent="0.25">
      <c r="A159" s="10">
        <v>39479</v>
      </c>
      <c r="B159" s="6">
        <v>616.1</v>
      </c>
      <c r="C159" s="6">
        <v>0</v>
      </c>
    </row>
    <row r="160" spans="1:3" x14ac:dyDescent="0.25">
      <c r="A160" s="10">
        <v>39508</v>
      </c>
      <c r="B160" s="6">
        <v>523.70000000000005</v>
      </c>
      <c r="C160" s="6">
        <v>0</v>
      </c>
    </row>
    <row r="161" spans="1:3" x14ac:dyDescent="0.25">
      <c r="A161" s="10">
        <v>39539</v>
      </c>
      <c r="B161" s="6">
        <v>212.59999999999991</v>
      </c>
      <c r="C161" s="6">
        <v>1.5</v>
      </c>
    </row>
    <row r="162" spans="1:3" x14ac:dyDescent="0.25">
      <c r="A162" s="10">
        <v>39569</v>
      </c>
      <c r="B162" s="6">
        <v>138.4</v>
      </c>
      <c r="C162" s="6">
        <v>13.399999999999999</v>
      </c>
    </row>
    <row r="163" spans="1:3" x14ac:dyDescent="0.25">
      <c r="A163" s="10">
        <v>39600</v>
      </c>
      <c r="B163" s="6">
        <v>5</v>
      </c>
      <c r="C163" s="6">
        <v>120.39999999999998</v>
      </c>
    </row>
    <row r="164" spans="1:3" x14ac:dyDescent="0.25">
      <c r="A164" s="10">
        <v>39630</v>
      </c>
      <c r="B164" s="6">
        <v>0.5</v>
      </c>
      <c r="C164" s="6">
        <v>180.50000000000006</v>
      </c>
    </row>
    <row r="165" spans="1:3" x14ac:dyDescent="0.25">
      <c r="A165" s="10">
        <v>39661</v>
      </c>
      <c r="B165" s="6">
        <v>1.5</v>
      </c>
      <c r="C165" s="6">
        <v>137.09999999999997</v>
      </c>
    </row>
    <row r="166" spans="1:3" x14ac:dyDescent="0.25">
      <c r="A166" s="10">
        <v>39692</v>
      </c>
      <c r="B166" s="6">
        <v>16.7</v>
      </c>
      <c r="C166" s="6">
        <v>56.099999999999994</v>
      </c>
    </row>
    <row r="167" spans="1:3" x14ac:dyDescent="0.25">
      <c r="A167" s="10">
        <v>39722</v>
      </c>
      <c r="B167" s="6">
        <v>218.89999999999998</v>
      </c>
      <c r="C167" s="6">
        <v>2.2999999999999998</v>
      </c>
    </row>
    <row r="168" spans="1:3" x14ac:dyDescent="0.25">
      <c r="A168" s="10">
        <v>39753</v>
      </c>
      <c r="B168" s="6">
        <v>410.9</v>
      </c>
      <c r="C168" s="6">
        <v>0</v>
      </c>
    </row>
    <row r="169" spans="1:3" x14ac:dyDescent="0.25">
      <c r="A169" s="10">
        <v>39783</v>
      </c>
      <c r="B169" s="6">
        <v>631.00000000000011</v>
      </c>
      <c r="C169" s="6">
        <v>0</v>
      </c>
    </row>
    <row r="170" spans="1:3" x14ac:dyDescent="0.25">
      <c r="A170" s="10">
        <v>39814</v>
      </c>
      <c r="B170" s="6">
        <v>768.79999999999973</v>
      </c>
      <c r="C170" s="6">
        <v>0</v>
      </c>
    </row>
    <row r="171" spans="1:3" x14ac:dyDescent="0.25">
      <c r="A171" s="10">
        <v>39845</v>
      </c>
      <c r="B171" s="6">
        <v>540</v>
      </c>
      <c r="C171" s="6">
        <v>0</v>
      </c>
    </row>
    <row r="172" spans="1:3" x14ac:dyDescent="0.25">
      <c r="A172" s="10">
        <v>39873</v>
      </c>
      <c r="B172" s="6">
        <v>456.7999999999999</v>
      </c>
      <c r="C172" s="6">
        <v>0</v>
      </c>
    </row>
    <row r="173" spans="1:3" x14ac:dyDescent="0.25">
      <c r="A173" s="10">
        <v>39904</v>
      </c>
      <c r="B173" s="6">
        <v>263.29999999999995</v>
      </c>
      <c r="C173" s="6">
        <v>10.399999999999999</v>
      </c>
    </row>
    <row r="174" spans="1:3" x14ac:dyDescent="0.25">
      <c r="A174" s="10">
        <v>39934</v>
      </c>
      <c r="B174" s="6">
        <v>83.40000000000002</v>
      </c>
      <c r="C174" s="6">
        <v>12.899999999999999</v>
      </c>
    </row>
    <row r="175" spans="1:3" x14ac:dyDescent="0.25">
      <c r="A175" s="10">
        <v>39965</v>
      </c>
      <c r="B175" s="6">
        <v>25.299999999999997</v>
      </c>
      <c r="C175" s="6">
        <v>79.399999999999991</v>
      </c>
    </row>
    <row r="176" spans="1:3" x14ac:dyDescent="0.25">
      <c r="A176" s="10">
        <v>39995</v>
      </c>
      <c r="B176" s="6">
        <v>0.5</v>
      </c>
      <c r="C176" s="6">
        <v>100.19999999999999</v>
      </c>
    </row>
    <row r="177" spans="1:3" x14ac:dyDescent="0.25">
      <c r="A177" s="10">
        <v>40026</v>
      </c>
      <c r="B177" s="6">
        <v>5.9</v>
      </c>
      <c r="C177" s="6">
        <v>133.4</v>
      </c>
    </row>
    <row r="178" spans="1:3" x14ac:dyDescent="0.25">
      <c r="A178" s="10">
        <v>40057</v>
      </c>
      <c r="B178" s="6">
        <v>26.2</v>
      </c>
      <c r="C178" s="6">
        <v>54.699999999999989</v>
      </c>
    </row>
    <row r="179" spans="1:3" x14ac:dyDescent="0.25">
      <c r="A179" s="10">
        <v>40087</v>
      </c>
      <c r="B179" s="6">
        <v>230.79999999999995</v>
      </c>
      <c r="C179" s="6">
        <v>0</v>
      </c>
    </row>
    <row r="180" spans="1:3" x14ac:dyDescent="0.25">
      <c r="A180" s="10">
        <v>40118</v>
      </c>
      <c r="B180" s="6">
        <v>305.49999999999989</v>
      </c>
      <c r="C180" s="6">
        <v>0</v>
      </c>
    </row>
    <row r="181" spans="1:3" x14ac:dyDescent="0.25">
      <c r="A181" s="10">
        <v>40148</v>
      </c>
      <c r="B181" s="6">
        <v>582</v>
      </c>
      <c r="C181" s="6">
        <v>0</v>
      </c>
    </row>
    <row r="182" spans="1:3" x14ac:dyDescent="0.25">
      <c r="A182" s="10">
        <v>40179</v>
      </c>
      <c r="B182" s="6">
        <v>663.29999999999984</v>
      </c>
      <c r="C182" s="6">
        <v>0</v>
      </c>
    </row>
    <row r="183" spans="1:3" x14ac:dyDescent="0.25">
      <c r="A183" s="10">
        <v>40210</v>
      </c>
      <c r="B183" s="6">
        <v>557.29999999999995</v>
      </c>
      <c r="C183" s="6">
        <v>0</v>
      </c>
    </row>
    <row r="184" spans="1:3" x14ac:dyDescent="0.25">
      <c r="A184" s="10">
        <v>40238</v>
      </c>
      <c r="B184" s="6">
        <v>393.39999999999986</v>
      </c>
      <c r="C184" s="6">
        <v>0</v>
      </c>
    </row>
    <row r="185" spans="1:3" x14ac:dyDescent="0.25">
      <c r="A185" s="10">
        <v>40269</v>
      </c>
      <c r="B185" s="6">
        <v>174.9</v>
      </c>
      <c r="C185" s="6">
        <v>5</v>
      </c>
    </row>
    <row r="186" spans="1:3" x14ac:dyDescent="0.25">
      <c r="A186" s="10">
        <v>40299</v>
      </c>
      <c r="B186" s="6">
        <v>84.300000000000011</v>
      </c>
      <c r="C186" s="6">
        <v>59.699999999999989</v>
      </c>
    </row>
    <row r="187" spans="1:3" x14ac:dyDescent="0.25">
      <c r="A187" s="10">
        <v>40330</v>
      </c>
      <c r="B187" s="6">
        <v>3.9000000000000004</v>
      </c>
      <c r="C187" s="6">
        <v>135.89999999999998</v>
      </c>
    </row>
    <row r="188" spans="1:3" x14ac:dyDescent="0.25">
      <c r="A188" s="10">
        <v>40360</v>
      </c>
      <c r="B188" s="6">
        <v>0</v>
      </c>
      <c r="C188" s="6">
        <v>227.00000000000006</v>
      </c>
    </row>
    <row r="189" spans="1:3" x14ac:dyDescent="0.25">
      <c r="A189" s="10">
        <v>40391</v>
      </c>
      <c r="B189" s="6">
        <v>0</v>
      </c>
      <c r="C189" s="6">
        <v>211.80000000000004</v>
      </c>
    </row>
    <row r="190" spans="1:3" x14ac:dyDescent="0.25">
      <c r="A190" s="10">
        <v>40422</v>
      </c>
      <c r="B190" s="6">
        <v>38</v>
      </c>
      <c r="C190" s="6">
        <v>59.699999999999989</v>
      </c>
    </row>
    <row r="191" spans="1:3" x14ac:dyDescent="0.25">
      <c r="A191" s="10">
        <v>40452</v>
      </c>
      <c r="B191" s="6">
        <v>157.6</v>
      </c>
      <c r="C191" s="6">
        <v>1.4000000000000001</v>
      </c>
    </row>
    <row r="192" spans="1:3" x14ac:dyDescent="0.25">
      <c r="A192" s="10">
        <v>40483</v>
      </c>
      <c r="B192" s="6">
        <v>376.59999999999991</v>
      </c>
      <c r="C192" s="6">
        <v>0</v>
      </c>
    </row>
    <row r="193" spans="1:3" x14ac:dyDescent="0.25">
      <c r="A193" s="10">
        <v>40513</v>
      </c>
      <c r="B193" s="6">
        <v>645.59999999999991</v>
      </c>
      <c r="C193" s="6">
        <v>0</v>
      </c>
    </row>
    <row r="194" spans="1:3" x14ac:dyDescent="0.25">
      <c r="A194" s="10">
        <v>40544</v>
      </c>
      <c r="B194" s="6">
        <v>703.59999999999991</v>
      </c>
      <c r="C194" s="6">
        <v>0</v>
      </c>
    </row>
    <row r="195" spans="1:3" x14ac:dyDescent="0.25">
      <c r="A195" s="10">
        <v>40575</v>
      </c>
      <c r="B195" s="6">
        <v>583.20000000000005</v>
      </c>
      <c r="C195" s="6">
        <v>0</v>
      </c>
    </row>
    <row r="196" spans="1:3" x14ac:dyDescent="0.25">
      <c r="A196" s="10">
        <v>40603</v>
      </c>
      <c r="B196" s="6">
        <v>514.30000000000007</v>
      </c>
      <c r="C196" s="6">
        <v>0</v>
      </c>
    </row>
    <row r="197" spans="1:3" x14ac:dyDescent="0.25">
      <c r="A197" s="10">
        <v>40634</v>
      </c>
      <c r="B197" s="6">
        <v>278.59999999999985</v>
      </c>
      <c r="C197" s="6">
        <v>0.5</v>
      </c>
    </row>
    <row r="198" spans="1:3" x14ac:dyDescent="0.25">
      <c r="A198" s="10">
        <v>40664</v>
      </c>
      <c r="B198" s="6">
        <v>105.20000000000003</v>
      </c>
      <c r="C198" s="6">
        <v>37.200000000000003</v>
      </c>
    </row>
    <row r="199" spans="1:3" x14ac:dyDescent="0.25">
      <c r="A199" s="10">
        <v>40695</v>
      </c>
      <c r="B199" s="6">
        <v>7.6000000000000005</v>
      </c>
      <c r="C199" s="6">
        <v>115.89999999999998</v>
      </c>
    </row>
    <row r="200" spans="1:3" x14ac:dyDescent="0.25">
      <c r="A200" s="10">
        <v>40725</v>
      </c>
      <c r="B200" s="6">
        <v>0</v>
      </c>
      <c r="C200" s="6">
        <v>255.50000000000006</v>
      </c>
    </row>
    <row r="201" spans="1:3" x14ac:dyDescent="0.25">
      <c r="A201" s="10">
        <v>40756</v>
      </c>
      <c r="B201" s="6">
        <v>0</v>
      </c>
      <c r="C201" s="6">
        <v>159.50000000000003</v>
      </c>
    </row>
    <row r="202" spans="1:3" x14ac:dyDescent="0.25">
      <c r="A202" s="10">
        <v>40787</v>
      </c>
      <c r="B202" s="6">
        <v>51.4</v>
      </c>
      <c r="C202" s="6">
        <v>60.199999999999989</v>
      </c>
    </row>
    <row r="203" spans="1:3" x14ac:dyDescent="0.25">
      <c r="A203" s="10">
        <v>40817</v>
      </c>
      <c r="B203" s="6">
        <v>185.29999999999998</v>
      </c>
      <c r="C203" s="6">
        <v>2.6999999999999997</v>
      </c>
    </row>
    <row r="204" spans="1:3" x14ac:dyDescent="0.25">
      <c r="A204" s="10">
        <v>40848</v>
      </c>
      <c r="B204" s="6">
        <v>297.2999999999999</v>
      </c>
      <c r="C204" s="6">
        <v>0</v>
      </c>
    </row>
    <row r="205" spans="1:3" x14ac:dyDescent="0.25">
      <c r="A205" s="10">
        <v>40878</v>
      </c>
      <c r="B205" s="6">
        <v>485.4</v>
      </c>
      <c r="C205" s="6">
        <v>0</v>
      </c>
    </row>
    <row r="206" spans="1:3" x14ac:dyDescent="0.25">
      <c r="A206" s="10">
        <v>40909</v>
      </c>
      <c r="B206" s="6">
        <v>559.59999999999991</v>
      </c>
      <c r="C206" s="6">
        <v>0</v>
      </c>
    </row>
    <row r="207" spans="1:3" x14ac:dyDescent="0.25">
      <c r="A207" s="10">
        <v>40940</v>
      </c>
      <c r="B207" s="6">
        <v>492.40000000000003</v>
      </c>
      <c r="C207" s="6">
        <v>0</v>
      </c>
    </row>
    <row r="208" spans="1:3" x14ac:dyDescent="0.25">
      <c r="A208" s="10">
        <v>40969</v>
      </c>
      <c r="B208" s="6">
        <v>250.79999999999995</v>
      </c>
      <c r="C208" s="6">
        <v>4.8</v>
      </c>
    </row>
    <row r="209" spans="1:3" x14ac:dyDescent="0.25">
      <c r="A209" s="10">
        <v>41000</v>
      </c>
      <c r="B209" s="6">
        <v>252.49999999999991</v>
      </c>
      <c r="C209" s="6">
        <v>4.3</v>
      </c>
    </row>
    <row r="210" spans="1:3" x14ac:dyDescent="0.25">
      <c r="A210" s="10">
        <v>41030</v>
      </c>
      <c r="B210" s="6">
        <v>48.2</v>
      </c>
      <c r="C210" s="6">
        <v>59.3</v>
      </c>
    </row>
    <row r="211" spans="1:3" x14ac:dyDescent="0.25">
      <c r="A211" s="10">
        <v>41061</v>
      </c>
      <c r="B211" s="6">
        <v>10.3</v>
      </c>
      <c r="C211" s="6">
        <v>147.09999999999997</v>
      </c>
    </row>
    <row r="212" spans="1:3" x14ac:dyDescent="0.25">
      <c r="A212" s="10">
        <v>41091</v>
      </c>
      <c r="B212" s="6">
        <v>0</v>
      </c>
      <c r="C212" s="6">
        <v>235.50000000000009</v>
      </c>
    </row>
    <row r="213" spans="1:3" x14ac:dyDescent="0.25">
      <c r="A213" s="10">
        <v>41122</v>
      </c>
      <c r="B213" s="6">
        <v>0.7</v>
      </c>
      <c r="C213" s="6">
        <v>143.69999999999999</v>
      </c>
    </row>
    <row r="214" spans="1:3" x14ac:dyDescent="0.25">
      <c r="A214" s="10">
        <v>41153</v>
      </c>
      <c r="B214" s="6">
        <v>53.2</v>
      </c>
      <c r="C214" s="6">
        <v>50.29999999999999</v>
      </c>
    </row>
    <row r="215" spans="1:3" x14ac:dyDescent="0.25">
      <c r="A215" s="10">
        <v>41183</v>
      </c>
      <c r="B215" s="6">
        <v>207.19999999999996</v>
      </c>
      <c r="C215" s="6">
        <v>5.6</v>
      </c>
    </row>
    <row r="216" spans="1:3" x14ac:dyDescent="0.25">
      <c r="A216" s="10">
        <v>41214</v>
      </c>
      <c r="B216" s="6">
        <v>405.49999999999994</v>
      </c>
      <c r="C216" s="6">
        <v>0</v>
      </c>
    </row>
    <row r="217" spans="1:3" x14ac:dyDescent="0.25">
      <c r="A217" s="10">
        <v>41244</v>
      </c>
      <c r="B217" s="6">
        <v>484.20000000000005</v>
      </c>
      <c r="C217" s="6">
        <v>0</v>
      </c>
    </row>
    <row r="218" spans="1:3" x14ac:dyDescent="0.25">
      <c r="A218" s="10">
        <v>41275</v>
      </c>
      <c r="B218" s="6">
        <v>598.19999999999993</v>
      </c>
      <c r="C218" s="6">
        <v>0</v>
      </c>
    </row>
    <row r="219" spans="1:3" x14ac:dyDescent="0.25">
      <c r="A219" s="10">
        <v>41306</v>
      </c>
      <c r="B219" s="6">
        <v>574.80000000000007</v>
      </c>
      <c r="C219" s="6">
        <v>0</v>
      </c>
    </row>
    <row r="220" spans="1:3" x14ac:dyDescent="0.25">
      <c r="A220" s="10">
        <v>41334</v>
      </c>
      <c r="B220" s="6">
        <v>505.20000000000005</v>
      </c>
      <c r="C220" s="6">
        <v>0</v>
      </c>
    </row>
    <row r="221" spans="1:3" x14ac:dyDescent="0.25">
      <c r="A221" s="10">
        <v>41365</v>
      </c>
      <c r="B221" s="6">
        <v>300.19999999999993</v>
      </c>
      <c r="C221" s="6">
        <v>0</v>
      </c>
    </row>
    <row r="222" spans="1:3" x14ac:dyDescent="0.25">
      <c r="A222" s="10">
        <v>41395</v>
      </c>
      <c r="B222" s="6">
        <v>73.300000000000011</v>
      </c>
      <c r="C222" s="6">
        <v>59.899999999999991</v>
      </c>
    </row>
    <row r="223" spans="1:3" x14ac:dyDescent="0.25">
      <c r="A223" s="10">
        <v>41426</v>
      </c>
      <c r="B223" s="6">
        <v>14.700000000000001</v>
      </c>
      <c r="C223" s="6">
        <v>103.49999999999999</v>
      </c>
    </row>
    <row r="224" spans="1:3" x14ac:dyDescent="0.25">
      <c r="A224" s="10">
        <v>41456</v>
      </c>
      <c r="B224" s="6">
        <v>1.5</v>
      </c>
      <c r="C224" s="6">
        <v>174.80000000000004</v>
      </c>
    </row>
    <row r="225" spans="1:3" x14ac:dyDescent="0.25">
      <c r="A225" s="10">
        <v>41487</v>
      </c>
      <c r="B225" s="6">
        <v>1.2</v>
      </c>
      <c r="C225" s="6">
        <v>134.29999999999998</v>
      </c>
    </row>
    <row r="226" spans="1:3" x14ac:dyDescent="0.25">
      <c r="A226" s="10">
        <v>41518</v>
      </c>
      <c r="B226" s="6">
        <v>41.2</v>
      </c>
      <c r="C226" s="6">
        <v>65.3</v>
      </c>
    </row>
    <row r="227" spans="1:3" x14ac:dyDescent="0.25">
      <c r="A227" s="10">
        <v>41548</v>
      </c>
      <c r="B227" s="6">
        <v>170.49999999999997</v>
      </c>
      <c r="C227" s="6">
        <v>19.899999999999999</v>
      </c>
    </row>
    <row r="228" spans="1:3" x14ac:dyDescent="0.25">
      <c r="A228" s="10">
        <v>41579</v>
      </c>
      <c r="B228" s="6">
        <v>424.9</v>
      </c>
      <c r="C228" s="6">
        <v>0</v>
      </c>
    </row>
    <row r="229" spans="1:3" x14ac:dyDescent="0.25">
      <c r="A229" s="10">
        <v>41609</v>
      </c>
      <c r="B229" s="6">
        <v>614.30000000000007</v>
      </c>
      <c r="C229" s="6">
        <v>0</v>
      </c>
    </row>
    <row r="230" spans="1:3" x14ac:dyDescent="0.25">
      <c r="A230" s="10">
        <v>41640</v>
      </c>
      <c r="B230" s="6">
        <v>784.99999999999977</v>
      </c>
      <c r="C230" s="6">
        <v>0</v>
      </c>
    </row>
    <row r="231" spans="1:3" x14ac:dyDescent="0.25">
      <c r="A231" s="10">
        <v>41671</v>
      </c>
      <c r="B231" s="6">
        <v>674.19999999999982</v>
      </c>
      <c r="C231" s="6">
        <v>0</v>
      </c>
    </row>
    <row r="232" spans="1:3" x14ac:dyDescent="0.25">
      <c r="A232" s="10">
        <v>41699</v>
      </c>
      <c r="B232" s="6">
        <v>591.90000000000009</v>
      </c>
      <c r="C232" s="6">
        <v>0</v>
      </c>
    </row>
    <row r="233" spans="1:3" x14ac:dyDescent="0.25">
      <c r="A233" s="10">
        <v>41730</v>
      </c>
      <c r="B233" s="6">
        <v>253.7</v>
      </c>
      <c r="C233" s="6">
        <v>0</v>
      </c>
    </row>
    <row r="234" spans="1:3" x14ac:dyDescent="0.25">
      <c r="A234" s="10">
        <v>41760</v>
      </c>
      <c r="B234" s="6">
        <v>90.600000000000009</v>
      </c>
      <c r="C234" s="6">
        <v>36.4</v>
      </c>
    </row>
    <row r="235" spans="1:3" x14ac:dyDescent="0.25">
      <c r="A235" s="10">
        <v>41791</v>
      </c>
      <c r="B235" s="6">
        <v>2.4000000000000004</v>
      </c>
      <c r="C235" s="6">
        <v>123.29999999999997</v>
      </c>
    </row>
    <row r="236" spans="1:3" x14ac:dyDescent="0.25">
      <c r="A236" s="10">
        <v>41821</v>
      </c>
      <c r="B236" s="6">
        <v>0.7</v>
      </c>
      <c r="C236" s="6">
        <v>113.59999999999997</v>
      </c>
    </row>
    <row r="237" spans="1:3" x14ac:dyDescent="0.25">
      <c r="A237" s="10">
        <v>41852</v>
      </c>
      <c r="B237" s="6">
        <v>0.7</v>
      </c>
      <c r="C237" s="6">
        <v>130.19999999999996</v>
      </c>
    </row>
    <row r="238" spans="1:3" x14ac:dyDescent="0.25">
      <c r="A238" s="10">
        <v>41883</v>
      </c>
      <c r="B238" s="6">
        <v>57.20000000000001</v>
      </c>
      <c r="C238" s="6">
        <v>50.499999999999979</v>
      </c>
    </row>
    <row r="239" spans="1:3" x14ac:dyDescent="0.25">
      <c r="A239" s="10">
        <v>41913</v>
      </c>
      <c r="B239" s="6">
        <v>179.7</v>
      </c>
      <c r="C239" s="6">
        <v>3.9</v>
      </c>
    </row>
    <row r="240" spans="1:3" x14ac:dyDescent="0.25">
      <c r="A240" s="10">
        <v>41944</v>
      </c>
      <c r="B240" s="6">
        <v>442</v>
      </c>
      <c r="C240" s="6">
        <v>0</v>
      </c>
    </row>
    <row r="241" spans="1:3" x14ac:dyDescent="0.25">
      <c r="A241" s="10">
        <v>41974</v>
      </c>
      <c r="B241" s="6">
        <v>513.9</v>
      </c>
      <c r="C241" s="6">
        <v>0</v>
      </c>
    </row>
    <row r="242" spans="1:3" x14ac:dyDescent="0.25">
      <c r="A242" s="10">
        <v>42005</v>
      </c>
      <c r="B242" s="6">
        <v>724.69999999999982</v>
      </c>
      <c r="C242" s="6">
        <v>0</v>
      </c>
    </row>
    <row r="243" spans="1:3" x14ac:dyDescent="0.25">
      <c r="A243" s="10">
        <v>42036</v>
      </c>
      <c r="B243" s="6">
        <v>757.39999999999986</v>
      </c>
      <c r="C243" s="6">
        <v>0</v>
      </c>
    </row>
    <row r="244" spans="1:3" x14ac:dyDescent="0.25">
      <c r="A244" s="10">
        <v>42064</v>
      </c>
      <c r="B244" s="6">
        <v>508.7</v>
      </c>
      <c r="C244" s="6">
        <v>0</v>
      </c>
    </row>
    <row r="245" spans="1:3" x14ac:dyDescent="0.25">
      <c r="A245" s="10">
        <v>42095</v>
      </c>
      <c r="B245" s="6">
        <v>257.39999999999992</v>
      </c>
      <c r="C245" s="6">
        <v>0</v>
      </c>
    </row>
    <row r="246" spans="1:3" x14ac:dyDescent="0.25">
      <c r="A246" s="10">
        <v>42125</v>
      </c>
      <c r="B246" s="6">
        <v>68.7</v>
      </c>
      <c r="C246" s="6">
        <v>64.099999999999994</v>
      </c>
    </row>
    <row r="247" spans="1:3" x14ac:dyDescent="0.25">
      <c r="A247" s="10">
        <v>42156</v>
      </c>
      <c r="B247" s="6">
        <v>13.1</v>
      </c>
      <c r="C247" s="6">
        <v>89.59999999999998</v>
      </c>
    </row>
    <row r="248" spans="1:3" x14ac:dyDescent="0.25">
      <c r="A248" s="10">
        <v>42186</v>
      </c>
      <c r="B248" s="6">
        <v>1.9</v>
      </c>
      <c r="C248" s="6">
        <v>152.89999999999998</v>
      </c>
    </row>
    <row r="249" spans="1:3" x14ac:dyDescent="0.25">
      <c r="A249" s="10">
        <v>42217</v>
      </c>
      <c r="B249" s="6">
        <v>3.2</v>
      </c>
      <c r="C249" s="6">
        <v>138.69999999999999</v>
      </c>
    </row>
    <row r="250" spans="1:3" x14ac:dyDescent="0.25">
      <c r="A250" s="10">
        <v>42248</v>
      </c>
      <c r="B250" s="6">
        <v>10.8</v>
      </c>
      <c r="C250" s="6">
        <v>109.19999999999997</v>
      </c>
    </row>
    <row r="251" spans="1:3" x14ac:dyDescent="0.25">
      <c r="A251" s="10">
        <v>42278</v>
      </c>
      <c r="B251" s="6">
        <v>157.80000000000001</v>
      </c>
      <c r="C251" s="6">
        <v>2.6</v>
      </c>
    </row>
    <row r="252" spans="1:3" x14ac:dyDescent="0.25">
      <c r="A252" s="10">
        <v>42309</v>
      </c>
      <c r="B252" s="6">
        <v>286.60000000000002</v>
      </c>
      <c r="C252" s="6">
        <v>0.5</v>
      </c>
    </row>
    <row r="253" spans="1:3" x14ac:dyDescent="0.25">
      <c r="A253" s="10">
        <v>42339</v>
      </c>
      <c r="B253" s="6">
        <v>392.2</v>
      </c>
      <c r="C253" s="6">
        <f>C133</f>
        <v>0</v>
      </c>
    </row>
    <row r="254" spans="1:3" x14ac:dyDescent="0.25">
      <c r="A254" s="10">
        <v>42370</v>
      </c>
      <c r="B254" s="6">
        <v>618.5</v>
      </c>
      <c r="C254" s="6">
        <v>0</v>
      </c>
    </row>
    <row r="255" spans="1:3" x14ac:dyDescent="0.25">
      <c r="A255" s="10">
        <v>42401</v>
      </c>
      <c r="B255" s="6">
        <v>510.5</v>
      </c>
      <c r="C255" s="6">
        <v>0</v>
      </c>
    </row>
    <row r="256" spans="1:3" x14ac:dyDescent="0.25">
      <c r="A256" s="10">
        <v>42430</v>
      </c>
      <c r="B256" s="6">
        <v>350.9</v>
      </c>
      <c r="C256" s="6">
        <v>0</v>
      </c>
    </row>
    <row r="257" spans="1:5" x14ac:dyDescent="0.25">
      <c r="A257" s="10">
        <v>42461</v>
      </c>
      <c r="B257" s="6">
        <f>221.9+17.3+17.5+19.5+16+9.5+13.5</f>
        <v>315.20000000000005</v>
      </c>
      <c r="C257" s="6">
        <v>0</v>
      </c>
    </row>
    <row r="258" spans="1:5" x14ac:dyDescent="0.25">
      <c r="A258" s="10">
        <v>42491</v>
      </c>
      <c r="B258" s="6">
        <v>110.9</v>
      </c>
      <c r="C258" s="6">
        <v>47</v>
      </c>
    </row>
    <row r="259" spans="1:5" x14ac:dyDescent="0.25">
      <c r="A259" s="10">
        <v>42522</v>
      </c>
      <c r="B259" s="6">
        <v>5.6</v>
      </c>
      <c r="C259" s="6">
        <v>127.2</v>
      </c>
    </row>
    <row r="260" spans="1:5" x14ac:dyDescent="0.25">
      <c r="A260" s="10">
        <v>42552</v>
      </c>
      <c r="B260" s="6">
        <v>0</v>
      </c>
      <c r="C260" s="6">
        <v>213.1</v>
      </c>
      <c r="E260" s="6" t="s">
        <v>125</v>
      </c>
    </row>
    <row r="261" spans="1:5" x14ac:dyDescent="0.25">
      <c r="A261" s="10">
        <v>42583</v>
      </c>
      <c r="B261" s="6">
        <v>0</v>
      </c>
      <c r="C261" s="6">
        <f>205.4+8+5.6</f>
        <v>219</v>
      </c>
    </row>
    <row r="262" spans="1:5" x14ac:dyDescent="0.25">
      <c r="A262" s="10">
        <v>42614</v>
      </c>
      <c r="B262" s="6">
        <v>8</v>
      </c>
      <c r="C262" s="6">
        <v>90.1</v>
      </c>
    </row>
    <row r="263" spans="1:5" x14ac:dyDescent="0.25">
      <c r="A263" s="10">
        <v>42644</v>
      </c>
      <c r="B263" s="6">
        <v>146</v>
      </c>
      <c r="C263" s="6">
        <v>22.7</v>
      </c>
    </row>
    <row r="264" spans="1:5" x14ac:dyDescent="0.25">
      <c r="A264" s="10">
        <v>42675</v>
      </c>
      <c r="B264" s="6">
        <v>290.7</v>
      </c>
      <c r="C264" s="6">
        <v>0</v>
      </c>
      <c r="E264" s="6" t="s">
        <v>126</v>
      </c>
    </row>
    <row r="265" spans="1:5" x14ac:dyDescent="0.25">
      <c r="A265" s="10">
        <v>42705</v>
      </c>
      <c r="B265" s="6">
        <v>581.1</v>
      </c>
      <c r="C265" s="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workbookViewId="0">
      <selection activeCell="E1" sqref="E1:J8"/>
    </sheetView>
  </sheetViews>
  <sheetFormatPr defaultRowHeight="13.2" x14ac:dyDescent="0.25"/>
  <cols>
    <col min="1" max="1" width="8.88671875" style="6"/>
    <col min="2" max="2" width="12.109375" style="6" customWidth="1"/>
    <col min="3" max="3" width="14" style="6" customWidth="1"/>
    <col min="4" max="16384" width="8.88671875" style="6"/>
  </cols>
  <sheetData>
    <row r="1" spans="1:10" x14ac:dyDescent="0.25">
      <c r="B1" s="15" t="s">
        <v>56</v>
      </c>
      <c r="C1" s="15" t="s">
        <v>57</v>
      </c>
      <c r="D1" s="16"/>
      <c r="E1" s="17"/>
      <c r="F1" s="17" t="s">
        <v>58</v>
      </c>
      <c r="G1" s="17" t="s">
        <v>59</v>
      </c>
      <c r="H1" s="17" t="s">
        <v>60</v>
      </c>
      <c r="I1" s="17" t="s">
        <v>61</v>
      </c>
      <c r="J1" s="17" t="s">
        <v>62</v>
      </c>
    </row>
    <row r="2" spans="1:10" ht="14.4" x14ac:dyDescent="0.3">
      <c r="A2" s="63">
        <v>39814</v>
      </c>
      <c r="B2">
        <v>6506.5</v>
      </c>
      <c r="C2" s="6">
        <v>151.5</v>
      </c>
      <c r="F2" s="18">
        <v>42795</v>
      </c>
      <c r="G2" s="18">
        <v>42795</v>
      </c>
      <c r="H2" s="18">
        <v>42795</v>
      </c>
      <c r="I2" s="18">
        <v>42795</v>
      </c>
      <c r="J2" s="18"/>
    </row>
    <row r="3" spans="1:10" ht="14.4" x14ac:dyDescent="0.3">
      <c r="A3" s="63">
        <v>39845</v>
      </c>
      <c r="B3">
        <v>6436.2</v>
      </c>
      <c r="C3" s="6">
        <v>147.5</v>
      </c>
      <c r="E3" s="17">
        <v>2017</v>
      </c>
      <c r="F3" s="19">
        <v>1.4E-2</v>
      </c>
      <c r="G3" s="19">
        <v>1.2999999999999999E-2</v>
      </c>
      <c r="H3" s="19">
        <v>1.4E-2</v>
      </c>
      <c r="I3" s="19">
        <v>1.2999999999999999E-2</v>
      </c>
      <c r="J3" s="19">
        <f t="shared" ref="J3:J4" si="0">AVERAGE(F3:I3)</f>
        <v>1.35E-2</v>
      </c>
    </row>
    <row r="4" spans="1:10" ht="14.4" x14ac:dyDescent="0.3">
      <c r="A4" s="63">
        <v>39873</v>
      </c>
      <c r="B4">
        <v>6363.8</v>
      </c>
      <c r="C4" s="6">
        <v>142.9</v>
      </c>
      <c r="E4" s="17">
        <v>2018</v>
      </c>
      <c r="F4" s="19">
        <v>1.2E-2</v>
      </c>
      <c r="G4" s="19">
        <v>7.0000000000000001E-3</v>
      </c>
      <c r="H4" s="19">
        <v>7.0000000000000001E-3</v>
      </c>
      <c r="I4" s="19">
        <v>8.9999999999999993E-3</v>
      </c>
      <c r="J4" s="19">
        <f t="shared" si="0"/>
        <v>8.7499999999999991E-3</v>
      </c>
    </row>
    <row r="5" spans="1:10" ht="14.4" x14ac:dyDescent="0.3">
      <c r="A5" s="63">
        <v>39904</v>
      </c>
      <c r="B5">
        <v>6359.6</v>
      </c>
      <c r="C5" s="6">
        <v>144.80000000000001</v>
      </c>
      <c r="E5" s="17"/>
      <c r="F5" s="19"/>
      <c r="G5" s="19"/>
      <c r="H5" s="19"/>
      <c r="I5" s="19"/>
      <c r="J5" s="19"/>
    </row>
    <row r="6" spans="1:10" ht="14.4" x14ac:dyDescent="0.3">
      <c r="A6" s="63">
        <v>39934</v>
      </c>
      <c r="B6">
        <v>6382.1</v>
      </c>
      <c r="C6" s="6">
        <v>145</v>
      </c>
      <c r="E6" s="6" t="s">
        <v>191</v>
      </c>
    </row>
    <row r="7" spans="1:10" ht="14.4" x14ac:dyDescent="0.3">
      <c r="A7" s="63">
        <v>39965</v>
      </c>
      <c r="B7">
        <v>6429.4</v>
      </c>
      <c r="C7" s="6">
        <v>145.69999999999999</v>
      </c>
      <c r="E7" s="6">
        <v>2017</v>
      </c>
      <c r="F7" s="109">
        <v>2.5999999999999999E-2</v>
      </c>
      <c r="G7" s="109">
        <v>2.5999999999999999E-2</v>
      </c>
      <c r="H7" s="109">
        <v>0.02</v>
      </c>
      <c r="I7" s="109">
        <v>2.5000000000000001E-2</v>
      </c>
      <c r="J7" s="19">
        <f>AVERAGE(F7:I7)</f>
        <v>2.4250000000000001E-2</v>
      </c>
    </row>
    <row r="8" spans="1:10" ht="14.4" x14ac:dyDescent="0.3">
      <c r="A8" s="63">
        <v>39995</v>
      </c>
      <c r="B8">
        <v>6467</v>
      </c>
      <c r="C8" s="6">
        <v>144.30000000000001</v>
      </c>
      <c r="E8" s="6">
        <v>2018</v>
      </c>
      <c r="F8" s="109">
        <v>0.02</v>
      </c>
      <c r="G8" s="109">
        <v>1.9E-2</v>
      </c>
      <c r="H8" s="109">
        <v>1.7000000000000001E-2</v>
      </c>
      <c r="I8" s="109">
        <v>0.02</v>
      </c>
      <c r="J8" s="19">
        <f>AVERAGE(F8:I8)</f>
        <v>1.9E-2</v>
      </c>
    </row>
    <row r="9" spans="1:10" ht="14.4" x14ac:dyDescent="0.3">
      <c r="A9" s="63">
        <v>40026</v>
      </c>
      <c r="B9">
        <v>6487.6</v>
      </c>
      <c r="C9" s="6">
        <v>145.1</v>
      </c>
    </row>
    <row r="10" spans="1:10" ht="14.4" x14ac:dyDescent="0.3">
      <c r="A10" s="63">
        <v>40057</v>
      </c>
      <c r="B10">
        <v>6470.2</v>
      </c>
      <c r="C10" s="6">
        <v>146.80000000000001</v>
      </c>
    </row>
    <row r="11" spans="1:10" ht="14.4" x14ac:dyDescent="0.3">
      <c r="A11" s="63">
        <v>40087</v>
      </c>
      <c r="B11">
        <v>6472.1</v>
      </c>
      <c r="C11" s="6">
        <v>149.19999999999999</v>
      </c>
    </row>
    <row r="12" spans="1:10" ht="14.4" x14ac:dyDescent="0.3">
      <c r="A12" s="63">
        <v>40118</v>
      </c>
      <c r="B12">
        <v>6465.6</v>
      </c>
      <c r="C12" s="6">
        <v>150.1</v>
      </c>
    </row>
    <row r="13" spans="1:10" ht="14.4" x14ac:dyDescent="0.3">
      <c r="A13" s="63">
        <v>40148</v>
      </c>
      <c r="B13">
        <v>6467.5</v>
      </c>
      <c r="C13" s="6">
        <v>150.19999999999999</v>
      </c>
    </row>
    <row r="14" spans="1:10" ht="14.4" x14ac:dyDescent="0.3">
      <c r="A14" s="63">
        <v>40179</v>
      </c>
      <c r="B14">
        <v>6434.5</v>
      </c>
      <c r="C14" s="6">
        <v>146.80000000000001</v>
      </c>
    </row>
    <row r="15" spans="1:10" ht="14.4" x14ac:dyDescent="0.3">
      <c r="A15" s="63">
        <v>40210</v>
      </c>
      <c r="B15">
        <v>6404.1</v>
      </c>
      <c r="C15" s="6">
        <v>145.5</v>
      </c>
    </row>
    <row r="16" spans="1:10" ht="14.4" x14ac:dyDescent="0.3">
      <c r="A16" s="63">
        <v>40238</v>
      </c>
      <c r="B16">
        <v>6377.2</v>
      </c>
      <c r="C16" s="6">
        <v>143.30000000000001</v>
      </c>
    </row>
    <row r="17" spans="1:3" ht="14.4" x14ac:dyDescent="0.3">
      <c r="A17" s="63">
        <v>40269</v>
      </c>
      <c r="B17">
        <v>6401.7</v>
      </c>
      <c r="C17" s="6">
        <v>146.6</v>
      </c>
    </row>
    <row r="18" spans="1:3" ht="14.4" x14ac:dyDescent="0.3">
      <c r="A18" s="63">
        <v>40299</v>
      </c>
      <c r="B18">
        <v>6468.9</v>
      </c>
      <c r="C18" s="6">
        <v>147.80000000000001</v>
      </c>
    </row>
    <row r="19" spans="1:3" ht="14.4" x14ac:dyDescent="0.3">
      <c r="A19" s="63">
        <v>40330</v>
      </c>
      <c r="B19">
        <v>6578.9</v>
      </c>
      <c r="C19" s="6">
        <v>149.9</v>
      </c>
    </row>
    <row r="20" spans="1:3" ht="14.4" x14ac:dyDescent="0.3">
      <c r="A20" s="63">
        <v>40360</v>
      </c>
      <c r="B20">
        <v>6640.9</v>
      </c>
      <c r="C20" s="6">
        <v>148.30000000000001</v>
      </c>
    </row>
    <row r="21" spans="1:3" ht="14.4" x14ac:dyDescent="0.3">
      <c r="A21" s="63">
        <v>40391</v>
      </c>
      <c r="B21">
        <v>6662.6</v>
      </c>
      <c r="C21" s="6">
        <v>148.4</v>
      </c>
    </row>
    <row r="22" spans="1:3" ht="14.4" x14ac:dyDescent="0.3">
      <c r="A22" s="63">
        <v>40422</v>
      </c>
      <c r="B22">
        <v>6611.2</v>
      </c>
      <c r="C22" s="6">
        <v>148.69999999999999</v>
      </c>
    </row>
    <row r="23" spans="1:3" ht="14.4" x14ac:dyDescent="0.3">
      <c r="A23" s="63">
        <v>40452</v>
      </c>
      <c r="B23">
        <v>6587.1</v>
      </c>
      <c r="C23" s="6">
        <v>149.6</v>
      </c>
    </row>
    <row r="24" spans="1:3" ht="14.4" x14ac:dyDescent="0.3">
      <c r="A24" s="63">
        <v>40483</v>
      </c>
      <c r="B24">
        <v>6566.6</v>
      </c>
      <c r="C24" s="6">
        <v>148.9</v>
      </c>
    </row>
    <row r="25" spans="1:3" ht="14.4" x14ac:dyDescent="0.3">
      <c r="A25" s="63">
        <v>40513</v>
      </c>
      <c r="B25">
        <v>6584.1</v>
      </c>
      <c r="C25" s="6">
        <v>148.1</v>
      </c>
    </row>
    <row r="26" spans="1:3" ht="14.4" x14ac:dyDescent="0.3">
      <c r="A26" s="63">
        <v>40544</v>
      </c>
      <c r="B26">
        <v>6571.2</v>
      </c>
      <c r="C26" s="6">
        <v>148.69999999999999</v>
      </c>
    </row>
    <row r="27" spans="1:3" ht="14.4" x14ac:dyDescent="0.3">
      <c r="A27" s="63">
        <v>40575</v>
      </c>
      <c r="B27">
        <v>6548.1</v>
      </c>
      <c r="C27" s="6">
        <v>146.69999999999999</v>
      </c>
    </row>
    <row r="28" spans="1:3" ht="14.4" x14ac:dyDescent="0.3">
      <c r="A28" s="63">
        <v>40603</v>
      </c>
      <c r="B28">
        <v>6523.7</v>
      </c>
      <c r="C28" s="6">
        <v>145.4</v>
      </c>
    </row>
    <row r="29" spans="1:3" ht="14.4" x14ac:dyDescent="0.3">
      <c r="A29" s="63">
        <v>40634</v>
      </c>
      <c r="B29">
        <v>6550</v>
      </c>
      <c r="C29" s="6">
        <v>144</v>
      </c>
    </row>
    <row r="30" spans="1:3" ht="14.4" x14ac:dyDescent="0.3">
      <c r="A30" s="63">
        <v>40664</v>
      </c>
      <c r="B30">
        <v>6612</v>
      </c>
      <c r="C30" s="6">
        <v>144.6</v>
      </c>
    </row>
    <row r="31" spans="1:3" ht="14.4" x14ac:dyDescent="0.3">
      <c r="A31" s="63">
        <v>40695</v>
      </c>
      <c r="B31">
        <v>6706.8</v>
      </c>
      <c r="C31" s="6">
        <v>146</v>
      </c>
    </row>
    <row r="32" spans="1:3" ht="14.4" x14ac:dyDescent="0.3">
      <c r="A32" s="63">
        <v>40725</v>
      </c>
      <c r="B32">
        <v>6755.3</v>
      </c>
      <c r="C32" s="6">
        <v>147.6</v>
      </c>
    </row>
    <row r="33" spans="1:3" ht="14.4" x14ac:dyDescent="0.3">
      <c r="A33" s="63">
        <v>40756</v>
      </c>
      <c r="B33">
        <v>6778</v>
      </c>
      <c r="C33" s="6">
        <v>148.69999999999999</v>
      </c>
    </row>
    <row r="34" spans="1:3" ht="14.4" x14ac:dyDescent="0.3">
      <c r="A34" s="63">
        <v>40787</v>
      </c>
      <c r="B34">
        <v>6734.6</v>
      </c>
      <c r="C34" s="6">
        <v>148.1</v>
      </c>
    </row>
    <row r="35" spans="1:3" ht="14.4" x14ac:dyDescent="0.3">
      <c r="A35" s="63">
        <v>40817</v>
      </c>
      <c r="B35">
        <v>6702.2</v>
      </c>
      <c r="C35" s="6">
        <v>149.1</v>
      </c>
    </row>
    <row r="36" spans="1:3" ht="14.4" x14ac:dyDescent="0.3">
      <c r="A36" s="63">
        <v>40848</v>
      </c>
      <c r="B36">
        <v>6669.4</v>
      </c>
      <c r="C36" s="6">
        <v>150.80000000000001</v>
      </c>
    </row>
    <row r="37" spans="1:3" ht="14.4" x14ac:dyDescent="0.3">
      <c r="A37" s="63">
        <v>40878</v>
      </c>
      <c r="B37">
        <v>6668.3</v>
      </c>
      <c r="C37" s="6">
        <v>152.1</v>
      </c>
    </row>
    <row r="38" spans="1:3" ht="14.4" x14ac:dyDescent="0.3">
      <c r="A38" s="63">
        <v>40909</v>
      </c>
      <c r="B38">
        <v>6635.9</v>
      </c>
      <c r="C38" s="6">
        <v>149.5</v>
      </c>
    </row>
    <row r="39" spans="1:3" ht="14.4" x14ac:dyDescent="0.3">
      <c r="A39" s="63">
        <v>40940</v>
      </c>
      <c r="B39">
        <v>6598</v>
      </c>
      <c r="C39" s="6">
        <v>148.4</v>
      </c>
    </row>
    <row r="40" spans="1:3" ht="14.4" x14ac:dyDescent="0.3">
      <c r="A40" s="63">
        <v>40969</v>
      </c>
      <c r="B40">
        <v>6569.8</v>
      </c>
      <c r="C40" s="6">
        <v>148.5</v>
      </c>
    </row>
    <row r="41" spans="1:3" ht="14.4" x14ac:dyDescent="0.3">
      <c r="A41" s="63">
        <v>41000</v>
      </c>
      <c r="B41">
        <v>6603.3</v>
      </c>
      <c r="C41" s="6">
        <v>150.6</v>
      </c>
    </row>
    <row r="42" spans="1:3" ht="14.4" x14ac:dyDescent="0.3">
      <c r="A42" s="63">
        <v>41030</v>
      </c>
      <c r="B42">
        <v>6658.1</v>
      </c>
      <c r="C42" s="6">
        <v>151.1</v>
      </c>
    </row>
    <row r="43" spans="1:3" ht="14.4" x14ac:dyDescent="0.3">
      <c r="A43" s="63">
        <v>41061</v>
      </c>
      <c r="B43">
        <v>6737.2</v>
      </c>
      <c r="C43" s="6">
        <v>152.19999999999999</v>
      </c>
    </row>
    <row r="44" spans="1:3" ht="14.4" x14ac:dyDescent="0.3">
      <c r="A44" s="63">
        <v>41091</v>
      </c>
      <c r="B44">
        <v>6778.6</v>
      </c>
      <c r="C44" s="6">
        <v>153.4</v>
      </c>
    </row>
    <row r="45" spans="1:3" ht="14.4" x14ac:dyDescent="0.3">
      <c r="A45" s="63">
        <v>41122</v>
      </c>
      <c r="B45">
        <v>6797.9</v>
      </c>
      <c r="C45" s="6">
        <v>155</v>
      </c>
    </row>
    <row r="46" spans="1:3" ht="14.4" x14ac:dyDescent="0.3">
      <c r="A46" s="63">
        <v>41153</v>
      </c>
      <c r="B46">
        <v>6763.1</v>
      </c>
      <c r="C46" s="6">
        <v>156.9</v>
      </c>
    </row>
    <row r="47" spans="1:3" ht="14.4" x14ac:dyDescent="0.3">
      <c r="A47" s="63">
        <v>41183</v>
      </c>
      <c r="B47">
        <v>6740.9</v>
      </c>
      <c r="C47" s="6">
        <v>157.5</v>
      </c>
    </row>
    <row r="48" spans="1:3" ht="14.4" x14ac:dyDescent="0.3">
      <c r="A48" s="63">
        <v>41214</v>
      </c>
      <c r="B48">
        <v>6727.4</v>
      </c>
      <c r="C48" s="6">
        <v>157.6</v>
      </c>
    </row>
    <row r="49" spans="1:3" ht="14.4" x14ac:dyDescent="0.3">
      <c r="A49" s="63">
        <v>41244</v>
      </c>
      <c r="B49">
        <v>6740.2</v>
      </c>
      <c r="C49" s="6">
        <v>155.5</v>
      </c>
    </row>
    <row r="50" spans="1:3" ht="14.4" x14ac:dyDescent="0.3">
      <c r="A50" s="63">
        <v>41275</v>
      </c>
      <c r="B50">
        <v>6721.7</v>
      </c>
      <c r="C50" s="6">
        <v>151.1</v>
      </c>
    </row>
    <row r="51" spans="1:3" ht="14.4" x14ac:dyDescent="0.3">
      <c r="A51" s="63">
        <v>41306</v>
      </c>
      <c r="B51">
        <v>6702</v>
      </c>
      <c r="C51" s="6">
        <v>150.19999999999999</v>
      </c>
    </row>
    <row r="52" spans="1:3" ht="14.4" x14ac:dyDescent="0.3">
      <c r="A52" s="63">
        <v>41334</v>
      </c>
      <c r="B52">
        <v>6675.8</v>
      </c>
      <c r="C52" s="6">
        <v>149.4</v>
      </c>
    </row>
    <row r="53" spans="1:3" ht="14.4" x14ac:dyDescent="0.3">
      <c r="A53" s="63">
        <v>41365</v>
      </c>
      <c r="B53">
        <v>6703.7</v>
      </c>
      <c r="C53" s="6">
        <v>152.6</v>
      </c>
    </row>
    <row r="54" spans="1:3" ht="14.4" x14ac:dyDescent="0.3">
      <c r="A54" s="63">
        <v>41395</v>
      </c>
      <c r="B54">
        <v>6770.3</v>
      </c>
      <c r="C54" s="6">
        <v>154</v>
      </c>
    </row>
    <row r="55" spans="1:3" ht="14.4" x14ac:dyDescent="0.3">
      <c r="A55" s="63">
        <v>41426</v>
      </c>
      <c r="B55">
        <v>6861.8</v>
      </c>
      <c r="C55" s="6">
        <v>155.9</v>
      </c>
    </row>
    <row r="56" spans="1:3" ht="14.4" x14ac:dyDescent="0.3">
      <c r="A56" s="63">
        <v>41456</v>
      </c>
      <c r="B56">
        <v>6917.1</v>
      </c>
      <c r="C56" s="6">
        <v>156.6</v>
      </c>
    </row>
    <row r="57" spans="1:3" ht="14.4" x14ac:dyDescent="0.3">
      <c r="A57" s="63">
        <v>41487</v>
      </c>
      <c r="B57">
        <v>6934.7</v>
      </c>
      <c r="C57" s="6">
        <v>156.5</v>
      </c>
    </row>
    <row r="58" spans="1:3" ht="14.4" x14ac:dyDescent="0.3">
      <c r="A58" s="63">
        <v>41518</v>
      </c>
      <c r="B58">
        <v>6906.9</v>
      </c>
      <c r="C58" s="6">
        <v>154.6</v>
      </c>
    </row>
    <row r="59" spans="1:3" ht="14.4" x14ac:dyDescent="0.3">
      <c r="A59" s="63">
        <v>41548</v>
      </c>
      <c r="B59">
        <v>6889</v>
      </c>
      <c r="C59" s="6">
        <v>155.80000000000001</v>
      </c>
    </row>
    <row r="60" spans="1:3" ht="14.4" x14ac:dyDescent="0.3">
      <c r="A60" s="63">
        <v>41579</v>
      </c>
      <c r="B60">
        <v>6863.8</v>
      </c>
      <c r="C60" s="6">
        <v>156.69999999999999</v>
      </c>
    </row>
    <row r="61" spans="1:3" ht="14.4" x14ac:dyDescent="0.3">
      <c r="A61" s="63">
        <v>41609</v>
      </c>
      <c r="B61">
        <v>6849.3</v>
      </c>
      <c r="C61" s="6">
        <v>159.19999999999999</v>
      </c>
    </row>
    <row r="62" spans="1:3" ht="14.4" x14ac:dyDescent="0.3">
      <c r="A62" s="63">
        <v>41640</v>
      </c>
      <c r="B62">
        <v>6806.1</v>
      </c>
      <c r="C62" s="6">
        <v>157.1</v>
      </c>
    </row>
    <row r="63" spans="1:3" ht="14.4" x14ac:dyDescent="0.3">
      <c r="A63" s="63">
        <v>41671</v>
      </c>
      <c r="B63">
        <v>6772.3</v>
      </c>
      <c r="C63" s="6">
        <v>154.69999999999999</v>
      </c>
    </row>
    <row r="64" spans="1:3" ht="14.4" x14ac:dyDescent="0.3">
      <c r="A64" s="63">
        <v>41699</v>
      </c>
      <c r="B64">
        <v>6751.3</v>
      </c>
      <c r="C64" s="6">
        <v>152.4</v>
      </c>
    </row>
    <row r="65" spans="1:3" ht="14.4" x14ac:dyDescent="0.3">
      <c r="A65" s="63">
        <v>41730</v>
      </c>
      <c r="B65">
        <v>6785</v>
      </c>
      <c r="C65" s="6">
        <v>151.1</v>
      </c>
    </row>
    <row r="66" spans="1:3" ht="14.4" x14ac:dyDescent="0.3">
      <c r="A66" s="63">
        <v>41760</v>
      </c>
      <c r="B66">
        <v>6842.6</v>
      </c>
      <c r="C66" s="6">
        <v>151.19999999999999</v>
      </c>
    </row>
    <row r="67" spans="1:3" ht="14.4" x14ac:dyDescent="0.3">
      <c r="A67" s="63">
        <v>41791</v>
      </c>
      <c r="B67">
        <v>6912.9</v>
      </c>
      <c r="C67" s="6">
        <v>150.9</v>
      </c>
    </row>
    <row r="68" spans="1:3" ht="14.4" x14ac:dyDescent="0.3">
      <c r="A68" s="63">
        <v>41821</v>
      </c>
      <c r="B68">
        <v>6957.8</v>
      </c>
      <c r="C68" s="6">
        <v>153.6</v>
      </c>
    </row>
    <row r="69" spans="1:3" ht="14.4" x14ac:dyDescent="0.3">
      <c r="A69" s="63">
        <v>41852</v>
      </c>
      <c r="B69">
        <v>6969.7</v>
      </c>
      <c r="C69" s="6">
        <v>154.5</v>
      </c>
    </row>
    <row r="70" spans="1:3" ht="14.4" x14ac:dyDescent="0.3">
      <c r="A70" s="63">
        <v>41883</v>
      </c>
      <c r="B70">
        <v>6944.1</v>
      </c>
      <c r="C70" s="6">
        <v>156.6</v>
      </c>
    </row>
    <row r="71" spans="1:3" ht="14.4" x14ac:dyDescent="0.3">
      <c r="A71" s="63">
        <v>41913</v>
      </c>
      <c r="B71">
        <v>6936.6</v>
      </c>
      <c r="C71" s="6">
        <v>158.30000000000001</v>
      </c>
    </row>
    <row r="72" spans="1:3" ht="14.4" x14ac:dyDescent="0.3">
      <c r="A72" s="63">
        <v>41944</v>
      </c>
      <c r="B72">
        <v>6914.3</v>
      </c>
      <c r="C72" s="6">
        <v>159.30000000000001</v>
      </c>
    </row>
    <row r="73" spans="1:3" ht="14.4" x14ac:dyDescent="0.3">
      <c r="A73" s="63">
        <v>41974</v>
      </c>
      <c r="B73">
        <v>6903.2</v>
      </c>
      <c r="C73" s="6">
        <v>161.1</v>
      </c>
    </row>
    <row r="74" spans="1:3" ht="14.4" x14ac:dyDescent="0.3">
      <c r="A74" s="63">
        <v>42005</v>
      </c>
      <c r="B74">
        <v>6845.1</v>
      </c>
      <c r="C74" s="6">
        <v>159.30000000000001</v>
      </c>
    </row>
    <row r="75" spans="1:3" ht="14.4" x14ac:dyDescent="0.3">
      <c r="A75" s="63">
        <v>42036</v>
      </c>
      <c r="B75">
        <v>6810.3</v>
      </c>
      <c r="C75" s="6">
        <v>159.1</v>
      </c>
    </row>
    <row r="76" spans="1:3" ht="14.4" x14ac:dyDescent="0.3">
      <c r="A76" s="63">
        <v>42064</v>
      </c>
      <c r="B76">
        <v>6783.7</v>
      </c>
      <c r="C76" s="6">
        <v>156.1</v>
      </c>
    </row>
    <row r="77" spans="1:3" ht="14.4" x14ac:dyDescent="0.3">
      <c r="A77" s="63">
        <v>42095</v>
      </c>
      <c r="B77">
        <v>6805.6</v>
      </c>
      <c r="C77" s="6">
        <v>156.4</v>
      </c>
    </row>
    <row r="78" spans="1:3" ht="14.4" x14ac:dyDescent="0.3">
      <c r="A78" s="63">
        <v>42125</v>
      </c>
      <c r="B78">
        <v>6870.9</v>
      </c>
      <c r="C78" s="6">
        <v>159.1</v>
      </c>
    </row>
    <row r="79" spans="1:3" ht="14.4" x14ac:dyDescent="0.3">
      <c r="A79" s="63">
        <v>42156</v>
      </c>
      <c r="B79">
        <v>6965.8</v>
      </c>
      <c r="C79" s="6">
        <v>163.9</v>
      </c>
    </row>
    <row r="80" spans="1:3" ht="14.4" x14ac:dyDescent="0.3">
      <c r="A80" s="63">
        <v>42186</v>
      </c>
      <c r="B80">
        <v>7032.3</v>
      </c>
      <c r="C80" s="6">
        <v>164.8</v>
      </c>
    </row>
    <row r="81" spans="1:3" ht="14.4" x14ac:dyDescent="0.3">
      <c r="A81" s="63">
        <v>42217</v>
      </c>
      <c r="B81">
        <v>7045.7</v>
      </c>
      <c r="C81" s="6">
        <v>160.80000000000001</v>
      </c>
    </row>
    <row r="82" spans="1:3" ht="14.4" x14ac:dyDescent="0.3">
      <c r="A82" s="63">
        <v>42248</v>
      </c>
      <c r="B82">
        <v>6994.9</v>
      </c>
      <c r="C82" s="6">
        <v>156.69999999999999</v>
      </c>
    </row>
    <row r="83" spans="1:3" ht="14.4" x14ac:dyDescent="0.3">
      <c r="A83" s="63">
        <v>42278</v>
      </c>
      <c r="B83">
        <v>6969</v>
      </c>
      <c r="C83" s="6">
        <v>155.1</v>
      </c>
    </row>
    <row r="84" spans="1:3" ht="14.4" x14ac:dyDescent="0.3">
      <c r="A84" s="63">
        <v>42309</v>
      </c>
      <c r="B84">
        <v>6936.9</v>
      </c>
      <c r="C84" s="6">
        <v>155.19999999999999</v>
      </c>
    </row>
    <row r="85" spans="1:3" ht="14.4" x14ac:dyDescent="0.3">
      <c r="A85" s="63">
        <v>42339</v>
      </c>
      <c r="B85">
        <v>6948.2</v>
      </c>
      <c r="C85" s="6">
        <v>155.19999999999999</v>
      </c>
    </row>
    <row r="86" spans="1:3" ht="14.4" x14ac:dyDescent="0.3">
      <c r="A86" s="63">
        <v>42370</v>
      </c>
      <c r="B86">
        <v>6919.2</v>
      </c>
      <c r="C86" s="6">
        <v>155</v>
      </c>
    </row>
    <row r="87" spans="1:3" ht="14.4" x14ac:dyDescent="0.3">
      <c r="A87" s="63">
        <v>42401</v>
      </c>
      <c r="B87">
        <v>6896.8</v>
      </c>
      <c r="C87" s="6">
        <v>156</v>
      </c>
    </row>
    <row r="88" spans="1:3" ht="14.4" x14ac:dyDescent="0.3">
      <c r="A88" s="63">
        <v>42430</v>
      </c>
      <c r="B88">
        <v>6872.4</v>
      </c>
      <c r="C88" s="6">
        <v>156.80000000000001</v>
      </c>
    </row>
    <row r="89" spans="1:3" ht="14.4" x14ac:dyDescent="0.3">
      <c r="A89" s="63">
        <v>42461</v>
      </c>
      <c r="B89">
        <v>6890.3</v>
      </c>
      <c r="C89" s="6">
        <v>159.30000000000001</v>
      </c>
    </row>
    <row r="90" spans="1:3" ht="14.4" x14ac:dyDescent="0.3">
      <c r="A90" s="63">
        <v>42491</v>
      </c>
      <c r="B90">
        <v>6962.5</v>
      </c>
      <c r="C90" s="6">
        <v>162.1</v>
      </c>
    </row>
    <row r="91" spans="1:3" ht="14.4" x14ac:dyDescent="0.3">
      <c r="A91" s="63">
        <v>42522</v>
      </c>
      <c r="B91">
        <v>7047.3</v>
      </c>
      <c r="C91" s="6">
        <v>166.7</v>
      </c>
    </row>
    <row r="92" spans="1:3" ht="14.4" x14ac:dyDescent="0.3">
      <c r="A92" s="63">
        <v>42552</v>
      </c>
      <c r="B92">
        <v>7090.8</v>
      </c>
      <c r="C92" s="6">
        <v>169.9</v>
      </c>
    </row>
    <row r="93" spans="1:3" ht="14.4" x14ac:dyDescent="0.3">
      <c r="A93" s="63">
        <v>42583</v>
      </c>
      <c r="B93">
        <v>7083.3</v>
      </c>
      <c r="C93" s="6">
        <v>171.7</v>
      </c>
    </row>
    <row r="94" spans="1:3" ht="14.4" x14ac:dyDescent="0.3">
      <c r="A94" s="63">
        <v>42614</v>
      </c>
      <c r="B94">
        <v>7037</v>
      </c>
      <c r="C94" s="6">
        <v>170.5</v>
      </c>
    </row>
    <row r="95" spans="1:3" ht="14.4" x14ac:dyDescent="0.3">
      <c r="A95" s="63">
        <v>42644</v>
      </c>
      <c r="B95">
        <v>7033.4</v>
      </c>
      <c r="C95" s="6">
        <v>169.2</v>
      </c>
    </row>
    <row r="96" spans="1:3" ht="14.4" x14ac:dyDescent="0.3">
      <c r="A96" s="63">
        <v>42675</v>
      </c>
      <c r="B96">
        <v>7026.9</v>
      </c>
      <c r="C96" s="6">
        <v>165.5</v>
      </c>
    </row>
    <row r="97" spans="1:3" ht="14.4" x14ac:dyDescent="0.3">
      <c r="A97" s="63">
        <v>42705</v>
      </c>
      <c r="B97">
        <v>7041.6</v>
      </c>
      <c r="C97" s="6">
        <v>162.5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1" sqref="A21"/>
    </sheetView>
  </sheetViews>
  <sheetFormatPr defaultRowHeight="13.2" x14ac:dyDescent="0.25"/>
  <cols>
    <col min="1" max="1" width="23.44140625" style="6" customWidth="1"/>
    <col min="2" max="2" width="13.77734375" style="6" customWidth="1"/>
    <col min="3" max="3" width="19.5546875" style="6" customWidth="1"/>
    <col min="4" max="4" width="12.77734375" style="6" customWidth="1"/>
    <col min="5" max="5" width="12.109375" style="6" customWidth="1"/>
    <col min="6" max="16384" width="8.88671875" style="6"/>
  </cols>
  <sheetData>
    <row r="1" spans="1:5" x14ac:dyDescent="0.25">
      <c r="A1" s="6" t="s">
        <v>162</v>
      </c>
    </row>
    <row r="2" spans="1:5" x14ac:dyDescent="0.25">
      <c r="A2" s="6" t="s">
        <v>155</v>
      </c>
    </row>
    <row r="4" spans="1:5" x14ac:dyDescent="0.25">
      <c r="B4" s="6" t="s">
        <v>63</v>
      </c>
      <c r="C4" s="6" t="s">
        <v>64</v>
      </c>
      <c r="D4" s="6" t="s">
        <v>65</v>
      </c>
      <c r="E4" s="6" t="s">
        <v>66</v>
      </c>
    </row>
    <row r="5" spans="1:5" ht="14.4" x14ac:dyDescent="0.3">
      <c r="A5" s="6" t="s">
        <v>67</v>
      </c>
      <c r="B5" s="20">
        <v>-17086566.711675301</v>
      </c>
      <c r="C5" s="20">
        <v>4123062.1143682902</v>
      </c>
      <c r="D5" s="6">
        <v>-4.1441448704182697</v>
      </c>
      <c r="E5" s="21">
        <v>7.7566974597979504E-5</v>
      </c>
    </row>
    <row r="6" spans="1:5" ht="14.4" x14ac:dyDescent="0.3">
      <c r="A6" s="6" t="s">
        <v>28</v>
      </c>
      <c r="B6" s="20">
        <v>6467.3513130787096</v>
      </c>
      <c r="C6" s="20">
        <v>499.50501839833402</v>
      </c>
      <c r="D6" s="6">
        <v>12.9475201947246</v>
      </c>
      <c r="E6" s="21">
        <v>3.5403977485763602E-22</v>
      </c>
    </row>
    <row r="7" spans="1:5" ht="14.4" x14ac:dyDescent="0.3">
      <c r="A7" s="6" t="s">
        <v>29</v>
      </c>
      <c r="B7" s="20">
        <v>68141.614849584003</v>
      </c>
      <c r="C7" s="20">
        <v>2096.5937102697198</v>
      </c>
      <c r="D7" s="6">
        <v>32.501106206608803</v>
      </c>
      <c r="E7" s="21">
        <v>3.7048290096801302E-51</v>
      </c>
    </row>
    <row r="8" spans="1:5" ht="14.4" x14ac:dyDescent="0.3">
      <c r="A8" s="6" t="s">
        <v>152</v>
      </c>
      <c r="B8" s="20">
        <v>828170.98805412103</v>
      </c>
      <c r="C8" s="20">
        <v>95188.193244312395</v>
      </c>
      <c r="D8" s="6">
        <v>8.7003541072422301</v>
      </c>
      <c r="E8" s="21">
        <v>1.5661232620695499E-13</v>
      </c>
    </row>
    <row r="9" spans="1:5" ht="14.4" x14ac:dyDescent="0.3">
      <c r="A9" s="6" t="s">
        <v>129</v>
      </c>
      <c r="B9" s="20">
        <v>-1891036.2259753</v>
      </c>
      <c r="C9" s="20">
        <v>203768.13147677801</v>
      </c>
      <c r="D9" s="6">
        <v>-9.2803335451442592</v>
      </c>
      <c r="E9" s="21">
        <v>9.8682652867842399E-15</v>
      </c>
    </row>
    <row r="10" spans="1:5" ht="14.4" x14ac:dyDescent="0.3">
      <c r="A10" s="6" t="s">
        <v>68</v>
      </c>
      <c r="B10" s="20">
        <v>-20582.508758755499</v>
      </c>
      <c r="C10" s="20">
        <v>5090.5008942325303</v>
      </c>
      <c r="D10" s="6">
        <v>-4.0433169910794504</v>
      </c>
      <c r="E10" s="21">
        <v>1.11824957314302E-4</v>
      </c>
    </row>
    <row r="11" spans="1:5" ht="14.4" x14ac:dyDescent="0.3">
      <c r="A11" s="6" t="s">
        <v>57</v>
      </c>
      <c r="B11" s="20">
        <v>65415.235948121903</v>
      </c>
      <c r="C11" s="20">
        <v>22170.653726013199</v>
      </c>
      <c r="D11" s="6">
        <v>2.9505325714130399</v>
      </c>
      <c r="E11" s="6">
        <v>4.0537620365809404E-3</v>
      </c>
    </row>
    <row r="12" spans="1:5" ht="14.4" x14ac:dyDescent="0.3">
      <c r="B12" s="21"/>
      <c r="C12" s="20"/>
      <c r="E12" s="21"/>
    </row>
    <row r="13" spans="1:5" ht="14.4" x14ac:dyDescent="0.3">
      <c r="A13" s="6" t="s">
        <v>70</v>
      </c>
      <c r="B13" s="20">
        <v>21389785.501944002</v>
      </c>
      <c r="C13" s="20" t="s">
        <v>71</v>
      </c>
      <c r="D13" s="6">
        <v>4559082.4714722401</v>
      </c>
      <c r="E13" s="21"/>
    </row>
    <row r="14" spans="1:5" x14ac:dyDescent="0.25">
      <c r="A14" s="6" t="s">
        <v>72</v>
      </c>
      <c r="B14" s="6">
        <v>43717577457898</v>
      </c>
      <c r="C14" s="6" t="s">
        <v>73</v>
      </c>
      <c r="D14" s="21">
        <v>700862.85069334297</v>
      </c>
    </row>
    <row r="15" spans="1:5" x14ac:dyDescent="0.25">
      <c r="A15" s="6" t="s">
        <v>74</v>
      </c>
      <c r="B15" s="6">
        <v>0.97786000155600405</v>
      </c>
      <c r="C15" s="6" t="s">
        <v>75</v>
      </c>
      <c r="D15" s="21">
        <v>0.97636741739124</v>
      </c>
    </row>
    <row r="16" spans="1:5" x14ac:dyDescent="0.25">
      <c r="A16" s="6" t="s">
        <v>163</v>
      </c>
      <c r="B16" s="6">
        <v>655.14563576438297</v>
      </c>
      <c r="C16" s="6" t="s">
        <v>76</v>
      </c>
      <c r="D16" s="21">
        <v>2.3217877219103899E-71</v>
      </c>
    </row>
    <row r="17" spans="1:4" x14ac:dyDescent="0.25">
      <c r="A17" s="6" t="s">
        <v>77</v>
      </c>
      <c r="B17" s="6">
        <v>-1424.7504116283201</v>
      </c>
      <c r="C17" s="6" t="s">
        <v>78</v>
      </c>
      <c r="D17" s="6">
        <v>2863.5008232566302</v>
      </c>
    </row>
    <row r="18" spans="1:4" x14ac:dyDescent="0.25">
      <c r="A18" s="6" t="s">
        <v>79</v>
      </c>
      <c r="B18" s="6">
        <v>2881.4512605969098</v>
      </c>
      <c r="C18" s="6" t="s">
        <v>80</v>
      </c>
      <c r="D18" s="21">
        <v>2870.7566833358801</v>
      </c>
    </row>
    <row r="19" spans="1:4" x14ac:dyDescent="0.25">
      <c r="A19" s="6" t="s">
        <v>81</v>
      </c>
      <c r="B19" s="6">
        <v>-0.14901130035201399</v>
      </c>
      <c r="C19" s="6" t="s">
        <v>82</v>
      </c>
      <c r="D19" s="6">
        <v>2.28429398884448</v>
      </c>
    </row>
    <row r="20" spans="1:4" x14ac:dyDescent="0.25">
      <c r="A20" s="6" t="s">
        <v>156</v>
      </c>
      <c r="B20" s="6">
        <v>0.18604000000000001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"/>
  <sheetViews>
    <sheetView workbookViewId="0">
      <selection activeCell="H1" sqref="H1:I1"/>
    </sheetView>
  </sheetViews>
  <sheetFormatPr defaultRowHeight="14.4" x14ac:dyDescent="0.3"/>
  <cols>
    <col min="1" max="1" width="10.33203125" style="6" bestFit="1" customWidth="1"/>
    <col min="2" max="2" width="5" style="6" bestFit="1" customWidth="1"/>
    <col min="3" max="3" width="11" style="20" bestFit="1" customWidth="1"/>
    <col min="4" max="5" width="6" style="6" bestFit="1" customWidth="1"/>
    <col min="6" max="6" width="10.77734375" style="6" bestFit="1" customWidth="1"/>
    <col min="7" max="7" width="9.44140625" style="6" bestFit="1" customWidth="1"/>
    <col min="8" max="9" width="9.44140625" style="6" customWidth="1"/>
    <col min="10" max="10" width="8.88671875" style="6"/>
    <col min="11" max="11" width="11.5546875" style="20" bestFit="1" customWidth="1"/>
    <col min="12" max="12" width="10" style="20" bestFit="1" customWidth="1"/>
    <col min="13" max="13" width="11" style="20" bestFit="1" customWidth="1"/>
    <col min="14" max="14" width="12.44140625" style="20" bestFit="1" customWidth="1"/>
    <col min="15" max="15" width="11.5546875" style="20" bestFit="1" customWidth="1"/>
    <col min="16" max="17" width="11.5546875" style="20" customWidth="1"/>
    <col min="18" max="18" width="18.109375" style="20" bestFit="1" customWidth="1"/>
    <col min="19" max="19" width="14.109375" style="6" bestFit="1" customWidth="1"/>
    <col min="20" max="16384" width="8.88671875" style="6"/>
  </cols>
  <sheetData>
    <row r="1" spans="1:19" x14ac:dyDescent="0.3">
      <c r="A1" s="6" t="str">
        <f>'Monthly Data'!A1</f>
        <v>Date</v>
      </c>
      <c r="B1" s="6" t="s">
        <v>83</v>
      </c>
      <c r="C1" s="20" t="str">
        <f>'Monthly Data'!F1</f>
        <v>Gross_Res</v>
      </c>
      <c r="D1" s="6" t="str">
        <f>'Monthly Data'!AG1</f>
        <v>HDD</v>
      </c>
      <c r="E1" s="6" t="str">
        <f>'Monthly Data'!AH1</f>
        <v>CDD</v>
      </c>
      <c r="F1" s="6" t="str">
        <f>'Monthly Data'!AL1</f>
        <v>Month_Days</v>
      </c>
      <c r="G1" s="6" t="str">
        <f>'Monthly Data'!BC1</f>
        <v>Shoulder</v>
      </c>
      <c r="H1" s="6" t="str">
        <f>'Monthly Data'!AN1</f>
        <v>Trend</v>
      </c>
      <c r="I1" s="6" t="str">
        <f>'Monthly Data'!AJ1</f>
        <v>Windsor_FTE</v>
      </c>
      <c r="K1" s="20" t="s">
        <v>67</v>
      </c>
      <c r="L1" s="20" t="str">
        <f t="shared" ref="L1:Q1" si="0">D1</f>
        <v>HDD</v>
      </c>
      <c r="M1" s="20" t="str">
        <f t="shared" si="0"/>
        <v>CDD</v>
      </c>
      <c r="N1" s="20" t="str">
        <f t="shared" si="0"/>
        <v>Month_Days</v>
      </c>
      <c r="O1" s="20" t="str">
        <f t="shared" si="0"/>
        <v>Shoulder</v>
      </c>
      <c r="P1" s="20" t="str">
        <f t="shared" si="0"/>
        <v>Trend</v>
      </c>
      <c r="Q1" s="20" t="str">
        <f t="shared" si="0"/>
        <v>Windsor_FTE</v>
      </c>
      <c r="R1" s="20" t="s">
        <v>84</v>
      </c>
      <c r="S1" s="16" t="s">
        <v>85</v>
      </c>
    </row>
    <row r="2" spans="1:19" x14ac:dyDescent="0.3">
      <c r="A2" s="22">
        <f>'Monthly Data'!A2</f>
        <v>39814</v>
      </c>
      <c r="B2" s="6">
        <f>YEAR(A2)</f>
        <v>2009</v>
      </c>
      <c r="C2" s="20">
        <f ca="1">'Monthly Data'!F2</f>
        <v>22953528.183818262</v>
      </c>
      <c r="D2" s="6">
        <f>'Monthly Data'!AG2</f>
        <v>768.79999999999973</v>
      </c>
      <c r="E2" s="6">
        <f>'Monthly Data'!AH2</f>
        <v>0</v>
      </c>
      <c r="F2" s="6">
        <f>'Monthly Data'!AL2</f>
        <v>31</v>
      </c>
      <c r="G2" s="6">
        <f>'Monthly Data'!BC2</f>
        <v>0</v>
      </c>
      <c r="H2" s="6">
        <f>'Monthly Data'!AN2</f>
        <v>1</v>
      </c>
      <c r="I2" s="6">
        <f>'Monthly Data'!AJ2</f>
        <v>151.5</v>
      </c>
      <c r="K2" s="20">
        <f>'Res OLS model'!$B$5</f>
        <v>-17086566.711675301</v>
      </c>
      <c r="L2" s="20">
        <f>'Res OLS model'!$B$6*D2</f>
        <v>4972099.6894949097</v>
      </c>
      <c r="M2" s="20">
        <f>'Res OLS model'!$B$7*E2</f>
        <v>0</v>
      </c>
      <c r="N2" s="20">
        <f>'Res OLS model'!$B$8*F2</f>
        <v>25673300.62967775</v>
      </c>
      <c r="O2" s="20">
        <f>'Res OLS model'!$B$9*G2</f>
        <v>0</v>
      </c>
      <c r="P2" s="20">
        <f>'Res OLS model'!$B$10*H2</f>
        <v>-20582.508758755499</v>
      </c>
      <c r="Q2" s="20">
        <f>'Res OLS model'!$B$11*I2</f>
        <v>9910408.2461404689</v>
      </c>
      <c r="R2" s="20">
        <f>SUM(K2:Q2)</f>
        <v>23448659.344879072</v>
      </c>
      <c r="S2" s="23">
        <f t="shared" ref="S2:S33" ca="1" si="1">ABS(R2-C2)/C2</f>
        <v>2.1571026340511206E-2</v>
      </c>
    </row>
    <row r="3" spans="1:19" x14ac:dyDescent="0.3">
      <c r="A3" s="22">
        <f>'Monthly Data'!A3</f>
        <v>39845</v>
      </c>
      <c r="B3" s="6">
        <f t="shared" ref="B3:B66" si="2">YEAR(A3)</f>
        <v>2009</v>
      </c>
      <c r="C3" s="20">
        <f ca="1">'Monthly Data'!F3</f>
        <v>19172932.773045871</v>
      </c>
      <c r="D3" s="6">
        <f>'Monthly Data'!AG3</f>
        <v>540</v>
      </c>
      <c r="E3" s="6">
        <f>'Monthly Data'!AH3</f>
        <v>0</v>
      </c>
      <c r="F3" s="6">
        <f>'Monthly Data'!AL3</f>
        <v>28</v>
      </c>
      <c r="G3" s="6">
        <f>'Monthly Data'!BC3</f>
        <v>0</v>
      </c>
      <c r="H3" s="6">
        <f>'Monthly Data'!AN3</f>
        <v>2</v>
      </c>
      <c r="I3" s="6">
        <f>'Monthly Data'!AJ3</f>
        <v>147.5</v>
      </c>
      <c r="K3" s="20">
        <f>'Res OLS model'!$B$5</f>
        <v>-17086566.711675301</v>
      </c>
      <c r="L3" s="20">
        <f>'Res OLS model'!$B$6*D3</f>
        <v>3492369.7090625032</v>
      </c>
      <c r="M3" s="20">
        <f>'Res OLS model'!$B$7*E3</f>
        <v>0</v>
      </c>
      <c r="N3" s="20">
        <f>'Res OLS model'!$B$8*F3</f>
        <v>23188787.665515389</v>
      </c>
      <c r="O3" s="20">
        <f>'Res OLS model'!$B$9*G3</f>
        <v>0</v>
      </c>
      <c r="P3" s="20">
        <f>'Res OLS model'!$B$10*H3</f>
        <v>-41165.017517510998</v>
      </c>
      <c r="Q3" s="20">
        <f>'Res OLS model'!$B$11*I3</f>
        <v>9648747.3023479804</v>
      </c>
      <c r="R3" s="20">
        <f t="shared" ref="R3:R66" si="3">SUM(K3:Q3)</f>
        <v>19202172.94773306</v>
      </c>
      <c r="S3" s="23">
        <f t="shared" ca="1" si="1"/>
        <v>1.525075742626877E-3</v>
      </c>
    </row>
    <row r="4" spans="1:19" x14ac:dyDescent="0.3">
      <c r="A4" s="22">
        <f>'Monthly Data'!A4</f>
        <v>39873</v>
      </c>
      <c r="B4" s="6">
        <f t="shared" si="2"/>
        <v>2009</v>
      </c>
      <c r="C4" s="20">
        <f ca="1">'Monthly Data'!F4</f>
        <v>19039064.366005011</v>
      </c>
      <c r="D4" s="6">
        <f>'Monthly Data'!AG4</f>
        <v>456.7999999999999</v>
      </c>
      <c r="E4" s="6">
        <f>'Monthly Data'!AH4</f>
        <v>0</v>
      </c>
      <c r="F4" s="6">
        <f>'Monthly Data'!AL4</f>
        <v>31</v>
      </c>
      <c r="G4" s="6">
        <f>'Monthly Data'!BC4</f>
        <v>1</v>
      </c>
      <c r="H4" s="6">
        <f>'Monthly Data'!AN4</f>
        <v>3</v>
      </c>
      <c r="I4" s="6">
        <f>'Monthly Data'!AJ4</f>
        <v>142.9</v>
      </c>
      <c r="K4" s="20">
        <f>'Res OLS model'!$B$5</f>
        <v>-17086566.711675301</v>
      </c>
      <c r="L4" s="20">
        <f>'Res OLS model'!$B$6*D4</f>
        <v>2954286.079814354</v>
      </c>
      <c r="M4" s="20">
        <f>'Res OLS model'!$B$7*E4</f>
        <v>0</v>
      </c>
      <c r="N4" s="20">
        <f>'Res OLS model'!$B$8*F4</f>
        <v>25673300.62967775</v>
      </c>
      <c r="O4" s="20">
        <f>'Res OLS model'!$B$9*G4</f>
        <v>-1891036.2259753</v>
      </c>
      <c r="P4" s="20">
        <f>'Res OLS model'!$B$10*H4</f>
        <v>-61747.526276266493</v>
      </c>
      <c r="Q4" s="20">
        <f>'Res OLS model'!$B$11*I4</f>
        <v>9347837.2169866208</v>
      </c>
      <c r="R4" s="20">
        <f t="shared" si="3"/>
        <v>18936073.462551858</v>
      </c>
      <c r="S4" s="23">
        <f t="shared" ca="1" si="1"/>
        <v>5.4094519285856763E-3</v>
      </c>
    </row>
    <row r="5" spans="1:19" x14ac:dyDescent="0.3">
      <c r="A5" s="22">
        <f>'Monthly Data'!A5</f>
        <v>39904</v>
      </c>
      <c r="B5" s="6">
        <f t="shared" si="2"/>
        <v>2009</v>
      </c>
      <c r="C5" s="20">
        <f ca="1">'Monthly Data'!F5</f>
        <v>17003193.089812111</v>
      </c>
      <c r="D5" s="6">
        <f>'Monthly Data'!AG5</f>
        <v>263.29999999999995</v>
      </c>
      <c r="E5" s="6">
        <f>'Monthly Data'!AH5</f>
        <v>10.399999999999999</v>
      </c>
      <c r="F5" s="6">
        <f>'Monthly Data'!AL5</f>
        <v>30</v>
      </c>
      <c r="G5" s="6">
        <f>'Monthly Data'!BC5</f>
        <v>1</v>
      </c>
      <c r="H5" s="6">
        <f>'Monthly Data'!AN5</f>
        <v>4</v>
      </c>
      <c r="I5" s="6">
        <f>'Monthly Data'!AJ5</f>
        <v>144.80000000000001</v>
      </c>
      <c r="K5" s="20">
        <f>'Res OLS model'!$B$5</f>
        <v>-17086566.711675301</v>
      </c>
      <c r="L5" s="20">
        <f>'Res OLS model'!$B$6*D5</f>
        <v>1702853.6007336238</v>
      </c>
      <c r="M5" s="20">
        <f>'Res OLS model'!$B$7*E5</f>
        <v>708672.79443567351</v>
      </c>
      <c r="N5" s="20">
        <f>'Res OLS model'!$B$8*F5</f>
        <v>24845129.641623631</v>
      </c>
      <c r="O5" s="20">
        <f>'Res OLS model'!$B$9*G5</f>
        <v>-1891036.2259753</v>
      </c>
      <c r="P5" s="20">
        <f>'Res OLS model'!$B$10*H5</f>
        <v>-82330.035035021996</v>
      </c>
      <c r="Q5" s="20">
        <f>'Res OLS model'!$B$11*I5</f>
        <v>9472126.1652880516</v>
      </c>
      <c r="R5" s="20">
        <f t="shared" si="3"/>
        <v>17668849.229395356</v>
      </c>
      <c r="S5" s="23">
        <f t="shared" ca="1" si="1"/>
        <v>3.9148890215337816E-2</v>
      </c>
    </row>
    <row r="6" spans="1:19" x14ac:dyDescent="0.3">
      <c r="A6" s="22">
        <f>'Monthly Data'!A6</f>
        <v>39934</v>
      </c>
      <c r="B6" s="6">
        <f t="shared" si="2"/>
        <v>2009</v>
      </c>
      <c r="C6" s="20">
        <f ca="1">'Monthly Data'!F6</f>
        <v>17391297.954777639</v>
      </c>
      <c r="D6" s="6">
        <f>'Monthly Data'!AG6</f>
        <v>83.40000000000002</v>
      </c>
      <c r="E6" s="6">
        <f>'Monthly Data'!AH6</f>
        <v>12.899999999999999</v>
      </c>
      <c r="F6" s="6">
        <f>'Monthly Data'!AL6</f>
        <v>31</v>
      </c>
      <c r="G6" s="6">
        <f>'Monthly Data'!BC6</f>
        <v>1</v>
      </c>
      <c r="H6" s="6">
        <f>'Monthly Data'!AN6</f>
        <v>5</v>
      </c>
      <c r="I6" s="6">
        <f>'Monthly Data'!AJ6</f>
        <v>145</v>
      </c>
      <c r="K6" s="20">
        <f>'Res OLS model'!$B$5</f>
        <v>-17086566.711675301</v>
      </c>
      <c r="L6" s="20">
        <f>'Res OLS model'!$B$6*D6</f>
        <v>539377.09951076447</v>
      </c>
      <c r="M6" s="20">
        <f>'Res OLS model'!$B$7*E6</f>
        <v>879026.83155963349</v>
      </c>
      <c r="N6" s="20">
        <f>'Res OLS model'!$B$8*F6</f>
        <v>25673300.62967775</v>
      </c>
      <c r="O6" s="20">
        <f>'Res OLS model'!$B$9*G6</f>
        <v>-1891036.2259753</v>
      </c>
      <c r="P6" s="20">
        <f>'Res OLS model'!$B$10*H6</f>
        <v>-102912.5437937775</v>
      </c>
      <c r="Q6" s="20">
        <f>'Res OLS model'!$B$11*I6</f>
        <v>9485209.2124776766</v>
      </c>
      <c r="R6" s="20">
        <f t="shared" si="3"/>
        <v>17496398.291781448</v>
      </c>
      <c r="S6" s="23">
        <f t="shared" ca="1" si="1"/>
        <v>6.0432715992273537E-3</v>
      </c>
    </row>
    <row r="7" spans="1:19" x14ac:dyDescent="0.3">
      <c r="A7" s="22">
        <f>'Monthly Data'!A7</f>
        <v>39965</v>
      </c>
      <c r="B7" s="6">
        <f t="shared" si="2"/>
        <v>2009</v>
      </c>
      <c r="C7" s="20">
        <f ca="1">'Monthly Data'!F7</f>
        <v>21273593.977212608</v>
      </c>
      <c r="D7" s="6">
        <f>'Monthly Data'!AG7</f>
        <v>25.299999999999997</v>
      </c>
      <c r="E7" s="6">
        <f>'Monthly Data'!AH7</f>
        <v>79.399999999999991</v>
      </c>
      <c r="F7" s="6">
        <f>'Monthly Data'!AL7</f>
        <v>30</v>
      </c>
      <c r="G7" s="6">
        <f>'Monthly Data'!BC7</f>
        <v>0</v>
      </c>
      <c r="H7" s="6">
        <f>'Monthly Data'!AN7</f>
        <v>6</v>
      </c>
      <c r="I7" s="6">
        <f>'Monthly Data'!AJ7</f>
        <v>145.69999999999999</v>
      </c>
      <c r="K7" s="20">
        <f>'Res OLS model'!$B$5</f>
        <v>-17086566.711675301</v>
      </c>
      <c r="L7" s="20">
        <f>'Res OLS model'!$B$6*D7</f>
        <v>163623.98822089133</v>
      </c>
      <c r="M7" s="20">
        <f>'Res OLS model'!$B$7*E7</f>
        <v>5410444.2190569695</v>
      </c>
      <c r="N7" s="20">
        <f>'Res OLS model'!$B$8*F7</f>
        <v>24845129.641623631</v>
      </c>
      <c r="O7" s="20">
        <f>'Res OLS model'!$B$9*G7</f>
        <v>0</v>
      </c>
      <c r="P7" s="20">
        <f>'Res OLS model'!$B$10*H7</f>
        <v>-123495.05255253299</v>
      </c>
      <c r="Q7" s="20">
        <f>'Res OLS model'!$B$11*I7</f>
        <v>9530999.8776413612</v>
      </c>
      <c r="R7" s="20">
        <f t="shared" si="3"/>
        <v>22740135.962315023</v>
      </c>
      <c r="S7" s="23">
        <f t="shared" ca="1" si="1"/>
        <v>6.8937199171579283E-2</v>
      </c>
    </row>
    <row r="8" spans="1:19" x14ac:dyDescent="0.3">
      <c r="A8" s="22">
        <f>'Monthly Data'!A8</f>
        <v>39995</v>
      </c>
      <c r="B8" s="6">
        <f t="shared" si="2"/>
        <v>2009</v>
      </c>
      <c r="C8" s="20">
        <f ca="1">'Monthly Data'!F8</f>
        <v>25787416.81760994</v>
      </c>
      <c r="D8" s="6">
        <f>'Monthly Data'!AG8</f>
        <v>0.5</v>
      </c>
      <c r="E8" s="6">
        <f>'Monthly Data'!AH8</f>
        <v>100.19999999999999</v>
      </c>
      <c r="F8" s="6">
        <f>'Monthly Data'!AL8</f>
        <v>31</v>
      </c>
      <c r="G8" s="6">
        <f>'Monthly Data'!BC8</f>
        <v>0</v>
      </c>
      <c r="H8" s="6">
        <f>'Monthly Data'!AN8</f>
        <v>7</v>
      </c>
      <c r="I8" s="6">
        <f>'Monthly Data'!AJ8</f>
        <v>144.30000000000001</v>
      </c>
      <c r="K8" s="20">
        <f>'Res OLS model'!$B$5</f>
        <v>-17086566.711675301</v>
      </c>
      <c r="L8" s="20">
        <f>'Res OLS model'!$B$6*D8</f>
        <v>3233.6756565393548</v>
      </c>
      <c r="M8" s="20">
        <f>'Res OLS model'!$B$7*E8</f>
        <v>6827789.8079283163</v>
      </c>
      <c r="N8" s="20">
        <f>'Res OLS model'!$B$8*F8</f>
        <v>25673300.62967775</v>
      </c>
      <c r="O8" s="20">
        <f>'Res OLS model'!$B$9*G8</f>
        <v>0</v>
      </c>
      <c r="P8" s="20">
        <f>'Res OLS model'!$B$10*H8</f>
        <v>-144077.5613112885</v>
      </c>
      <c r="Q8" s="20">
        <f>'Res OLS model'!$B$11*I8</f>
        <v>9439418.5473139919</v>
      </c>
      <c r="R8" s="20">
        <f t="shared" si="3"/>
        <v>24713098.387590006</v>
      </c>
      <c r="S8" s="23">
        <f t="shared" ca="1" si="1"/>
        <v>4.1660567928087068E-2</v>
      </c>
    </row>
    <row r="9" spans="1:19" x14ac:dyDescent="0.3">
      <c r="A9" s="22">
        <f>'Monthly Data'!A9</f>
        <v>40026</v>
      </c>
      <c r="B9" s="6">
        <f t="shared" si="2"/>
        <v>2009</v>
      </c>
      <c r="C9" s="20">
        <f ca="1">'Monthly Data'!F9</f>
        <v>27496374.034570016</v>
      </c>
      <c r="D9" s="6">
        <f>'Monthly Data'!AG9</f>
        <v>5.9</v>
      </c>
      <c r="E9" s="6">
        <f>'Monthly Data'!AH9</f>
        <v>133.4</v>
      </c>
      <c r="F9" s="6">
        <f>'Monthly Data'!AL9</f>
        <v>31</v>
      </c>
      <c r="G9" s="6">
        <f>'Monthly Data'!BC9</f>
        <v>0</v>
      </c>
      <c r="H9" s="6">
        <f>'Monthly Data'!AN9</f>
        <v>8</v>
      </c>
      <c r="I9" s="6">
        <f>'Monthly Data'!AJ9</f>
        <v>145.1</v>
      </c>
      <c r="K9" s="20">
        <f>'Res OLS model'!$B$5</f>
        <v>-17086566.711675301</v>
      </c>
      <c r="L9" s="20">
        <f>'Res OLS model'!$B$6*D9</f>
        <v>38157.372747164387</v>
      </c>
      <c r="M9" s="20">
        <f>'Res OLS model'!$B$7*E9</f>
        <v>9090091.4209345058</v>
      </c>
      <c r="N9" s="20">
        <f>'Res OLS model'!$B$8*F9</f>
        <v>25673300.62967775</v>
      </c>
      <c r="O9" s="20">
        <f>'Res OLS model'!$B$9*G9</f>
        <v>0</v>
      </c>
      <c r="P9" s="20">
        <f>'Res OLS model'!$B$10*H9</f>
        <v>-164660.07007004399</v>
      </c>
      <c r="Q9" s="20">
        <f>'Res OLS model'!$B$11*I9</f>
        <v>9491750.7360724881</v>
      </c>
      <c r="R9" s="20">
        <f t="shared" si="3"/>
        <v>27042073.377686564</v>
      </c>
      <c r="S9" s="23">
        <f t="shared" ca="1" si="1"/>
        <v>1.6522202393387551E-2</v>
      </c>
    </row>
    <row r="10" spans="1:19" x14ac:dyDescent="0.3">
      <c r="A10" s="22">
        <f>'Monthly Data'!A10</f>
        <v>40057</v>
      </c>
      <c r="B10" s="6">
        <f t="shared" si="2"/>
        <v>2009</v>
      </c>
      <c r="C10" s="20">
        <f ca="1">'Monthly Data'!F10</f>
        <v>20755352.022298176</v>
      </c>
      <c r="D10" s="6">
        <f>'Monthly Data'!AG10</f>
        <v>26.2</v>
      </c>
      <c r="E10" s="6">
        <f>'Monthly Data'!AH10</f>
        <v>54.699999999999989</v>
      </c>
      <c r="F10" s="6">
        <f>'Monthly Data'!AL10</f>
        <v>30</v>
      </c>
      <c r="G10" s="6">
        <f>'Monthly Data'!BC10</f>
        <v>0</v>
      </c>
      <c r="H10" s="6">
        <f>'Monthly Data'!AN10</f>
        <v>9</v>
      </c>
      <c r="I10" s="6">
        <f>'Monthly Data'!AJ10</f>
        <v>146.80000000000001</v>
      </c>
      <c r="K10" s="20">
        <f>'Res OLS model'!$B$5</f>
        <v>-17086566.711675301</v>
      </c>
      <c r="L10" s="20">
        <f>'Res OLS model'!$B$6*D10</f>
        <v>169444.6044026622</v>
      </c>
      <c r="M10" s="20">
        <f>'Res OLS model'!$B$7*E10</f>
        <v>3727346.3322722442</v>
      </c>
      <c r="N10" s="20">
        <f>'Res OLS model'!$B$8*F10</f>
        <v>24845129.641623631</v>
      </c>
      <c r="O10" s="20">
        <f>'Res OLS model'!$B$9*G10</f>
        <v>0</v>
      </c>
      <c r="P10" s="20">
        <f>'Res OLS model'!$B$10*H10</f>
        <v>-185242.57882879948</v>
      </c>
      <c r="Q10" s="20">
        <f>'Res OLS model'!$B$11*I10</f>
        <v>9602956.6371842958</v>
      </c>
      <c r="R10" s="20">
        <f t="shared" si="3"/>
        <v>21073067.924978733</v>
      </c>
      <c r="S10" s="23">
        <f t="shared" ca="1" si="1"/>
        <v>1.5307661481203706E-2</v>
      </c>
    </row>
    <row r="11" spans="1:19" x14ac:dyDescent="0.3">
      <c r="A11" s="22">
        <f>'Monthly Data'!A11</f>
        <v>40087</v>
      </c>
      <c r="B11" s="6">
        <f t="shared" si="2"/>
        <v>2009</v>
      </c>
      <c r="C11" s="20">
        <f ca="1">'Monthly Data'!F11</f>
        <v>18082092.987588529</v>
      </c>
      <c r="D11" s="6">
        <f>'Monthly Data'!AG11</f>
        <v>230.79999999999995</v>
      </c>
      <c r="E11" s="6">
        <f>'Monthly Data'!AH11</f>
        <v>0</v>
      </c>
      <c r="F11" s="6">
        <f>'Monthly Data'!AL11</f>
        <v>31</v>
      </c>
      <c r="G11" s="6">
        <f>'Monthly Data'!BC11</f>
        <v>1</v>
      </c>
      <c r="H11" s="6">
        <f>'Monthly Data'!AN11</f>
        <v>10</v>
      </c>
      <c r="I11" s="6">
        <f>'Monthly Data'!AJ11</f>
        <v>149.19999999999999</v>
      </c>
      <c r="K11" s="20">
        <f>'Res OLS model'!$B$5</f>
        <v>-17086566.711675301</v>
      </c>
      <c r="L11" s="20">
        <f>'Res OLS model'!$B$6*D11</f>
        <v>1492664.6830585659</v>
      </c>
      <c r="M11" s="20">
        <f>'Res OLS model'!$B$7*E11</f>
        <v>0</v>
      </c>
      <c r="N11" s="20">
        <f>'Res OLS model'!$B$8*F11</f>
        <v>25673300.62967775</v>
      </c>
      <c r="O11" s="20">
        <f>'Res OLS model'!$B$9*G11</f>
        <v>-1891036.2259753</v>
      </c>
      <c r="P11" s="20">
        <f>'Res OLS model'!$B$10*H11</f>
        <v>-205825.087587555</v>
      </c>
      <c r="Q11" s="20">
        <f>'Res OLS model'!$B$11*I11</f>
        <v>9759953.2034597863</v>
      </c>
      <c r="R11" s="20">
        <f t="shared" si="3"/>
        <v>17742490.490957946</v>
      </c>
      <c r="S11" s="23">
        <f t="shared" ca="1" si="1"/>
        <v>1.878114977418182E-2</v>
      </c>
    </row>
    <row r="12" spans="1:19" x14ac:dyDescent="0.3">
      <c r="A12" s="22">
        <f>'Monthly Data'!A12</f>
        <v>40118</v>
      </c>
      <c r="B12" s="6">
        <f t="shared" si="2"/>
        <v>2009</v>
      </c>
      <c r="C12" s="20">
        <f ca="1">'Monthly Data'!F12</f>
        <v>18074593.893965401</v>
      </c>
      <c r="D12" s="6">
        <f>'Monthly Data'!AG12</f>
        <v>305.49999999999989</v>
      </c>
      <c r="E12" s="6">
        <f>'Monthly Data'!AH12</f>
        <v>0</v>
      </c>
      <c r="F12" s="6">
        <f>'Monthly Data'!AL12</f>
        <v>30</v>
      </c>
      <c r="G12" s="6">
        <f>'Monthly Data'!BC12</f>
        <v>1</v>
      </c>
      <c r="H12" s="6">
        <f>'Monthly Data'!AN12</f>
        <v>11</v>
      </c>
      <c r="I12" s="6">
        <f>'Monthly Data'!AJ12</f>
        <v>150.1</v>
      </c>
      <c r="K12" s="20">
        <f>'Res OLS model'!$B$5</f>
        <v>-17086566.711675301</v>
      </c>
      <c r="L12" s="20">
        <f>'Res OLS model'!$B$6*D12</f>
        <v>1975775.8261455451</v>
      </c>
      <c r="M12" s="20">
        <f>'Res OLS model'!$B$7*E12</f>
        <v>0</v>
      </c>
      <c r="N12" s="20">
        <f>'Res OLS model'!$B$8*F12</f>
        <v>24845129.641623631</v>
      </c>
      <c r="O12" s="20">
        <f>'Res OLS model'!$B$9*G12</f>
        <v>-1891036.2259753</v>
      </c>
      <c r="P12" s="20">
        <f>'Res OLS model'!$B$10*H12</f>
        <v>-226407.59634631049</v>
      </c>
      <c r="Q12" s="20">
        <f>'Res OLS model'!$B$11*I12</f>
        <v>9818826.9158130977</v>
      </c>
      <c r="R12" s="20">
        <f t="shared" si="3"/>
        <v>17435721.849585362</v>
      </c>
      <c r="S12" s="23">
        <f t="shared" ca="1" si="1"/>
        <v>3.5346412103529498E-2</v>
      </c>
    </row>
    <row r="13" spans="1:19" x14ac:dyDescent="0.3">
      <c r="A13" s="22">
        <f>'Monthly Data'!A13</f>
        <v>40148</v>
      </c>
      <c r="B13" s="6">
        <f t="shared" si="2"/>
        <v>2009</v>
      </c>
      <c r="C13" s="20">
        <f ca="1">'Monthly Data'!F13</f>
        <v>22219304.425605915</v>
      </c>
      <c r="D13" s="6">
        <f>'Monthly Data'!AG13</f>
        <v>582</v>
      </c>
      <c r="E13" s="6">
        <f>'Monthly Data'!AH13</f>
        <v>0</v>
      </c>
      <c r="F13" s="6">
        <f>'Monthly Data'!AL13</f>
        <v>31</v>
      </c>
      <c r="G13" s="6">
        <f>'Monthly Data'!BC13</f>
        <v>0</v>
      </c>
      <c r="H13" s="6">
        <f>'Monthly Data'!AN13</f>
        <v>12</v>
      </c>
      <c r="I13" s="6">
        <f>'Monthly Data'!AJ13</f>
        <v>150.19999999999999</v>
      </c>
      <c r="K13" s="20">
        <f>'Res OLS model'!$B$5</f>
        <v>-17086566.711675301</v>
      </c>
      <c r="L13" s="20">
        <f>'Res OLS model'!$B$6*D13</f>
        <v>3763998.464211809</v>
      </c>
      <c r="M13" s="20">
        <f>'Res OLS model'!$B$7*E13</f>
        <v>0</v>
      </c>
      <c r="N13" s="20">
        <f>'Res OLS model'!$B$8*F13</f>
        <v>25673300.62967775</v>
      </c>
      <c r="O13" s="20">
        <f>'Res OLS model'!$B$9*G13</f>
        <v>0</v>
      </c>
      <c r="P13" s="20">
        <f>'Res OLS model'!$B$10*H13</f>
        <v>-246990.10510506597</v>
      </c>
      <c r="Q13" s="20">
        <f>'Res OLS model'!$B$11*I13</f>
        <v>9825368.4394079093</v>
      </c>
      <c r="R13" s="20">
        <f t="shared" si="3"/>
        <v>21929110.716517098</v>
      </c>
      <c r="S13" s="23">
        <f t="shared" ca="1" si="1"/>
        <v>1.3060431754757944E-2</v>
      </c>
    </row>
    <row r="14" spans="1:19" x14ac:dyDescent="0.3">
      <c r="A14" s="22">
        <f>'Monthly Data'!A14</f>
        <v>40179</v>
      </c>
      <c r="B14" s="6">
        <f t="shared" si="2"/>
        <v>2010</v>
      </c>
      <c r="C14" s="20">
        <f ca="1">'Monthly Data'!F14</f>
        <v>22358460.250977054</v>
      </c>
      <c r="D14" s="6">
        <f>'Monthly Data'!AG14</f>
        <v>663.29999999999984</v>
      </c>
      <c r="E14" s="6">
        <f>'Monthly Data'!AH14</f>
        <v>0</v>
      </c>
      <c r="F14" s="6">
        <f>'Monthly Data'!AL14</f>
        <v>31</v>
      </c>
      <c r="G14" s="6">
        <f>'Monthly Data'!BC14</f>
        <v>0</v>
      </c>
      <c r="H14" s="6">
        <f>'Monthly Data'!AN14</f>
        <v>13</v>
      </c>
      <c r="I14" s="6">
        <f>'Monthly Data'!AJ14</f>
        <v>146.80000000000001</v>
      </c>
      <c r="K14" s="20">
        <f>'Res OLS model'!$B$5</f>
        <v>-17086566.711675301</v>
      </c>
      <c r="L14" s="20">
        <f>'Res OLS model'!$B$6*D14</f>
        <v>4289794.1259651072</v>
      </c>
      <c r="M14" s="20">
        <f>'Res OLS model'!$B$7*E14</f>
        <v>0</v>
      </c>
      <c r="N14" s="20">
        <f>'Res OLS model'!$B$8*F14</f>
        <v>25673300.62967775</v>
      </c>
      <c r="O14" s="20">
        <f>'Res OLS model'!$B$9*G14</f>
        <v>0</v>
      </c>
      <c r="P14" s="20">
        <f>'Res OLS model'!$B$10*H14</f>
        <v>-267572.61386382149</v>
      </c>
      <c r="Q14" s="20">
        <f>'Res OLS model'!$B$11*I14</f>
        <v>9602956.6371842958</v>
      </c>
      <c r="R14" s="20">
        <f t="shared" si="3"/>
        <v>22211912.06728803</v>
      </c>
      <c r="S14" s="23">
        <f t="shared" ca="1" si="1"/>
        <v>6.5544846131620448E-3</v>
      </c>
    </row>
    <row r="15" spans="1:19" x14ac:dyDescent="0.3">
      <c r="A15" s="22">
        <f>'Monthly Data'!A15</f>
        <v>40210</v>
      </c>
      <c r="B15" s="6">
        <f t="shared" si="2"/>
        <v>2010</v>
      </c>
      <c r="C15" s="20">
        <f ca="1">'Monthly Data'!F15</f>
        <v>18735998.915144272</v>
      </c>
      <c r="D15" s="6">
        <f>'Monthly Data'!AG15</f>
        <v>557.29999999999995</v>
      </c>
      <c r="E15" s="6">
        <f>'Monthly Data'!AH15</f>
        <v>0</v>
      </c>
      <c r="F15" s="6">
        <f>'Monthly Data'!AL15</f>
        <v>28</v>
      </c>
      <c r="G15" s="6">
        <f>'Monthly Data'!BC15</f>
        <v>0</v>
      </c>
      <c r="H15" s="6">
        <f>'Monthly Data'!AN15</f>
        <v>14</v>
      </c>
      <c r="I15" s="6">
        <f>'Monthly Data'!AJ15</f>
        <v>145.5</v>
      </c>
      <c r="K15" s="20">
        <f>'Res OLS model'!$B$5</f>
        <v>-17086566.711675301</v>
      </c>
      <c r="L15" s="20">
        <f>'Res OLS model'!$B$6*D15</f>
        <v>3604254.8867787644</v>
      </c>
      <c r="M15" s="20">
        <f>'Res OLS model'!$B$7*E15</f>
        <v>0</v>
      </c>
      <c r="N15" s="20">
        <f>'Res OLS model'!$B$8*F15</f>
        <v>23188787.665515389</v>
      </c>
      <c r="O15" s="20">
        <f>'Res OLS model'!$B$9*G15</f>
        <v>0</v>
      </c>
      <c r="P15" s="20">
        <f>'Res OLS model'!$B$10*H15</f>
        <v>-288155.12262257701</v>
      </c>
      <c r="Q15" s="20">
        <f>'Res OLS model'!$B$11*I15</f>
        <v>9517916.8304517362</v>
      </c>
      <c r="R15" s="20">
        <f t="shared" si="3"/>
        <v>18936237.548448011</v>
      </c>
      <c r="S15" s="23">
        <f t="shared" ca="1" si="1"/>
        <v>1.0687374300704438E-2</v>
      </c>
    </row>
    <row r="16" spans="1:19" x14ac:dyDescent="0.3">
      <c r="A16" s="22">
        <f>'Monthly Data'!A16</f>
        <v>40238</v>
      </c>
      <c r="B16" s="6">
        <f t="shared" si="2"/>
        <v>2010</v>
      </c>
      <c r="C16" s="20">
        <f ca="1">'Monthly Data'!F16</f>
        <v>18338914.486644384</v>
      </c>
      <c r="D16" s="6">
        <f>'Monthly Data'!AG16</f>
        <v>393.39999999999986</v>
      </c>
      <c r="E16" s="6">
        <f>'Monthly Data'!AH16</f>
        <v>0</v>
      </c>
      <c r="F16" s="6">
        <f>'Monthly Data'!AL16</f>
        <v>31</v>
      </c>
      <c r="G16" s="6">
        <f>'Monthly Data'!BC16</f>
        <v>1</v>
      </c>
      <c r="H16" s="6">
        <f>'Monthly Data'!AN16</f>
        <v>15</v>
      </c>
      <c r="I16" s="6">
        <f>'Monthly Data'!AJ16</f>
        <v>143.30000000000001</v>
      </c>
      <c r="K16" s="20">
        <f>'Res OLS model'!$B$5</f>
        <v>-17086566.711675301</v>
      </c>
      <c r="L16" s="20">
        <f>'Res OLS model'!$B$6*D16</f>
        <v>2544256.0065651634</v>
      </c>
      <c r="M16" s="20">
        <f>'Res OLS model'!$B$7*E16</f>
        <v>0</v>
      </c>
      <c r="N16" s="20">
        <f>'Res OLS model'!$B$8*F16</f>
        <v>25673300.62967775</v>
      </c>
      <c r="O16" s="20">
        <f>'Res OLS model'!$B$9*G16</f>
        <v>-1891036.2259753</v>
      </c>
      <c r="P16" s="20">
        <f>'Res OLS model'!$B$10*H16</f>
        <v>-308737.63138133247</v>
      </c>
      <c r="Q16" s="20">
        <f>'Res OLS model'!$B$11*I16</f>
        <v>9374003.3113658689</v>
      </c>
      <c r="R16" s="20">
        <f t="shared" si="3"/>
        <v>18305219.378576849</v>
      </c>
      <c r="S16" s="23">
        <f t="shared" ca="1" si="1"/>
        <v>1.8373556456721515E-3</v>
      </c>
    </row>
    <row r="17" spans="1:19" x14ac:dyDescent="0.3">
      <c r="A17" s="22">
        <f>'Monthly Data'!A17</f>
        <v>40269</v>
      </c>
      <c r="B17" s="6">
        <f t="shared" si="2"/>
        <v>2010</v>
      </c>
      <c r="C17" s="20">
        <f ca="1">'Monthly Data'!F17</f>
        <v>16457791.552007467</v>
      </c>
      <c r="D17" s="6">
        <f>'Monthly Data'!AG17</f>
        <v>174.9</v>
      </c>
      <c r="E17" s="6">
        <f>'Monthly Data'!AH17</f>
        <v>5</v>
      </c>
      <c r="F17" s="6">
        <f>'Monthly Data'!AL17</f>
        <v>30</v>
      </c>
      <c r="G17" s="6">
        <f>'Monthly Data'!BC17</f>
        <v>1</v>
      </c>
      <c r="H17" s="6">
        <f>'Monthly Data'!AN17</f>
        <v>16</v>
      </c>
      <c r="I17" s="6">
        <f>'Monthly Data'!AJ17</f>
        <v>146.6</v>
      </c>
      <c r="K17" s="20">
        <f>'Res OLS model'!$B$5</f>
        <v>-17086566.711675301</v>
      </c>
      <c r="L17" s="20">
        <f>'Res OLS model'!$B$6*D17</f>
        <v>1131139.7446574664</v>
      </c>
      <c r="M17" s="20">
        <f>'Res OLS model'!$B$7*E17</f>
        <v>340708.07424792001</v>
      </c>
      <c r="N17" s="20">
        <f>'Res OLS model'!$B$8*F17</f>
        <v>24845129.641623631</v>
      </c>
      <c r="O17" s="20">
        <f>'Res OLS model'!$B$9*G17</f>
        <v>-1891036.2259753</v>
      </c>
      <c r="P17" s="20">
        <f>'Res OLS model'!$B$10*H17</f>
        <v>-329320.14014008798</v>
      </c>
      <c r="Q17" s="20">
        <f>'Res OLS model'!$B$11*I17</f>
        <v>9589873.5899946708</v>
      </c>
      <c r="R17" s="20">
        <f t="shared" si="3"/>
        <v>16599927.972732998</v>
      </c>
      <c r="S17" s="23">
        <f t="shared" ca="1" si="1"/>
        <v>8.636421252290959E-3</v>
      </c>
    </row>
    <row r="18" spans="1:19" x14ac:dyDescent="0.3">
      <c r="A18" s="22">
        <f>'Monthly Data'!A18</f>
        <v>40299</v>
      </c>
      <c r="B18" s="6">
        <f t="shared" si="2"/>
        <v>2010</v>
      </c>
      <c r="C18" s="20">
        <f ca="1">'Monthly Data'!F18</f>
        <v>19877888.578557905</v>
      </c>
      <c r="D18" s="6">
        <f>'Monthly Data'!AG18</f>
        <v>84.300000000000011</v>
      </c>
      <c r="E18" s="6">
        <f>'Monthly Data'!AH18</f>
        <v>59.699999999999989</v>
      </c>
      <c r="F18" s="6">
        <f>'Monthly Data'!AL18</f>
        <v>31</v>
      </c>
      <c r="G18" s="6">
        <f>'Monthly Data'!BC18</f>
        <v>1</v>
      </c>
      <c r="H18" s="6">
        <f>'Monthly Data'!AN18</f>
        <v>17</v>
      </c>
      <c r="I18" s="6">
        <f>'Monthly Data'!AJ18</f>
        <v>147.80000000000001</v>
      </c>
      <c r="K18" s="20">
        <f>'Res OLS model'!$B$5</f>
        <v>-17086566.711675301</v>
      </c>
      <c r="L18" s="20">
        <f>'Res OLS model'!$B$6*D18</f>
        <v>545197.71569253528</v>
      </c>
      <c r="M18" s="20">
        <f>'Res OLS model'!$B$7*E18</f>
        <v>4068054.4065201641</v>
      </c>
      <c r="N18" s="20">
        <f>'Res OLS model'!$B$8*F18</f>
        <v>25673300.62967775</v>
      </c>
      <c r="O18" s="20">
        <f>'Res OLS model'!$B$9*G18</f>
        <v>-1891036.2259753</v>
      </c>
      <c r="P18" s="20">
        <f>'Res OLS model'!$B$10*H18</f>
        <v>-349902.6488988435</v>
      </c>
      <c r="Q18" s="20">
        <f>'Res OLS model'!$B$11*I18</f>
        <v>9668371.8731324188</v>
      </c>
      <c r="R18" s="20">
        <f t="shared" si="3"/>
        <v>20627419.038473424</v>
      </c>
      <c r="S18" s="23">
        <f t="shared" ca="1" si="1"/>
        <v>3.7706744202401374E-2</v>
      </c>
    </row>
    <row r="19" spans="1:19" x14ac:dyDescent="0.3">
      <c r="A19" s="22">
        <f>'Monthly Data'!A19</f>
        <v>40330</v>
      </c>
      <c r="B19" s="6">
        <f t="shared" si="2"/>
        <v>2010</v>
      </c>
      <c r="C19" s="20">
        <f ca="1">'Monthly Data'!F19</f>
        <v>27745184.765543249</v>
      </c>
      <c r="D19" s="6">
        <f>'Monthly Data'!AG19</f>
        <v>3.9000000000000004</v>
      </c>
      <c r="E19" s="6">
        <f>'Monthly Data'!AH19</f>
        <v>135.89999999999998</v>
      </c>
      <c r="F19" s="6">
        <f>'Monthly Data'!AL19</f>
        <v>30</v>
      </c>
      <c r="G19" s="6">
        <f>'Monthly Data'!BC19</f>
        <v>0</v>
      </c>
      <c r="H19" s="6">
        <f>'Monthly Data'!AN19</f>
        <v>18</v>
      </c>
      <c r="I19" s="6">
        <f>'Monthly Data'!AJ19</f>
        <v>149.9</v>
      </c>
      <c r="K19" s="20">
        <f>'Res OLS model'!$B$5</f>
        <v>-17086566.711675301</v>
      </c>
      <c r="L19" s="20">
        <f>'Res OLS model'!$B$6*D19</f>
        <v>25222.67012100697</v>
      </c>
      <c r="M19" s="20">
        <f>'Res OLS model'!$B$7*E19</f>
        <v>9260445.4580584653</v>
      </c>
      <c r="N19" s="20">
        <f>'Res OLS model'!$B$8*F19</f>
        <v>24845129.641623631</v>
      </c>
      <c r="O19" s="20">
        <f>'Res OLS model'!$B$9*G19</f>
        <v>0</v>
      </c>
      <c r="P19" s="20">
        <f>'Res OLS model'!$B$10*H19</f>
        <v>-370485.15765759896</v>
      </c>
      <c r="Q19" s="20">
        <f>'Res OLS model'!$B$11*I19</f>
        <v>9805743.8686234728</v>
      </c>
      <c r="R19" s="20">
        <f t="shared" si="3"/>
        <v>26479489.769093677</v>
      </c>
      <c r="S19" s="23">
        <f t="shared" ca="1" si="1"/>
        <v>4.5618546322367191E-2</v>
      </c>
    </row>
    <row r="20" spans="1:19" x14ac:dyDescent="0.3">
      <c r="A20" s="22">
        <f>'Monthly Data'!A20</f>
        <v>40360</v>
      </c>
      <c r="B20" s="6">
        <f t="shared" si="2"/>
        <v>2010</v>
      </c>
      <c r="C20" s="20">
        <f ca="1">'Monthly Data'!F20</f>
        <v>34151513.368632481</v>
      </c>
      <c r="D20" s="6">
        <f>'Monthly Data'!AG20</f>
        <v>0</v>
      </c>
      <c r="E20" s="6">
        <f>'Monthly Data'!AH20</f>
        <v>227.00000000000006</v>
      </c>
      <c r="F20" s="6">
        <f>'Monthly Data'!AL20</f>
        <v>31</v>
      </c>
      <c r="G20" s="6">
        <f>'Monthly Data'!BC20</f>
        <v>0</v>
      </c>
      <c r="H20" s="6">
        <f>'Monthly Data'!AN20</f>
        <v>19</v>
      </c>
      <c r="I20" s="6">
        <f>'Monthly Data'!AJ20</f>
        <v>148.30000000000001</v>
      </c>
      <c r="K20" s="20">
        <f>'Res OLS model'!$B$5</f>
        <v>-17086566.711675301</v>
      </c>
      <c r="L20" s="20">
        <f>'Res OLS model'!$B$6*D20</f>
        <v>0</v>
      </c>
      <c r="M20" s="20">
        <f>'Res OLS model'!$B$7*E20</f>
        <v>15468146.570855573</v>
      </c>
      <c r="N20" s="20">
        <f>'Res OLS model'!$B$8*F20</f>
        <v>25673300.62967775</v>
      </c>
      <c r="O20" s="20">
        <f>'Res OLS model'!$B$9*G20</f>
        <v>0</v>
      </c>
      <c r="P20" s="20">
        <f>'Res OLS model'!$B$10*H20</f>
        <v>-391067.66641635448</v>
      </c>
      <c r="Q20" s="20">
        <f>'Res OLS model'!$B$11*I20</f>
        <v>9701079.4911064785</v>
      </c>
      <c r="R20" s="20">
        <f t="shared" si="3"/>
        <v>33364892.313548148</v>
      </c>
      <c r="S20" s="23">
        <f t="shared" ca="1" si="1"/>
        <v>2.303327078345024E-2</v>
      </c>
    </row>
    <row r="21" spans="1:19" x14ac:dyDescent="0.3">
      <c r="A21" s="22">
        <f>'Monthly Data'!A21</f>
        <v>40391</v>
      </c>
      <c r="B21" s="6">
        <f t="shared" si="2"/>
        <v>2010</v>
      </c>
      <c r="C21" s="20">
        <f ca="1">'Monthly Data'!F21</f>
        <v>31520743.190588608</v>
      </c>
      <c r="D21" s="6">
        <f>'Monthly Data'!AG21</f>
        <v>0</v>
      </c>
      <c r="E21" s="6">
        <f>'Monthly Data'!AH21</f>
        <v>211.80000000000004</v>
      </c>
      <c r="F21" s="6">
        <f>'Monthly Data'!AL21</f>
        <v>31</v>
      </c>
      <c r="G21" s="6">
        <f>'Monthly Data'!BC21</f>
        <v>0</v>
      </c>
      <c r="H21" s="6">
        <f>'Monthly Data'!AN21</f>
        <v>20</v>
      </c>
      <c r="I21" s="6">
        <f>'Monthly Data'!AJ21</f>
        <v>148.4</v>
      </c>
      <c r="K21" s="20">
        <f>'Res OLS model'!$B$5</f>
        <v>-17086566.711675301</v>
      </c>
      <c r="L21" s="20">
        <f>'Res OLS model'!$B$6*D21</f>
        <v>0</v>
      </c>
      <c r="M21" s="20">
        <f>'Res OLS model'!$B$7*E21</f>
        <v>14432394.025141895</v>
      </c>
      <c r="N21" s="20">
        <f>'Res OLS model'!$B$8*F21</f>
        <v>25673300.62967775</v>
      </c>
      <c r="O21" s="20">
        <f>'Res OLS model'!$B$9*G21</f>
        <v>0</v>
      </c>
      <c r="P21" s="20">
        <f>'Res OLS model'!$B$10*H21</f>
        <v>-411650.17517510999</v>
      </c>
      <c r="Q21" s="20">
        <f>'Res OLS model'!$B$11*I21</f>
        <v>9707621.0147012901</v>
      </c>
      <c r="R21" s="20">
        <f t="shared" si="3"/>
        <v>32315098.78267052</v>
      </c>
      <c r="S21" s="23">
        <f t="shared" ca="1" si="1"/>
        <v>2.5201042604829468E-2</v>
      </c>
    </row>
    <row r="22" spans="1:19" x14ac:dyDescent="0.3">
      <c r="A22" s="22">
        <f>'Monthly Data'!A22</f>
        <v>40422</v>
      </c>
      <c r="B22" s="6">
        <f t="shared" si="2"/>
        <v>2010</v>
      </c>
      <c r="C22" s="20">
        <f ca="1">'Monthly Data'!F22</f>
        <v>21071409.668348346</v>
      </c>
      <c r="D22" s="6">
        <f>'Monthly Data'!AG22</f>
        <v>38</v>
      </c>
      <c r="E22" s="6">
        <f>'Monthly Data'!AH22</f>
        <v>59.699999999999989</v>
      </c>
      <c r="F22" s="6">
        <f>'Monthly Data'!AL22</f>
        <v>30</v>
      </c>
      <c r="G22" s="6">
        <f>'Monthly Data'!BC22</f>
        <v>0</v>
      </c>
      <c r="H22" s="6">
        <f>'Monthly Data'!AN22</f>
        <v>21</v>
      </c>
      <c r="I22" s="6">
        <f>'Monthly Data'!AJ22</f>
        <v>148.69999999999999</v>
      </c>
      <c r="K22" s="20">
        <f>'Res OLS model'!$B$5</f>
        <v>-17086566.711675301</v>
      </c>
      <c r="L22" s="20">
        <f>'Res OLS model'!$B$6*D22</f>
        <v>245759.34989699096</v>
      </c>
      <c r="M22" s="20">
        <f>'Res OLS model'!$B$7*E22</f>
        <v>4068054.4065201641</v>
      </c>
      <c r="N22" s="20">
        <f>'Res OLS model'!$B$8*F22</f>
        <v>24845129.641623631</v>
      </c>
      <c r="O22" s="20">
        <f>'Res OLS model'!$B$9*G22</f>
        <v>0</v>
      </c>
      <c r="P22" s="20">
        <f>'Res OLS model'!$B$10*H22</f>
        <v>-432232.68393386545</v>
      </c>
      <c r="Q22" s="20">
        <f>'Res OLS model'!$B$11*I22</f>
        <v>9727245.5854857266</v>
      </c>
      <c r="R22" s="20">
        <f t="shared" si="3"/>
        <v>21367389.587917343</v>
      </c>
      <c r="S22" s="23">
        <f t="shared" ca="1" si="1"/>
        <v>1.404651725857679E-2</v>
      </c>
    </row>
    <row r="23" spans="1:19" x14ac:dyDescent="0.3">
      <c r="A23" s="22">
        <f>'Monthly Data'!A23</f>
        <v>40452</v>
      </c>
      <c r="B23" s="6">
        <f t="shared" si="2"/>
        <v>2010</v>
      </c>
      <c r="C23" s="20">
        <f ca="1">'Monthly Data'!F23</f>
        <v>17208459.015448716</v>
      </c>
      <c r="D23" s="6">
        <f>'Monthly Data'!AG23</f>
        <v>157.6</v>
      </c>
      <c r="E23" s="6">
        <f>'Monthly Data'!AH23</f>
        <v>1.4000000000000001</v>
      </c>
      <c r="F23" s="6">
        <f>'Monthly Data'!AL23</f>
        <v>31</v>
      </c>
      <c r="G23" s="6">
        <f>'Monthly Data'!BC23</f>
        <v>1</v>
      </c>
      <c r="H23" s="6">
        <f>'Monthly Data'!AN23</f>
        <v>22</v>
      </c>
      <c r="I23" s="6">
        <f>'Monthly Data'!AJ23</f>
        <v>149.6</v>
      </c>
      <c r="K23" s="20">
        <f>'Res OLS model'!$B$5</f>
        <v>-17086566.711675301</v>
      </c>
      <c r="L23" s="20">
        <f>'Res OLS model'!$B$6*D23</f>
        <v>1019254.5669412046</v>
      </c>
      <c r="M23" s="20">
        <f>'Res OLS model'!$B$7*E23</f>
        <v>95398.260789417618</v>
      </c>
      <c r="N23" s="20">
        <f>'Res OLS model'!$B$8*F23</f>
        <v>25673300.62967775</v>
      </c>
      <c r="O23" s="20">
        <f>'Res OLS model'!$B$9*G23</f>
        <v>-1891036.2259753</v>
      </c>
      <c r="P23" s="20">
        <f>'Res OLS model'!$B$10*H23</f>
        <v>-452815.19269262097</v>
      </c>
      <c r="Q23" s="20">
        <f>'Res OLS model'!$B$11*I23</f>
        <v>9786119.2978390362</v>
      </c>
      <c r="R23" s="20">
        <f t="shared" si="3"/>
        <v>17143654.624904186</v>
      </c>
      <c r="S23" s="23">
        <f t="shared" ca="1" si="1"/>
        <v>3.7658450699363921E-3</v>
      </c>
    </row>
    <row r="24" spans="1:19" x14ac:dyDescent="0.3">
      <c r="A24" s="22">
        <f>'Monthly Data'!A24</f>
        <v>40483</v>
      </c>
      <c r="B24" s="6">
        <f t="shared" si="2"/>
        <v>2010</v>
      </c>
      <c r="C24" s="20">
        <f ca="1">'Monthly Data'!F24</f>
        <v>17984730.026108824</v>
      </c>
      <c r="D24" s="6">
        <f>'Monthly Data'!AG24</f>
        <v>376.59999999999991</v>
      </c>
      <c r="E24" s="6">
        <f>'Monthly Data'!AH24</f>
        <v>0</v>
      </c>
      <c r="F24" s="6">
        <f>'Monthly Data'!AL24</f>
        <v>30</v>
      </c>
      <c r="G24" s="6">
        <f>'Monthly Data'!BC24</f>
        <v>1</v>
      </c>
      <c r="H24" s="6">
        <f>'Monthly Data'!AN24</f>
        <v>23</v>
      </c>
      <c r="I24" s="6">
        <f>'Monthly Data'!AJ24</f>
        <v>148.9</v>
      </c>
      <c r="K24" s="20">
        <f>'Res OLS model'!$B$5</f>
        <v>-17086566.711675301</v>
      </c>
      <c r="L24" s="20">
        <f>'Res OLS model'!$B$6*D24</f>
        <v>2435604.5045054415</v>
      </c>
      <c r="M24" s="20">
        <f>'Res OLS model'!$B$7*E24</f>
        <v>0</v>
      </c>
      <c r="N24" s="20">
        <f>'Res OLS model'!$B$8*F24</f>
        <v>24845129.641623631</v>
      </c>
      <c r="O24" s="20">
        <f>'Res OLS model'!$B$9*G24</f>
        <v>-1891036.2259753</v>
      </c>
      <c r="P24" s="20">
        <f>'Res OLS model'!$B$10*H24</f>
        <v>-473397.70145137649</v>
      </c>
      <c r="Q24" s="20">
        <f>'Res OLS model'!$B$11*I24</f>
        <v>9740328.6326753516</v>
      </c>
      <c r="R24" s="20">
        <f t="shared" si="3"/>
        <v>17570062.139702447</v>
      </c>
      <c r="S24" s="23">
        <f t="shared" ca="1" si="1"/>
        <v>2.3056664503965006E-2</v>
      </c>
    </row>
    <row r="25" spans="1:19" x14ac:dyDescent="0.3">
      <c r="A25" s="22">
        <f>'Monthly Data'!A25</f>
        <v>40513</v>
      </c>
      <c r="B25" s="6">
        <f t="shared" si="2"/>
        <v>2010</v>
      </c>
      <c r="C25" s="20">
        <f ca="1">'Monthly Data'!F25</f>
        <v>21766502.464284435</v>
      </c>
      <c r="D25" s="6">
        <f>'Monthly Data'!AG25</f>
        <v>645.59999999999991</v>
      </c>
      <c r="E25" s="6">
        <f>'Monthly Data'!AH25</f>
        <v>0</v>
      </c>
      <c r="F25" s="6">
        <f>'Monthly Data'!AL25</f>
        <v>31</v>
      </c>
      <c r="G25" s="6">
        <f>'Monthly Data'!BC25</f>
        <v>0</v>
      </c>
      <c r="H25" s="6">
        <f>'Monthly Data'!AN25</f>
        <v>24</v>
      </c>
      <c r="I25" s="6">
        <f>'Monthly Data'!AJ25</f>
        <v>148.1</v>
      </c>
      <c r="K25" s="20">
        <f>'Res OLS model'!$B$5</f>
        <v>-17086566.711675301</v>
      </c>
      <c r="L25" s="20">
        <f>'Res OLS model'!$B$6*D25</f>
        <v>4175322.0077236141</v>
      </c>
      <c r="M25" s="20">
        <f>'Res OLS model'!$B$7*E25</f>
        <v>0</v>
      </c>
      <c r="N25" s="20">
        <f>'Res OLS model'!$B$8*F25</f>
        <v>25673300.62967775</v>
      </c>
      <c r="O25" s="20">
        <f>'Res OLS model'!$B$9*G25</f>
        <v>0</v>
      </c>
      <c r="P25" s="20">
        <f>'Res OLS model'!$B$10*H25</f>
        <v>-493980.21021013195</v>
      </c>
      <c r="Q25" s="20">
        <f>'Res OLS model'!$B$11*I25</f>
        <v>9687996.4439168535</v>
      </c>
      <c r="R25" s="20">
        <f t="shared" si="3"/>
        <v>21956072.159432784</v>
      </c>
      <c r="S25" s="23">
        <f t="shared" ca="1" si="1"/>
        <v>8.7092400563390585E-3</v>
      </c>
    </row>
    <row r="26" spans="1:19" x14ac:dyDescent="0.3">
      <c r="A26" s="22">
        <f>'Monthly Data'!A26</f>
        <v>40544</v>
      </c>
      <c r="B26" s="6">
        <f t="shared" si="2"/>
        <v>2011</v>
      </c>
      <c r="C26" s="20">
        <f ca="1">'Monthly Data'!F26</f>
        <v>22178314.15854536</v>
      </c>
      <c r="D26" s="6">
        <f>'Monthly Data'!AG26</f>
        <v>703.59999999999991</v>
      </c>
      <c r="E26" s="6">
        <f>'Monthly Data'!AH26</f>
        <v>0</v>
      </c>
      <c r="F26" s="6">
        <f>'Monthly Data'!AL26</f>
        <v>31</v>
      </c>
      <c r="G26" s="6">
        <f>'Monthly Data'!BC26</f>
        <v>0</v>
      </c>
      <c r="H26" s="6">
        <f>'Monthly Data'!AN26</f>
        <v>25</v>
      </c>
      <c r="I26" s="6">
        <f>'Monthly Data'!AJ26</f>
        <v>148.69999999999999</v>
      </c>
      <c r="K26" s="20">
        <f>'Res OLS model'!$B$5</f>
        <v>-17086566.711675301</v>
      </c>
      <c r="L26" s="20">
        <f>'Res OLS model'!$B$6*D26</f>
        <v>4550428.3838821799</v>
      </c>
      <c r="M26" s="20">
        <f>'Res OLS model'!$B$7*E26</f>
        <v>0</v>
      </c>
      <c r="N26" s="20">
        <f>'Res OLS model'!$B$8*F26</f>
        <v>25673300.62967775</v>
      </c>
      <c r="O26" s="20">
        <f>'Res OLS model'!$B$9*G26</f>
        <v>0</v>
      </c>
      <c r="P26" s="20">
        <f>'Res OLS model'!$B$10*H26</f>
        <v>-514562.71896888746</v>
      </c>
      <c r="Q26" s="20">
        <f>'Res OLS model'!$B$11*I26</f>
        <v>9727245.5854857266</v>
      </c>
      <c r="R26" s="20">
        <f t="shared" si="3"/>
        <v>22349845.168401469</v>
      </c>
      <c r="S26" s="23">
        <f t="shared" ca="1" si="1"/>
        <v>7.73417711688502E-3</v>
      </c>
    </row>
    <row r="27" spans="1:19" x14ac:dyDescent="0.3">
      <c r="A27" s="22">
        <f>'Monthly Data'!A27</f>
        <v>40575</v>
      </c>
      <c r="B27" s="6">
        <f t="shared" si="2"/>
        <v>2011</v>
      </c>
      <c r="C27" s="20">
        <f ca="1">'Monthly Data'!F27</f>
        <v>18955531.053135466</v>
      </c>
      <c r="D27" s="6">
        <f>'Monthly Data'!AG27</f>
        <v>583.20000000000005</v>
      </c>
      <c r="E27" s="6">
        <f>'Monthly Data'!AH27</f>
        <v>0</v>
      </c>
      <c r="F27" s="6">
        <f>'Monthly Data'!AL27</f>
        <v>28</v>
      </c>
      <c r="G27" s="6">
        <f>'Monthly Data'!BC27</f>
        <v>0</v>
      </c>
      <c r="H27" s="6">
        <f>'Monthly Data'!AN27</f>
        <v>26</v>
      </c>
      <c r="I27" s="6">
        <f>'Monthly Data'!AJ27</f>
        <v>146.69999999999999</v>
      </c>
      <c r="K27" s="20">
        <f>'Res OLS model'!$B$5</f>
        <v>-17086566.711675301</v>
      </c>
      <c r="L27" s="20">
        <f>'Res OLS model'!$B$6*D27</f>
        <v>3771759.2857875037</v>
      </c>
      <c r="M27" s="20">
        <f>'Res OLS model'!$B$7*E27</f>
        <v>0</v>
      </c>
      <c r="N27" s="20">
        <f>'Res OLS model'!$B$8*F27</f>
        <v>23188787.665515389</v>
      </c>
      <c r="O27" s="20">
        <f>'Res OLS model'!$B$9*G27</f>
        <v>0</v>
      </c>
      <c r="P27" s="20">
        <f>'Res OLS model'!$B$10*H27</f>
        <v>-535145.22772764298</v>
      </c>
      <c r="Q27" s="20">
        <f>'Res OLS model'!$B$11*I27</f>
        <v>9596415.1135894824</v>
      </c>
      <c r="R27" s="20">
        <f t="shared" si="3"/>
        <v>18935250.125489432</v>
      </c>
      <c r="S27" s="23">
        <f t="shared" ca="1" si="1"/>
        <v>1.0699213643333282E-3</v>
      </c>
    </row>
    <row r="28" spans="1:19" x14ac:dyDescent="0.3">
      <c r="A28" s="22">
        <f>'Monthly Data'!A28</f>
        <v>40603</v>
      </c>
      <c r="B28" s="6">
        <f t="shared" si="2"/>
        <v>2011</v>
      </c>
      <c r="C28" s="20">
        <f ca="1">'Monthly Data'!F28</f>
        <v>19020096.60404275</v>
      </c>
      <c r="D28" s="6">
        <f>'Monthly Data'!AG28</f>
        <v>514.30000000000007</v>
      </c>
      <c r="E28" s="6">
        <f>'Monthly Data'!AH28</f>
        <v>0</v>
      </c>
      <c r="F28" s="6">
        <f>'Monthly Data'!AL28</f>
        <v>31</v>
      </c>
      <c r="G28" s="6">
        <f>'Monthly Data'!BC28</f>
        <v>1</v>
      </c>
      <c r="H28" s="6">
        <f>'Monthly Data'!AN28</f>
        <v>27</v>
      </c>
      <c r="I28" s="6">
        <f>'Monthly Data'!AJ28</f>
        <v>145.4</v>
      </c>
      <c r="K28" s="20">
        <f>'Res OLS model'!$B$5</f>
        <v>-17086566.711675301</v>
      </c>
      <c r="L28" s="20">
        <f>'Res OLS model'!$B$6*D28</f>
        <v>3326158.7803163808</v>
      </c>
      <c r="M28" s="20">
        <f>'Res OLS model'!$B$7*E28</f>
        <v>0</v>
      </c>
      <c r="N28" s="20">
        <f>'Res OLS model'!$B$8*F28</f>
        <v>25673300.62967775</v>
      </c>
      <c r="O28" s="20">
        <f>'Res OLS model'!$B$9*G28</f>
        <v>-1891036.2259753</v>
      </c>
      <c r="P28" s="20">
        <f>'Res OLS model'!$B$10*H28</f>
        <v>-555727.7364863985</v>
      </c>
      <c r="Q28" s="20">
        <f>'Res OLS model'!$B$11*I28</f>
        <v>9511375.3068569247</v>
      </c>
      <c r="R28" s="20">
        <f t="shared" si="3"/>
        <v>18977504.042714059</v>
      </c>
      <c r="S28" s="23">
        <f t="shared" ca="1" si="1"/>
        <v>2.239345162928215E-3</v>
      </c>
    </row>
    <row r="29" spans="1:19" x14ac:dyDescent="0.3">
      <c r="A29" s="22">
        <f>'Monthly Data'!A29</f>
        <v>40634</v>
      </c>
      <c r="B29" s="6">
        <f t="shared" si="2"/>
        <v>2011</v>
      </c>
      <c r="C29" s="20">
        <f ca="1">'Monthly Data'!F29</f>
        <v>17125422.053072423</v>
      </c>
      <c r="D29" s="6">
        <f>'Monthly Data'!AG29</f>
        <v>278.59999999999985</v>
      </c>
      <c r="E29" s="6">
        <f>'Monthly Data'!AH29</f>
        <v>0.5</v>
      </c>
      <c r="F29" s="6">
        <f>'Monthly Data'!AL29</f>
        <v>30</v>
      </c>
      <c r="G29" s="6">
        <f>'Monthly Data'!BC29</f>
        <v>1</v>
      </c>
      <c r="H29" s="6">
        <f>'Monthly Data'!AN29</f>
        <v>28</v>
      </c>
      <c r="I29" s="6">
        <f>'Monthly Data'!AJ29</f>
        <v>144</v>
      </c>
      <c r="K29" s="20">
        <f>'Res OLS model'!$B$5</f>
        <v>-17086566.711675301</v>
      </c>
      <c r="L29" s="20">
        <f>'Res OLS model'!$B$6*D29</f>
        <v>1801804.0758237275</v>
      </c>
      <c r="M29" s="20">
        <f>'Res OLS model'!$B$7*E29</f>
        <v>34070.807424792001</v>
      </c>
      <c r="N29" s="20">
        <f>'Res OLS model'!$B$8*F29</f>
        <v>24845129.641623631</v>
      </c>
      <c r="O29" s="20">
        <f>'Res OLS model'!$B$9*G29</f>
        <v>-1891036.2259753</v>
      </c>
      <c r="P29" s="20">
        <f>'Res OLS model'!$B$10*H29</f>
        <v>-576310.24524515402</v>
      </c>
      <c r="Q29" s="20">
        <f>'Res OLS model'!$B$11*I29</f>
        <v>9419793.9765295535</v>
      </c>
      <c r="R29" s="20">
        <f t="shared" si="3"/>
        <v>16546885.318505948</v>
      </c>
      <c r="S29" s="23">
        <f t="shared" ca="1" si="1"/>
        <v>3.3782334401661111E-2</v>
      </c>
    </row>
    <row r="30" spans="1:19" x14ac:dyDescent="0.3">
      <c r="A30" s="22">
        <f>'Monthly Data'!A30</f>
        <v>40664</v>
      </c>
      <c r="B30" s="6">
        <f t="shared" si="2"/>
        <v>2011</v>
      </c>
      <c r="C30" s="20">
        <f ca="1">'Monthly Data'!F30</f>
        <v>18591300.513173018</v>
      </c>
      <c r="D30" s="6">
        <f>'Monthly Data'!AG30</f>
        <v>105.20000000000003</v>
      </c>
      <c r="E30" s="6">
        <f>'Monthly Data'!AH30</f>
        <v>37.200000000000003</v>
      </c>
      <c r="F30" s="6">
        <f>'Monthly Data'!AL30</f>
        <v>31</v>
      </c>
      <c r="G30" s="6">
        <f>'Monthly Data'!BC30</f>
        <v>1</v>
      </c>
      <c r="H30" s="6">
        <f>'Monthly Data'!AN30</f>
        <v>29</v>
      </c>
      <c r="I30" s="6">
        <f>'Monthly Data'!AJ30</f>
        <v>144.6</v>
      </c>
      <c r="K30" s="20">
        <f>'Res OLS model'!$B$5</f>
        <v>-17086566.711675301</v>
      </c>
      <c r="L30" s="20">
        <f>'Res OLS model'!$B$6*D30</f>
        <v>680365.35813588044</v>
      </c>
      <c r="M30" s="20">
        <f>'Res OLS model'!$B$7*E30</f>
        <v>2534868.0724045252</v>
      </c>
      <c r="N30" s="20">
        <f>'Res OLS model'!$B$8*F30</f>
        <v>25673300.62967775</v>
      </c>
      <c r="O30" s="20">
        <f>'Res OLS model'!$B$9*G30</f>
        <v>-1891036.2259753</v>
      </c>
      <c r="P30" s="20">
        <f>'Res OLS model'!$B$10*H30</f>
        <v>-596892.75400390942</v>
      </c>
      <c r="Q30" s="20">
        <f>'Res OLS model'!$B$11*I30</f>
        <v>9459043.1180984266</v>
      </c>
      <c r="R30" s="20">
        <f t="shared" si="3"/>
        <v>18773081.486662071</v>
      </c>
      <c r="S30" s="23">
        <f t="shared" ca="1" si="1"/>
        <v>9.7777438087373793E-3</v>
      </c>
    </row>
    <row r="31" spans="1:19" x14ac:dyDescent="0.3">
      <c r="A31" s="22">
        <f>'Monthly Data'!A31</f>
        <v>40695</v>
      </c>
      <c r="B31" s="6">
        <f t="shared" si="2"/>
        <v>2011</v>
      </c>
      <c r="C31" s="20">
        <f ca="1">'Monthly Data'!F31</f>
        <v>24888672.212482154</v>
      </c>
      <c r="D31" s="6">
        <f>'Monthly Data'!AG31</f>
        <v>7.6000000000000005</v>
      </c>
      <c r="E31" s="6">
        <f>'Monthly Data'!AH31</f>
        <v>115.89999999999998</v>
      </c>
      <c r="F31" s="6">
        <f>'Monthly Data'!AL31</f>
        <v>30</v>
      </c>
      <c r="G31" s="6">
        <f>'Monthly Data'!BC31</f>
        <v>0</v>
      </c>
      <c r="H31" s="6">
        <f>'Monthly Data'!AN31</f>
        <v>30</v>
      </c>
      <c r="I31" s="6">
        <f>'Monthly Data'!AJ31</f>
        <v>146</v>
      </c>
      <c r="K31" s="20">
        <f>'Res OLS model'!$B$5</f>
        <v>-17086566.711675301</v>
      </c>
      <c r="L31" s="20">
        <f>'Res OLS model'!$B$6*D31</f>
        <v>49151.869979398194</v>
      </c>
      <c r="M31" s="20">
        <f>'Res OLS model'!$B$7*E31</f>
        <v>7897613.1610667845</v>
      </c>
      <c r="N31" s="20">
        <f>'Res OLS model'!$B$8*F31</f>
        <v>24845129.641623631</v>
      </c>
      <c r="O31" s="20">
        <f>'Res OLS model'!$B$9*G31</f>
        <v>0</v>
      </c>
      <c r="P31" s="20">
        <f>'Res OLS model'!$B$10*H31</f>
        <v>-617475.26276266493</v>
      </c>
      <c r="Q31" s="20">
        <f>'Res OLS model'!$B$11*I31</f>
        <v>9550624.4484257977</v>
      </c>
      <c r="R31" s="20">
        <f t="shared" si="3"/>
        <v>24638477.146657646</v>
      </c>
      <c r="S31" s="23">
        <f t="shared" ca="1" si="1"/>
        <v>1.005256783843338E-2</v>
      </c>
    </row>
    <row r="32" spans="1:19" x14ac:dyDescent="0.3">
      <c r="A32" s="22">
        <f>'Monthly Data'!A32</f>
        <v>40725</v>
      </c>
      <c r="B32" s="6">
        <f t="shared" si="2"/>
        <v>2011</v>
      </c>
      <c r="C32" s="20">
        <f ca="1">'Monthly Data'!F32</f>
        <v>33358689.098552275</v>
      </c>
      <c r="D32" s="6">
        <f>'Monthly Data'!AG32</f>
        <v>0</v>
      </c>
      <c r="E32" s="6">
        <f>'Monthly Data'!AH32</f>
        <v>255.50000000000006</v>
      </c>
      <c r="F32" s="6">
        <f>'Monthly Data'!AL32</f>
        <v>31</v>
      </c>
      <c r="G32" s="6">
        <f>'Monthly Data'!BC32</f>
        <v>0</v>
      </c>
      <c r="H32" s="6">
        <f>'Monthly Data'!AN32</f>
        <v>31</v>
      </c>
      <c r="I32" s="6">
        <f>'Monthly Data'!AJ32</f>
        <v>147.6</v>
      </c>
      <c r="K32" s="20">
        <f>'Res OLS model'!$B$5</f>
        <v>-17086566.711675301</v>
      </c>
      <c r="L32" s="20">
        <f>'Res OLS model'!$B$6*D32</f>
        <v>0</v>
      </c>
      <c r="M32" s="20">
        <f>'Res OLS model'!$B$7*E32</f>
        <v>17410182.594068717</v>
      </c>
      <c r="N32" s="20">
        <f>'Res OLS model'!$B$8*F32</f>
        <v>25673300.62967775</v>
      </c>
      <c r="O32" s="20">
        <f>'Res OLS model'!$B$9*G32</f>
        <v>0</v>
      </c>
      <c r="P32" s="20">
        <f>'Res OLS model'!$B$10*H32</f>
        <v>-638057.77152142045</v>
      </c>
      <c r="Q32" s="20">
        <f>'Res OLS model'!$B$11*I32</f>
        <v>9655288.825942792</v>
      </c>
      <c r="R32" s="20">
        <f t="shared" si="3"/>
        <v>35014147.566492543</v>
      </c>
      <c r="S32" s="23">
        <f t="shared" ca="1" si="1"/>
        <v>4.9626004878354529E-2</v>
      </c>
    </row>
    <row r="33" spans="1:19" x14ac:dyDescent="0.3">
      <c r="A33" s="22">
        <f>'Monthly Data'!A33</f>
        <v>40756</v>
      </c>
      <c r="B33" s="6">
        <f t="shared" si="2"/>
        <v>2011</v>
      </c>
      <c r="C33" s="20">
        <f ca="1">'Monthly Data'!F33</f>
        <v>30414812.49304403</v>
      </c>
      <c r="D33" s="6">
        <f>'Monthly Data'!AG33</f>
        <v>0</v>
      </c>
      <c r="E33" s="6">
        <f>'Monthly Data'!AH33</f>
        <v>159.50000000000003</v>
      </c>
      <c r="F33" s="6">
        <f>'Monthly Data'!AL33</f>
        <v>31</v>
      </c>
      <c r="G33" s="6">
        <f>'Monthly Data'!BC33</f>
        <v>0</v>
      </c>
      <c r="H33" s="6">
        <f>'Monthly Data'!AN33</f>
        <v>32</v>
      </c>
      <c r="I33" s="6">
        <f>'Monthly Data'!AJ33</f>
        <v>148.69999999999999</v>
      </c>
      <c r="K33" s="20">
        <f>'Res OLS model'!$B$5</f>
        <v>-17086566.711675301</v>
      </c>
      <c r="L33" s="20">
        <f>'Res OLS model'!$B$6*D33</f>
        <v>0</v>
      </c>
      <c r="M33" s="20">
        <f>'Res OLS model'!$B$7*E33</f>
        <v>10868587.568508651</v>
      </c>
      <c r="N33" s="20">
        <f>'Res OLS model'!$B$8*F33</f>
        <v>25673300.62967775</v>
      </c>
      <c r="O33" s="20">
        <f>'Res OLS model'!$B$9*G33</f>
        <v>0</v>
      </c>
      <c r="P33" s="20">
        <f>'Res OLS model'!$B$10*H33</f>
        <v>-658640.28028017597</v>
      </c>
      <c r="Q33" s="20">
        <f>'Res OLS model'!$B$11*I33</f>
        <v>9727245.5854857266</v>
      </c>
      <c r="R33" s="20">
        <f t="shared" si="3"/>
        <v>28523926.79171665</v>
      </c>
      <c r="S33" s="23">
        <f t="shared" ca="1" si="1"/>
        <v>6.2169895072009131E-2</v>
      </c>
    </row>
    <row r="34" spans="1:19" x14ac:dyDescent="0.3">
      <c r="A34" s="22">
        <f>'Monthly Data'!A34</f>
        <v>40787</v>
      </c>
      <c r="B34" s="6">
        <f t="shared" si="2"/>
        <v>2011</v>
      </c>
      <c r="C34" s="20">
        <f ca="1">'Monthly Data'!F34</f>
        <v>20929875.731459919</v>
      </c>
      <c r="D34" s="6">
        <f>'Monthly Data'!AG34</f>
        <v>51.4</v>
      </c>
      <c r="E34" s="6">
        <f>'Monthly Data'!AH34</f>
        <v>60.199999999999989</v>
      </c>
      <c r="F34" s="6">
        <f>'Monthly Data'!AL34</f>
        <v>30</v>
      </c>
      <c r="G34" s="6">
        <f>'Monthly Data'!BC34</f>
        <v>0</v>
      </c>
      <c r="H34" s="6">
        <f>'Monthly Data'!AN34</f>
        <v>33</v>
      </c>
      <c r="I34" s="6">
        <f>'Monthly Data'!AJ34</f>
        <v>148.1</v>
      </c>
      <c r="K34" s="20">
        <f>'Res OLS model'!$B$5</f>
        <v>-17086566.711675301</v>
      </c>
      <c r="L34" s="20">
        <f>'Res OLS model'!$B$6*D34</f>
        <v>332421.85749224568</v>
      </c>
      <c r="M34" s="20">
        <f>'Res OLS model'!$B$7*E34</f>
        <v>4102125.2139449562</v>
      </c>
      <c r="N34" s="20">
        <f>'Res OLS model'!$B$8*F34</f>
        <v>24845129.641623631</v>
      </c>
      <c r="O34" s="20">
        <f>'Res OLS model'!$B$9*G34</f>
        <v>0</v>
      </c>
      <c r="P34" s="20">
        <f>'Res OLS model'!$B$10*H34</f>
        <v>-679222.78903893149</v>
      </c>
      <c r="Q34" s="20">
        <f>'Res OLS model'!$B$11*I34</f>
        <v>9687996.4439168535</v>
      </c>
      <c r="R34" s="20">
        <f t="shared" si="3"/>
        <v>21201883.656263456</v>
      </c>
      <c r="S34" s="23">
        <f t="shared" ref="S34:S65" ca="1" si="4">ABS(R34-C34)/C34</f>
        <v>1.2996155748535018E-2</v>
      </c>
    </row>
    <row r="35" spans="1:19" x14ac:dyDescent="0.3">
      <c r="A35" s="22">
        <f>'Monthly Data'!A35</f>
        <v>40817</v>
      </c>
      <c r="B35" s="6">
        <f t="shared" si="2"/>
        <v>2011</v>
      </c>
      <c r="C35" s="20">
        <f ca="1">'Monthly Data'!F35</f>
        <v>17117587.736433852</v>
      </c>
      <c r="D35" s="6">
        <f>'Monthly Data'!AG35</f>
        <v>185.29999999999998</v>
      </c>
      <c r="E35" s="6">
        <f>'Monthly Data'!AH35</f>
        <v>2.6999999999999997</v>
      </c>
      <c r="F35" s="6">
        <f>'Monthly Data'!AL35</f>
        <v>31</v>
      </c>
      <c r="G35" s="6">
        <f>'Monthly Data'!BC35</f>
        <v>1</v>
      </c>
      <c r="H35" s="6">
        <f>'Monthly Data'!AN35</f>
        <v>34</v>
      </c>
      <c r="I35" s="6">
        <f>'Monthly Data'!AJ35</f>
        <v>149.1</v>
      </c>
      <c r="K35" s="20">
        <f>'Res OLS model'!$B$5</f>
        <v>-17086566.711675301</v>
      </c>
      <c r="L35" s="20">
        <f>'Res OLS model'!$B$6*D35</f>
        <v>1198400.1983134847</v>
      </c>
      <c r="M35" s="20">
        <f>'Res OLS model'!$B$7*E35</f>
        <v>183982.36009387678</v>
      </c>
      <c r="N35" s="20">
        <f>'Res OLS model'!$B$8*F35</f>
        <v>25673300.62967775</v>
      </c>
      <c r="O35" s="20">
        <f>'Res OLS model'!$B$9*G35</f>
        <v>-1891036.2259753</v>
      </c>
      <c r="P35" s="20">
        <f>'Res OLS model'!$B$10*H35</f>
        <v>-699805.297797687</v>
      </c>
      <c r="Q35" s="20">
        <f>'Res OLS model'!$B$11*I35</f>
        <v>9753411.6798649747</v>
      </c>
      <c r="R35" s="20">
        <f t="shared" si="3"/>
        <v>17131686.632501796</v>
      </c>
      <c r="S35" s="23">
        <f t="shared" ca="1" si="4"/>
        <v>8.2364970374503715E-4</v>
      </c>
    </row>
    <row r="36" spans="1:19" x14ac:dyDescent="0.3">
      <c r="A36" s="22">
        <f>'Monthly Data'!A36</f>
        <v>40848</v>
      </c>
      <c r="B36" s="6">
        <f t="shared" si="2"/>
        <v>2011</v>
      </c>
      <c r="C36" s="20">
        <f ca="1">'Monthly Data'!F36</f>
        <v>17522596.420983914</v>
      </c>
      <c r="D36" s="6">
        <f>'Monthly Data'!AG36</f>
        <v>297.2999999999999</v>
      </c>
      <c r="E36" s="6">
        <f>'Monthly Data'!AH36</f>
        <v>0</v>
      </c>
      <c r="F36" s="6">
        <f>'Monthly Data'!AL36</f>
        <v>30</v>
      </c>
      <c r="G36" s="6">
        <f>'Monthly Data'!BC36</f>
        <v>1</v>
      </c>
      <c r="H36" s="6">
        <f>'Monthly Data'!AN36</f>
        <v>35</v>
      </c>
      <c r="I36" s="6">
        <f>'Monthly Data'!AJ36</f>
        <v>150.80000000000001</v>
      </c>
      <c r="K36" s="20">
        <f>'Res OLS model'!$B$5</f>
        <v>-17086566.711675301</v>
      </c>
      <c r="L36" s="20">
        <f>'Res OLS model'!$B$6*D36</f>
        <v>1922743.5453782997</v>
      </c>
      <c r="M36" s="20">
        <f>'Res OLS model'!$B$7*E36</f>
        <v>0</v>
      </c>
      <c r="N36" s="20">
        <f>'Res OLS model'!$B$8*F36</f>
        <v>24845129.641623631</v>
      </c>
      <c r="O36" s="20">
        <f>'Res OLS model'!$B$9*G36</f>
        <v>-1891036.2259753</v>
      </c>
      <c r="P36" s="20">
        <f>'Res OLS model'!$B$10*H36</f>
        <v>-720387.80655644252</v>
      </c>
      <c r="Q36" s="20">
        <f>'Res OLS model'!$B$11*I36</f>
        <v>9864617.5809767842</v>
      </c>
      <c r="R36" s="20">
        <f t="shared" si="3"/>
        <v>16934500.02377167</v>
      </c>
      <c r="S36" s="23">
        <f t="shared" ca="1" si="4"/>
        <v>3.356217212809734E-2</v>
      </c>
    </row>
    <row r="37" spans="1:19" x14ac:dyDescent="0.3">
      <c r="A37" s="22">
        <f>'Monthly Data'!A37</f>
        <v>40878</v>
      </c>
      <c r="B37" s="6">
        <f t="shared" si="2"/>
        <v>2011</v>
      </c>
      <c r="C37" s="20">
        <f ca="1">'Monthly Data'!F37</f>
        <v>20836913.507082358</v>
      </c>
      <c r="D37" s="6">
        <f>'Monthly Data'!AG37</f>
        <v>485.4</v>
      </c>
      <c r="E37" s="6">
        <f>'Monthly Data'!AH37</f>
        <v>0</v>
      </c>
      <c r="F37" s="6">
        <f>'Monthly Data'!AL37</f>
        <v>31</v>
      </c>
      <c r="G37" s="6">
        <f>'Monthly Data'!BC37</f>
        <v>0</v>
      </c>
      <c r="H37" s="6">
        <f>'Monthly Data'!AN37</f>
        <v>36</v>
      </c>
      <c r="I37" s="6">
        <f>'Monthly Data'!AJ37</f>
        <v>152.1</v>
      </c>
      <c r="K37" s="20">
        <f>'Res OLS model'!$B$5</f>
        <v>-17086566.711675301</v>
      </c>
      <c r="L37" s="20">
        <f>'Res OLS model'!$B$6*D37</f>
        <v>3139252.3273684056</v>
      </c>
      <c r="M37" s="20">
        <f>'Res OLS model'!$B$7*E37</f>
        <v>0</v>
      </c>
      <c r="N37" s="20">
        <f>'Res OLS model'!$B$8*F37</f>
        <v>25673300.62967775</v>
      </c>
      <c r="O37" s="20">
        <f>'Res OLS model'!$B$9*G37</f>
        <v>0</v>
      </c>
      <c r="P37" s="20">
        <f>'Res OLS model'!$B$10*H37</f>
        <v>-740970.31531519792</v>
      </c>
      <c r="Q37" s="20">
        <f>'Res OLS model'!$B$11*I37</f>
        <v>9949657.3877093419</v>
      </c>
      <c r="R37" s="20">
        <f t="shared" si="3"/>
        <v>20934673.317764997</v>
      </c>
      <c r="S37" s="23">
        <f t="shared" ca="1" si="4"/>
        <v>4.6916646579836033E-3</v>
      </c>
    </row>
    <row r="38" spans="1:19" x14ac:dyDescent="0.3">
      <c r="A38" s="22">
        <f>'Monthly Data'!A38</f>
        <v>40909</v>
      </c>
      <c r="B38" s="6">
        <f t="shared" si="2"/>
        <v>2012</v>
      </c>
      <c r="C38" s="20">
        <f ca="1">'Monthly Data'!F38</f>
        <v>20826549.184631586</v>
      </c>
      <c r="D38" s="6">
        <f>'Monthly Data'!AG38</f>
        <v>559.59999999999991</v>
      </c>
      <c r="E38" s="6">
        <f>'Monthly Data'!AH38</f>
        <v>0</v>
      </c>
      <c r="F38" s="6">
        <f>'Monthly Data'!AL38</f>
        <v>31</v>
      </c>
      <c r="G38" s="6">
        <f>'Monthly Data'!BC38</f>
        <v>0</v>
      </c>
      <c r="H38" s="6">
        <f>'Monthly Data'!AN38</f>
        <v>37</v>
      </c>
      <c r="I38" s="6">
        <f>'Monthly Data'!AJ38</f>
        <v>149.5</v>
      </c>
      <c r="K38" s="20">
        <f>'Res OLS model'!$B$5</f>
        <v>-17086566.711675301</v>
      </c>
      <c r="L38" s="20">
        <f>'Res OLS model'!$B$6*D38</f>
        <v>3619129.7947988454</v>
      </c>
      <c r="M38" s="20">
        <f>'Res OLS model'!$B$7*E38</f>
        <v>0</v>
      </c>
      <c r="N38" s="20">
        <f>'Res OLS model'!$B$8*F38</f>
        <v>25673300.62967775</v>
      </c>
      <c r="O38" s="20">
        <f>'Res OLS model'!$B$9*G38</f>
        <v>0</v>
      </c>
      <c r="P38" s="20">
        <f>'Res OLS model'!$B$10*H38</f>
        <v>-761552.82407395344</v>
      </c>
      <c r="Q38" s="20">
        <f>'Res OLS model'!$B$11*I38</f>
        <v>9779577.7742442247</v>
      </c>
      <c r="R38" s="20">
        <f t="shared" si="3"/>
        <v>21223888.662971564</v>
      </c>
      <c r="S38" s="23">
        <f t="shared" ca="1" si="4"/>
        <v>1.9078507669104586E-2</v>
      </c>
    </row>
    <row r="39" spans="1:19" x14ac:dyDescent="0.3">
      <c r="A39" s="22">
        <f>'Monthly Data'!A39</f>
        <v>40940</v>
      </c>
      <c r="B39" s="6">
        <f t="shared" si="2"/>
        <v>2012</v>
      </c>
      <c r="C39" s="20">
        <f ca="1">'Monthly Data'!F39</f>
        <v>18396143.263278905</v>
      </c>
      <c r="D39" s="6">
        <f>'Monthly Data'!AG39</f>
        <v>492.40000000000003</v>
      </c>
      <c r="E39" s="6">
        <f>'Monthly Data'!AH39</f>
        <v>0</v>
      </c>
      <c r="F39" s="6">
        <f>'Monthly Data'!AL39</f>
        <v>29</v>
      </c>
      <c r="G39" s="6">
        <f>'Monthly Data'!BC39</f>
        <v>0</v>
      </c>
      <c r="H39" s="6">
        <f>'Monthly Data'!AN39</f>
        <v>38</v>
      </c>
      <c r="I39" s="6">
        <f>'Monthly Data'!AJ39</f>
        <v>148.4</v>
      </c>
      <c r="K39" s="20">
        <f>'Res OLS model'!$B$5</f>
        <v>-17086566.711675301</v>
      </c>
      <c r="L39" s="20">
        <f>'Res OLS model'!$B$6*D39</f>
        <v>3184523.7865599566</v>
      </c>
      <c r="M39" s="20">
        <f>'Res OLS model'!$B$7*E39</f>
        <v>0</v>
      </c>
      <c r="N39" s="20">
        <f>'Res OLS model'!$B$8*F39</f>
        <v>24016958.653569508</v>
      </c>
      <c r="O39" s="20">
        <f>'Res OLS model'!$B$9*G39</f>
        <v>0</v>
      </c>
      <c r="P39" s="20">
        <f>'Res OLS model'!$B$10*H39</f>
        <v>-782135.33283270895</v>
      </c>
      <c r="Q39" s="20">
        <f>'Res OLS model'!$B$11*I39</f>
        <v>9707621.0147012901</v>
      </c>
      <c r="R39" s="20">
        <f t="shared" si="3"/>
        <v>19040401.410322744</v>
      </c>
      <c r="S39" s="23">
        <f t="shared" ca="1" si="4"/>
        <v>3.5021370393970686E-2</v>
      </c>
    </row>
    <row r="40" spans="1:19" x14ac:dyDescent="0.3">
      <c r="A40" s="22">
        <f>'Monthly Data'!A40</f>
        <v>40969</v>
      </c>
      <c r="B40" s="6">
        <f t="shared" si="2"/>
        <v>2012</v>
      </c>
      <c r="C40" s="20">
        <f ca="1">'Monthly Data'!F40</f>
        <v>17464653.067603219</v>
      </c>
      <c r="D40" s="6">
        <f>'Monthly Data'!AG40</f>
        <v>250.79999999999995</v>
      </c>
      <c r="E40" s="6">
        <f>'Monthly Data'!AH40</f>
        <v>4.8</v>
      </c>
      <c r="F40" s="6">
        <f>'Monthly Data'!AL40</f>
        <v>31</v>
      </c>
      <c r="G40" s="6">
        <f>'Monthly Data'!BC40</f>
        <v>1</v>
      </c>
      <c r="H40" s="6">
        <f>'Monthly Data'!AN40</f>
        <v>39</v>
      </c>
      <c r="I40" s="6">
        <f>'Monthly Data'!AJ40</f>
        <v>148.5</v>
      </c>
      <c r="K40" s="20">
        <f>'Res OLS model'!$B$5</f>
        <v>-17086566.711675301</v>
      </c>
      <c r="L40" s="20">
        <f>'Res OLS model'!$B$6*D40</f>
        <v>1622011.7093201401</v>
      </c>
      <c r="M40" s="20">
        <f>'Res OLS model'!$B$7*E40</f>
        <v>327079.75127800321</v>
      </c>
      <c r="N40" s="20">
        <f>'Res OLS model'!$B$8*F40</f>
        <v>25673300.62967775</v>
      </c>
      <c r="O40" s="20">
        <f>'Res OLS model'!$B$9*G40</f>
        <v>-1891036.2259753</v>
      </c>
      <c r="P40" s="20">
        <f>'Res OLS model'!$B$10*H40</f>
        <v>-802717.84159146447</v>
      </c>
      <c r="Q40" s="20">
        <f>'Res OLS model'!$B$11*I40</f>
        <v>9714162.5382961035</v>
      </c>
      <c r="R40" s="20">
        <f t="shared" si="3"/>
        <v>17556233.849329934</v>
      </c>
      <c r="S40" s="23">
        <f t="shared" ca="1" si="4"/>
        <v>5.2437790417145923E-3</v>
      </c>
    </row>
    <row r="41" spans="1:19" x14ac:dyDescent="0.3">
      <c r="A41" s="22">
        <f>'Monthly Data'!A41</f>
        <v>41000</v>
      </c>
      <c r="B41" s="6">
        <f t="shared" si="2"/>
        <v>2012</v>
      </c>
      <c r="C41" s="20">
        <f ca="1">'Monthly Data'!F41</f>
        <v>16103149.412524818</v>
      </c>
      <c r="D41" s="6">
        <f>'Monthly Data'!AG41</f>
        <v>252.49999999999991</v>
      </c>
      <c r="E41" s="6">
        <f>'Monthly Data'!AH41</f>
        <v>4.3</v>
      </c>
      <c r="F41" s="6">
        <f>'Monthly Data'!AL41</f>
        <v>30</v>
      </c>
      <c r="G41" s="6">
        <f>'Monthly Data'!BC41</f>
        <v>1</v>
      </c>
      <c r="H41" s="6">
        <f>'Monthly Data'!AN41</f>
        <v>40</v>
      </c>
      <c r="I41" s="6">
        <f>'Monthly Data'!AJ41</f>
        <v>150.6</v>
      </c>
      <c r="K41" s="20">
        <f>'Res OLS model'!$B$5</f>
        <v>-17086566.711675301</v>
      </c>
      <c r="L41" s="20">
        <f>'Res OLS model'!$B$6*D41</f>
        <v>1633006.2065523737</v>
      </c>
      <c r="M41" s="20">
        <f>'Res OLS model'!$B$7*E41</f>
        <v>293008.94385321118</v>
      </c>
      <c r="N41" s="20">
        <f>'Res OLS model'!$B$8*F41</f>
        <v>24845129.641623631</v>
      </c>
      <c r="O41" s="20">
        <f>'Res OLS model'!$B$9*G41</f>
        <v>-1891036.2259753</v>
      </c>
      <c r="P41" s="20">
        <f>'Res OLS model'!$B$10*H41</f>
        <v>-823300.35035021999</v>
      </c>
      <c r="Q41" s="20">
        <f>'Res OLS model'!$B$11*I41</f>
        <v>9851534.5337871574</v>
      </c>
      <c r="R41" s="20">
        <f t="shared" si="3"/>
        <v>16821776.037815552</v>
      </c>
      <c r="S41" s="23">
        <f t="shared" ca="1" si="4"/>
        <v>4.4626464481028562E-2</v>
      </c>
    </row>
    <row r="42" spans="1:19" x14ac:dyDescent="0.3">
      <c r="A42" s="22">
        <f>'Monthly Data'!A42</f>
        <v>41030</v>
      </c>
      <c r="B42" s="6">
        <f t="shared" si="2"/>
        <v>2012</v>
      </c>
      <c r="C42" s="20">
        <f ca="1">'Monthly Data'!F42</f>
        <v>19432613.145942483</v>
      </c>
      <c r="D42" s="6">
        <f>'Monthly Data'!AG42</f>
        <v>48.2</v>
      </c>
      <c r="E42" s="6">
        <f>'Monthly Data'!AH42</f>
        <v>59.3</v>
      </c>
      <c r="F42" s="6">
        <f>'Monthly Data'!AL42</f>
        <v>31</v>
      </c>
      <c r="G42" s="6">
        <f>'Monthly Data'!BC42</f>
        <v>1</v>
      </c>
      <c r="H42" s="6">
        <f>'Monthly Data'!AN42</f>
        <v>41</v>
      </c>
      <c r="I42" s="6">
        <f>'Monthly Data'!AJ42</f>
        <v>151.1</v>
      </c>
      <c r="K42" s="20">
        <f>'Res OLS model'!$B$5</f>
        <v>-17086566.711675301</v>
      </c>
      <c r="L42" s="20">
        <f>'Res OLS model'!$B$6*D42</f>
        <v>311726.33329039381</v>
      </c>
      <c r="M42" s="20">
        <f>'Res OLS model'!$B$7*E42</f>
        <v>4040797.7605803311</v>
      </c>
      <c r="N42" s="20">
        <f>'Res OLS model'!$B$8*F42</f>
        <v>25673300.62967775</v>
      </c>
      <c r="O42" s="20">
        <f>'Res OLS model'!$B$9*G42</f>
        <v>-1891036.2259753</v>
      </c>
      <c r="P42" s="20">
        <f>'Res OLS model'!$B$10*H42</f>
        <v>-843882.85910897551</v>
      </c>
      <c r="Q42" s="20">
        <f>'Res OLS model'!$B$11*I42</f>
        <v>9884242.1517612189</v>
      </c>
      <c r="R42" s="20">
        <f t="shared" si="3"/>
        <v>20088581.078550119</v>
      </c>
      <c r="S42" s="23">
        <f t="shared" ca="1" si="4"/>
        <v>3.3756033101734521E-2</v>
      </c>
    </row>
    <row r="43" spans="1:19" x14ac:dyDescent="0.3">
      <c r="A43" s="22">
        <f>'Monthly Data'!A43</f>
        <v>41061</v>
      </c>
      <c r="B43" s="6">
        <f t="shared" si="2"/>
        <v>2012</v>
      </c>
      <c r="C43" s="20">
        <f ca="1">'Monthly Data'!F43</f>
        <v>27178390.62937149</v>
      </c>
      <c r="D43" s="6">
        <f>'Monthly Data'!AG43</f>
        <v>10.3</v>
      </c>
      <c r="E43" s="6">
        <f>'Monthly Data'!AH43</f>
        <v>147.09999999999997</v>
      </c>
      <c r="F43" s="6">
        <f>'Monthly Data'!AL43</f>
        <v>30</v>
      </c>
      <c r="G43" s="6">
        <f>'Monthly Data'!BC43</f>
        <v>0</v>
      </c>
      <c r="H43" s="6">
        <f>'Monthly Data'!AN43</f>
        <v>42</v>
      </c>
      <c r="I43" s="6">
        <f>'Monthly Data'!AJ43</f>
        <v>152.19999999999999</v>
      </c>
      <c r="K43" s="20">
        <f>'Res OLS model'!$B$5</f>
        <v>-17086566.711675301</v>
      </c>
      <c r="L43" s="20">
        <f>'Res OLS model'!$B$6*D43</f>
        <v>66613.718524710712</v>
      </c>
      <c r="M43" s="20">
        <f>'Res OLS model'!$B$7*E43</f>
        <v>10023631.544373805</v>
      </c>
      <c r="N43" s="20">
        <f>'Res OLS model'!$B$8*F43</f>
        <v>24845129.641623631</v>
      </c>
      <c r="O43" s="20">
        <f>'Res OLS model'!$B$9*G43</f>
        <v>0</v>
      </c>
      <c r="P43" s="20">
        <f>'Res OLS model'!$B$10*H43</f>
        <v>-864465.36786773091</v>
      </c>
      <c r="Q43" s="20">
        <f>'Res OLS model'!$B$11*I43</f>
        <v>9956198.9113041535</v>
      </c>
      <c r="R43" s="20">
        <f t="shared" si="3"/>
        <v>26940541.736283265</v>
      </c>
      <c r="S43" s="23">
        <f t="shared" ca="1" si="4"/>
        <v>8.7513972527565233E-3</v>
      </c>
    </row>
    <row r="44" spans="1:19" x14ac:dyDescent="0.3">
      <c r="A44" s="22">
        <f>'Monthly Data'!A44</f>
        <v>41091</v>
      </c>
      <c r="B44" s="6">
        <f t="shared" si="2"/>
        <v>2012</v>
      </c>
      <c r="C44" s="20">
        <f ca="1">'Monthly Data'!F44</f>
        <v>34122931.733509071</v>
      </c>
      <c r="D44" s="6">
        <f>'Monthly Data'!AG44</f>
        <v>0</v>
      </c>
      <c r="E44" s="6">
        <f>'Monthly Data'!AH44</f>
        <v>235.50000000000009</v>
      </c>
      <c r="F44" s="6">
        <f>'Monthly Data'!AL44</f>
        <v>31</v>
      </c>
      <c r="G44" s="6">
        <f>'Monthly Data'!BC44</f>
        <v>0</v>
      </c>
      <c r="H44" s="6">
        <f>'Monthly Data'!AN44</f>
        <v>43</v>
      </c>
      <c r="I44" s="6">
        <f>'Monthly Data'!AJ44</f>
        <v>153.4</v>
      </c>
      <c r="K44" s="20">
        <f>'Res OLS model'!$B$5</f>
        <v>-17086566.711675301</v>
      </c>
      <c r="L44" s="20">
        <f>'Res OLS model'!$B$6*D44</f>
        <v>0</v>
      </c>
      <c r="M44" s="20">
        <f>'Res OLS model'!$B$7*E44</f>
        <v>16047350.297077039</v>
      </c>
      <c r="N44" s="20">
        <f>'Res OLS model'!$B$8*F44</f>
        <v>25673300.62967775</v>
      </c>
      <c r="O44" s="20">
        <f>'Res OLS model'!$B$9*G44</f>
        <v>0</v>
      </c>
      <c r="P44" s="20">
        <f>'Res OLS model'!$B$10*H44</f>
        <v>-885047.87662648642</v>
      </c>
      <c r="Q44" s="20">
        <f>'Res OLS model'!$B$11*I44</f>
        <v>10034697.1944419</v>
      </c>
      <c r="R44" s="20">
        <f t="shared" si="3"/>
        <v>33783733.532894894</v>
      </c>
      <c r="S44" s="23">
        <f t="shared" ca="1" si="4"/>
        <v>9.9404764884571915E-3</v>
      </c>
    </row>
    <row r="45" spans="1:19" x14ac:dyDescent="0.3">
      <c r="A45" s="22">
        <f>'Monthly Data'!A45</f>
        <v>41122</v>
      </c>
      <c r="B45" s="6">
        <f t="shared" si="2"/>
        <v>2012</v>
      </c>
      <c r="C45" s="20">
        <f ca="1">'Monthly Data'!F45</f>
        <v>28774043.990622215</v>
      </c>
      <c r="D45" s="6">
        <f>'Monthly Data'!AG45</f>
        <v>0.7</v>
      </c>
      <c r="E45" s="6">
        <f>'Monthly Data'!AH45</f>
        <v>143.69999999999999</v>
      </c>
      <c r="F45" s="6">
        <f>'Monthly Data'!AL45</f>
        <v>31</v>
      </c>
      <c r="G45" s="6">
        <f>'Monthly Data'!BC45</f>
        <v>0</v>
      </c>
      <c r="H45" s="6">
        <f>'Monthly Data'!AN45</f>
        <v>44</v>
      </c>
      <c r="I45" s="6">
        <f>'Monthly Data'!AJ45</f>
        <v>155</v>
      </c>
      <c r="K45" s="20">
        <f>'Res OLS model'!$B$5</f>
        <v>-17086566.711675301</v>
      </c>
      <c r="L45" s="20">
        <f>'Res OLS model'!$B$6*D45</f>
        <v>4527.1459191550966</v>
      </c>
      <c r="M45" s="20">
        <f>'Res OLS model'!$B$7*E45</f>
        <v>9791950.0538852196</v>
      </c>
      <c r="N45" s="20">
        <f>'Res OLS model'!$B$8*F45</f>
        <v>25673300.62967775</v>
      </c>
      <c r="O45" s="20">
        <f>'Res OLS model'!$B$9*G45</f>
        <v>0</v>
      </c>
      <c r="P45" s="20">
        <f>'Res OLS model'!$B$10*H45</f>
        <v>-905630.38538524194</v>
      </c>
      <c r="Q45" s="20">
        <f>'Res OLS model'!$B$11*I45</f>
        <v>10139361.571958896</v>
      </c>
      <c r="R45" s="20">
        <f t="shared" si="3"/>
        <v>27616942.304380476</v>
      </c>
      <c r="S45" s="23">
        <f t="shared" ca="1" si="4"/>
        <v>4.0213384209006248E-2</v>
      </c>
    </row>
    <row r="46" spans="1:19" x14ac:dyDescent="0.3">
      <c r="A46" s="22">
        <f>'Monthly Data'!A46</f>
        <v>41153</v>
      </c>
      <c r="B46" s="6">
        <f t="shared" si="2"/>
        <v>2012</v>
      </c>
      <c r="C46" s="20">
        <f ca="1">'Monthly Data'!F46</f>
        <v>21128025.774475966</v>
      </c>
      <c r="D46" s="6">
        <f>'Monthly Data'!AG46</f>
        <v>53.2</v>
      </c>
      <c r="E46" s="6">
        <f>'Monthly Data'!AH46</f>
        <v>50.29999999999999</v>
      </c>
      <c r="F46" s="6">
        <f>'Monthly Data'!AL46</f>
        <v>30</v>
      </c>
      <c r="G46" s="6">
        <f>'Monthly Data'!BC46</f>
        <v>0</v>
      </c>
      <c r="H46" s="6">
        <f>'Monthly Data'!AN46</f>
        <v>45</v>
      </c>
      <c r="I46" s="6">
        <f>'Monthly Data'!AJ46</f>
        <v>156.9</v>
      </c>
      <c r="K46" s="20">
        <f>'Res OLS model'!$B$5</f>
        <v>-17086566.711675301</v>
      </c>
      <c r="L46" s="20">
        <f>'Res OLS model'!$B$6*D46</f>
        <v>344063.08985578734</v>
      </c>
      <c r="M46" s="20">
        <f>'Res OLS model'!$B$7*E46</f>
        <v>3427523.2269340744</v>
      </c>
      <c r="N46" s="20">
        <f>'Res OLS model'!$B$8*F46</f>
        <v>24845129.641623631</v>
      </c>
      <c r="O46" s="20">
        <f>'Res OLS model'!$B$9*G46</f>
        <v>0</v>
      </c>
      <c r="P46" s="20">
        <f>'Res OLS model'!$B$10*H46</f>
        <v>-926212.89414399746</v>
      </c>
      <c r="Q46" s="20">
        <f>'Res OLS model'!$B$11*I46</f>
        <v>10263650.520260327</v>
      </c>
      <c r="R46" s="20">
        <f t="shared" si="3"/>
        <v>20867586.872854523</v>
      </c>
      <c r="S46" s="23">
        <f t="shared" ca="1" si="4"/>
        <v>1.2326703138353299E-2</v>
      </c>
    </row>
    <row r="47" spans="1:19" x14ac:dyDescent="0.3">
      <c r="A47" s="22">
        <f>'Monthly Data'!A47</f>
        <v>41183</v>
      </c>
      <c r="B47" s="6">
        <f t="shared" si="2"/>
        <v>2012</v>
      </c>
      <c r="C47" s="20">
        <f ca="1">'Monthly Data'!F47</f>
        <v>17095388.657426659</v>
      </c>
      <c r="D47" s="6">
        <f>'Monthly Data'!AG47</f>
        <v>207.19999999999996</v>
      </c>
      <c r="E47" s="6">
        <f>'Monthly Data'!AH47</f>
        <v>5.6</v>
      </c>
      <c r="F47" s="6">
        <f>'Monthly Data'!AL47</f>
        <v>31</v>
      </c>
      <c r="G47" s="6">
        <f>'Monthly Data'!BC47</f>
        <v>1</v>
      </c>
      <c r="H47" s="6">
        <f>'Monthly Data'!AN47</f>
        <v>46</v>
      </c>
      <c r="I47" s="6">
        <f>'Monthly Data'!AJ47</f>
        <v>157.5</v>
      </c>
      <c r="K47" s="20">
        <f>'Res OLS model'!$B$5</f>
        <v>-17086566.711675301</v>
      </c>
      <c r="L47" s="20">
        <f>'Res OLS model'!$B$6*D47</f>
        <v>1340035.1920699084</v>
      </c>
      <c r="M47" s="20">
        <f>'Res OLS model'!$B$7*E47</f>
        <v>381593.04315767041</v>
      </c>
      <c r="N47" s="20">
        <f>'Res OLS model'!$B$8*F47</f>
        <v>25673300.62967775</v>
      </c>
      <c r="O47" s="20">
        <f>'Res OLS model'!$B$9*G47</f>
        <v>-1891036.2259753</v>
      </c>
      <c r="P47" s="20">
        <f>'Res OLS model'!$B$10*H47</f>
        <v>-946795.40290275298</v>
      </c>
      <c r="Q47" s="20">
        <f>'Res OLS model'!$B$11*I47</f>
        <v>10302899.6618292</v>
      </c>
      <c r="R47" s="20">
        <f t="shared" si="3"/>
        <v>17773430.186181176</v>
      </c>
      <c r="S47" s="23">
        <f t="shared" ca="1" si="4"/>
        <v>3.9662247073859853E-2</v>
      </c>
    </row>
    <row r="48" spans="1:19" x14ac:dyDescent="0.3">
      <c r="A48" s="22">
        <f>'Monthly Data'!A48</f>
        <v>41214</v>
      </c>
      <c r="B48" s="6">
        <f t="shared" si="2"/>
        <v>2012</v>
      </c>
      <c r="C48" s="20">
        <f ca="1">'Monthly Data'!F48</f>
        <v>18002983.69606806</v>
      </c>
      <c r="D48" s="6">
        <f>'Monthly Data'!AG48</f>
        <v>405.49999999999994</v>
      </c>
      <c r="E48" s="6">
        <f>'Monthly Data'!AH48</f>
        <v>0</v>
      </c>
      <c r="F48" s="6">
        <f>'Monthly Data'!AL48</f>
        <v>30</v>
      </c>
      <c r="G48" s="6">
        <f>'Monthly Data'!BC48</f>
        <v>1</v>
      </c>
      <c r="H48" s="6">
        <f>'Monthly Data'!AN48</f>
        <v>47</v>
      </c>
      <c r="I48" s="6">
        <f>'Monthly Data'!AJ48</f>
        <v>157.6</v>
      </c>
      <c r="K48" s="20">
        <f>'Res OLS model'!$B$5</f>
        <v>-17086566.711675301</v>
      </c>
      <c r="L48" s="20">
        <f>'Res OLS model'!$B$6*D48</f>
        <v>2622510.9574534162</v>
      </c>
      <c r="M48" s="20">
        <f>'Res OLS model'!$B$7*E48</f>
        <v>0</v>
      </c>
      <c r="N48" s="20">
        <f>'Res OLS model'!$B$8*F48</f>
        <v>24845129.641623631</v>
      </c>
      <c r="O48" s="20">
        <f>'Res OLS model'!$B$9*G48</f>
        <v>-1891036.2259753</v>
      </c>
      <c r="P48" s="20">
        <f>'Res OLS model'!$B$10*H48</f>
        <v>-967377.91166150849</v>
      </c>
      <c r="Q48" s="20">
        <f>'Res OLS model'!$B$11*I48</f>
        <v>10309441.185424011</v>
      </c>
      <c r="R48" s="20">
        <f t="shared" si="3"/>
        <v>17832100.935188949</v>
      </c>
      <c r="S48" s="23">
        <f t="shared" ca="1" si="4"/>
        <v>9.4919133274798326E-3</v>
      </c>
    </row>
    <row r="49" spans="1:19" x14ac:dyDescent="0.3">
      <c r="A49" s="22">
        <f>'Monthly Data'!A49</f>
        <v>41244</v>
      </c>
      <c r="B49" s="6">
        <f t="shared" si="2"/>
        <v>2012</v>
      </c>
      <c r="C49" s="20">
        <f ca="1">'Monthly Data'!F49</f>
        <v>20724891.456826214</v>
      </c>
      <c r="D49" s="6">
        <f>'Monthly Data'!AG49</f>
        <v>484.20000000000005</v>
      </c>
      <c r="E49" s="6">
        <f>'Monthly Data'!AH49</f>
        <v>0</v>
      </c>
      <c r="F49" s="6">
        <f>'Monthly Data'!AL49</f>
        <v>31</v>
      </c>
      <c r="G49" s="6">
        <f>'Monthly Data'!BC49</f>
        <v>0</v>
      </c>
      <c r="H49" s="6">
        <f>'Monthly Data'!AN49</f>
        <v>48</v>
      </c>
      <c r="I49" s="6">
        <f>'Monthly Data'!AJ49</f>
        <v>155.5</v>
      </c>
      <c r="K49" s="20">
        <f>'Res OLS model'!$B$5</f>
        <v>-17086566.711675301</v>
      </c>
      <c r="L49" s="20">
        <f>'Res OLS model'!$B$6*D49</f>
        <v>3131491.5057927114</v>
      </c>
      <c r="M49" s="20">
        <f>'Res OLS model'!$B$7*E49</f>
        <v>0</v>
      </c>
      <c r="N49" s="20">
        <f>'Res OLS model'!$B$8*F49</f>
        <v>25673300.62967775</v>
      </c>
      <c r="O49" s="20">
        <f>'Res OLS model'!$B$9*G49</f>
        <v>0</v>
      </c>
      <c r="P49" s="20">
        <f>'Res OLS model'!$B$10*H49</f>
        <v>-987960.42042026389</v>
      </c>
      <c r="Q49" s="20">
        <f>'Res OLS model'!$B$11*I49</f>
        <v>10172069.189932955</v>
      </c>
      <c r="R49" s="20">
        <f t="shared" si="3"/>
        <v>20902334.193307854</v>
      </c>
      <c r="S49" s="23">
        <f t="shared" ca="1" si="4"/>
        <v>8.561817409335367E-3</v>
      </c>
    </row>
    <row r="50" spans="1:19" x14ac:dyDescent="0.3">
      <c r="A50" s="22">
        <f>'Monthly Data'!A50</f>
        <v>41275</v>
      </c>
      <c r="B50" s="6">
        <f t="shared" si="2"/>
        <v>2013</v>
      </c>
      <c r="C50" s="20">
        <f ca="1">'Monthly Data'!F50</f>
        <v>21175039.85558828</v>
      </c>
      <c r="D50" s="6">
        <f>'Monthly Data'!AG50</f>
        <v>598.19999999999993</v>
      </c>
      <c r="E50" s="6">
        <f>'Monthly Data'!AH50</f>
        <v>0</v>
      </c>
      <c r="F50" s="6">
        <f>'Monthly Data'!AL50</f>
        <v>31</v>
      </c>
      <c r="G50" s="6">
        <f>'Monthly Data'!BC50</f>
        <v>0</v>
      </c>
      <c r="H50" s="6">
        <f>'Monthly Data'!AN50</f>
        <v>49</v>
      </c>
      <c r="I50" s="6">
        <f>'Monthly Data'!AJ50</f>
        <v>151.1</v>
      </c>
      <c r="K50" s="20">
        <f>'Res OLS model'!$B$5</f>
        <v>-17086566.711675301</v>
      </c>
      <c r="L50" s="20">
        <f>'Res OLS model'!$B$6*D50</f>
        <v>3868769.5554836835</v>
      </c>
      <c r="M50" s="20">
        <f>'Res OLS model'!$B$7*E50</f>
        <v>0</v>
      </c>
      <c r="N50" s="20">
        <f>'Res OLS model'!$B$8*F50</f>
        <v>25673300.62967775</v>
      </c>
      <c r="O50" s="20">
        <f>'Res OLS model'!$B$9*G50</f>
        <v>0</v>
      </c>
      <c r="P50" s="20">
        <f>'Res OLS model'!$B$10*H50</f>
        <v>-1008542.9291790194</v>
      </c>
      <c r="Q50" s="20">
        <f>'Res OLS model'!$B$11*I50</f>
        <v>9884242.1517612189</v>
      </c>
      <c r="R50" s="20">
        <f t="shared" si="3"/>
        <v>21331202.696068332</v>
      </c>
      <c r="S50" s="23">
        <f t="shared" ca="1" si="4"/>
        <v>7.3748546186957562E-3</v>
      </c>
    </row>
    <row r="51" spans="1:19" x14ac:dyDescent="0.3">
      <c r="A51" s="22">
        <f>'Monthly Data'!A51</f>
        <v>41306</v>
      </c>
      <c r="B51" s="6">
        <f t="shared" si="2"/>
        <v>2013</v>
      </c>
      <c r="C51" s="20">
        <f ca="1">'Monthly Data'!F51</f>
        <v>18639689.622604229</v>
      </c>
      <c r="D51" s="6">
        <f>'Monthly Data'!AG51</f>
        <v>574.80000000000007</v>
      </c>
      <c r="E51" s="6">
        <f>'Monthly Data'!AH51</f>
        <v>0</v>
      </c>
      <c r="F51" s="6">
        <f>'Monthly Data'!AL51</f>
        <v>28</v>
      </c>
      <c r="G51" s="6">
        <f>'Monthly Data'!BC51</f>
        <v>0</v>
      </c>
      <c r="H51" s="6">
        <f>'Monthly Data'!AN51</f>
        <v>50</v>
      </c>
      <c r="I51" s="6">
        <f>'Monthly Data'!AJ51</f>
        <v>150.19999999999999</v>
      </c>
      <c r="K51" s="20">
        <f>'Res OLS model'!$B$5</f>
        <v>-17086566.711675301</v>
      </c>
      <c r="L51" s="20">
        <f>'Res OLS model'!$B$6*D51</f>
        <v>3717433.5347576425</v>
      </c>
      <c r="M51" s="20">
        <f>'Res OLS model'!$B$7*E51</f>
        <v>0</v>
      </c>
      <c r="N51" s="20">
        <f>'Res OLS model'!$B$8*F51</f>
        <v>23188787.665515389</v>
      </c>
      <c r="O51" s="20">
        <f>'Res OLS model'!$B$9*G51</f>
        <v>0</v>
      </c>
      <c r="P51" s="20">
        <f>'Res OLS model'!$B$10*H51</f>
        <v>-1029125.4379377749</v>
      </c>
      <c r="Q51" s="20">
        <f>'Res OLS model'!$B$11*I51</f>
        <v>9825368.4394079093</v>
      </c>
      <c r="R51" s="20">
        <f t="shared" si="3"/>
        <v>18615897.490067862</v>
      </c>
      <c r="S51" s="23">
        <f t="shared" ca="1" si="4"/>
        <v>1.2764232140171487E-3</v>
      </c>
    </row>
    <row r="52" spans="1:19" x14ac:dyDescent="0.3">
      <c r="A52" s="22">
        <f>'Monthly Data'!A52</f>
        <v>41334</v>
      </c>
      <c r="B52" s="6">
        <f t="shared" si="2"/>
        <v>2013</v>
      </c>
      <c r="C52" s="20">
        <f ca="1">'Monthly Data'!F52</f>
        <v>19203289.13178562</v>
      </c>
      <c r="D52" s="6">
        <f>'Monthly Data'!AG52</f>
        <v>505.20000000000005</v>
      </c>
      <c r="E52" s="6">
        <f>'Monthly Data'!AH52</f>
        <v>0</v>
      </c>
      <c r="F52" s="6">
        <f>'Monthly Data'!AL52</f>
        <v>31</v>
      </c>
      <c r="G52" s="6">
        <f>'Monthly Data'!BC52</f>
        <v>1</v>
      </c>
      <c r="H52" s="6">
        <f>'Monthly Data'!AN52</f>
        <v>51</v>
      </c>
      <c r="I52" s="6">
        <f>'Monthly Data'!AJ52</f>
        <v>149.4</v>
      </c>
      <c r="K52" s="20">
        <f>'Res OLS model'!$B$5</f>
        <v>-17086566.711675301</v>
      </c>
      <c r="L52" s="20">
        <f>'Res OLS model'!$B$6*D52</f>
        <v>3267305.8833673643</v>
      </c>
      <c r="M52" s="20">
        <f>'Res OLS model'!$B$7*E52</f>
        <v>0</v>
      </c>
      <c r="N52" s="20">
        <f>'Res OLS model'!$B$8*F52</f>
        <v>25673300.62967775</v>
      </c>
      <c r="O52" s="20">
        <f>'Res OLS model'!$B$9*G52</f>
        <v>-1891036.2259753</v>
      </c>
      <c r="P52" s="20">
        <f>'Res OLS model'!$B$10*H52</f>
        <v>-1049707.9466965306</v>
      </c>
      <c r="Q52" s="20">
        <f>'Res OLS model'!$B$11*I52</f>
        <v>9773036.2506494131</v>
      </c>
      <c r="R52" s="20">
        <f t="shared" si="3"/>
        <v>18686331.879347395</v>
      </c>
      <c r="S52" s="23">
        <f t="shared" ca="1" si="4"/>
        <v>2.6920245218958253E-2</v>
      </c>
    </row>
    <row r="53" spans="1:19" x14ac:dyDescent="0.3">
      <c r="A53" s="22">
        <f>'Monthly Data'!A53</f>
        <v>41365</v>
      </c>
      <c r="B53" s="6">
        <f t="shared" si="2"/>
        <v>2013</v>
      </c>
      <c r="C53" s="20">
        <f ca="1">'Monthly Data'!F53</f>
        <v>17076984.319236379</v>
      </c>
      <c r="D53" s="6">
        <f>'Monthly Data'!AG53</f>
        <v>300.19999999999993</v>
      </c>
      <c r="E53" s="6">
        <f>'Monthly Data'!AH53</f>
        <v>0</v>
      </c>
      <c r="F53" s="6">
        <f>'Monthly Data'!AL53</f>
        <v>30</v>
      </c>
      <c r="G53" s="6">
        <f>'Monthly Data'!BC53</f>
        <v>1</v>
      </c>
      <c r="H53" s="6">
        <f>'Monthly Data'!AN53</f>
        <v>52</v>
      </c>
      <c r="I53" s="6">
        <f>'Monthly Data'!AJ53</f>
        <v>152.6</v>
      </c>
      <c r="K53" s="20">
        <f>'Res OLS model'!$B$5</f>
        <v>-17086566.711675301</v>
      </c>
      <c r="L53" s="20">
        <f>'Res OLS model'!$B$6*D53</f>
        <v>1941498.8641862283</v>
      </c>
      <c r="M53" s="20">
        <f>'Res OLS model'!$B$7*E53</f>
        <v>0</v>
      </c>
      <c r="N53" s="20">
        <f>'Res OLS model'!$B$8*F53</f>
        <v>24845129.641623631</v>
      </c>
      <c r="O53" s="20">
        <f>'Res OLS model'!$B$9*G53</f>
        <v>-1891036.2259753</v>
      </c>
      <c r="P53" s="20">
        <f>'Res OLS model'!$B$10*H53</f>
        <v>-1070290.455455286</v>
      </c>
      <c r="Q53" s="20">
        <f>'Res OLS model'!$B$11*I53</f>
        <v>9982365.0056834016</v>
      </c>
      <c r="R53" s="20">
        <f t="shared" si="3"/>
        <v>16721100.118387373</v>
      </c>
      <c r="S53" s="23">
        <f t="shared" ca="1" si="4"/>
        <v>2.0839991077822796E-2</v>
      </c>
    </row>
    <row r="54" spans="1:19" x14ac:dyDescent="0.3">
      <c r="A54" s="22">
        <f>'Monthly Data'!A54</f>
        <v>41395</v>
      </c>
      <c r="B54" s="6">
        <f t="shared" si="2"/>
        <v>2013</v>
      </c>
      <c r="C54" s="20">
        <f ca="1">'Monthly Data'!F54</f>
        <v>18457139.291948661</v>
      </c>
      <c r="D54" s="6">
        <f>'Monthly Data'!AG54</f>
        <v>73.300000000000011</v>
      </c>
      <c r="E54" s="6">
        <f>'Monthly Data'!AH54</f>
        <v>59.899999999999991</v>
      </c>
      <c r="F54" s="6">
        <f>'Monthly Data'!AL54</f>
        <v>31</v>
      </c>
      <c r="G54" s="6">
        <f>'Monthly Data'!BC54</f>
        <v>1</v>
      </c>
      <c r="H54" s="6">
        <f>'Monthly Data'!AN54</f>
        <v>53</v>
      </c>
      <c r="I54" s="6">
        <f>'Monthly Data'!AJ54</f>
        <v>154</v>
      </c>
      <c r="K54" s="20">
        <f>'Res OLS model'!$B$5</f>
        <v>-17086566.711675301</v>
      </c>
      <c r="L54" s="20">
        <f>'Res OLS model'!$B$6*D54</f>
        <v>474056.8512486695</v>
      </c>
      <c r="M54" s="20">
        <f>'Res OLS model'!$B$7*E54</f>
        <v>4081682.7294900813</v>
      </c>
      <c r="N54" s="20">
        <f>'Res OLS model'!$B$8*F54</f>
        <v>25673300.62967775</v>
      </c>
      <c r="O54" s="20">
        <f>'Res OLS model'!$B$9*G54</f>
        <v>-1891036.2259753</v>
      </c>
      <c r="P54" s="20">
        <f>'Res OLS model'!$B$10*H54</f>
        <v>-1090872.9642140414</v>
      </c>
      <c r="Q54" s="20">
        <f>'Res OLS model'!$B$11*I54</f>
        <v>10073946.336010773</v>
      </c>
      <c r="R54" s="20">
        <f t="shared" si="3"/>
        <v>20234510.644562632</v>
      </c>
      <c r="S54" s="23">
        <f t="shared" ca="1" si="4"/>
        <v>9.629722810778657E-2</v>
      </c>
    </row>
    <row r="55" spans="1:19" x14ac:dyDescent="0.3">
      <c r="A55" s="22">
        <f>'Monthly Data'!A55</f>
        <v>41426</v>
      </c>
      <c r="B55" s="6">
        <f t="shared" si="2"/>
        <v>2013</v>
      </c>
      <c r="C55" s="20">
        <f ca="1">'Monthly Data'!F55</f>
        <v>23738163.011233285</v>
      </c>
      <c r="D55" s="6">
        <f>'Monthly Data'!AG55</f>
        <v>14.700000000000001</v>
      </c>
      <c r="E55" s="6">
        <f>'Monthly Data'!AH55</f>
        <v>103.49999999999999</v>
      </c>
      <c r="F55" s="6">
        <f>'Monthly Data'!AL55</f>
        <v>30</v>
      </c>
      <c r="G55" s="6">
        <f>'Monthly Data'!BC55</f>
        <v>0</v>
      </c>
      <c r="H55" s="6">
        <f>'Monthly Data'!AN55</f>
        <v>54</v>
      </c>
      <c r="I55" s="6">
        <f>'Monthly Data'!AJ55</f>
        <v>155.9</v>
      </c>
      <c r="K55" s="20">
        <f>'Res OLS model'!$B$5</f>
        <v>-17086566.711675301</v>
      </c>
      <c r="L55" s="20">
        <f>'Res OLS model'!$B$6*D55</f>
        <v>95070.064302257044</v>
      </c>
      <c r="M55" s="20">
        <f>'Res OLS model'!$B$7*E55</f>
        <v>7052657.1369319437</v>
      </c>
      <c r="N55" s="20">
        <f>'Res OLS model'!$B$8*F55</f>
        <v>24845129.641623631</v>
      </c>
      <c r="O55" s="20">
        <f>'Res OLS model'!$B$9*G55</f>
        <v>0</v>
      </c>
      <c r="P55" s="20">
        <f>'Res OLS model'!$B$10*H55</f>
        <v>-1111455.472972797</v>
      </c>
      <c r="Q55" s="20">
        <f>'Res OLS model'!$B$11*I55</f>
        <v>10198235.284312205</v>
      </c>
      <c r="R55" s="20">
        <f t="shared" si="3"/>
        <v>23993069.942521941</v>
      </c>
      <c r="S55" s="23">
        <f t="shared" ca="1" si="4"/>
        <v>1.0738275374047677E-2</v>
      </c>
    </row>
    <row r="56" spans="1:19" x14ac:dyDescent="0.3">
      <c r="A56" s="22">
        <f>'Monthly Data'!A56</f>
        <v>41456</v>
      </c>
      <c r="B56" s="6">
        <f t="shared" si="2"/>
        <v>2013</v>
      </c>
      <c r="C56" s="20">
        <f ca="1">'Monthly Data'!F56</f>
        <v>28992560.436643723</v>
      </c>
      <c r="D56" s="6">
        <f>'Monthly Data'!AG56</f>
        <v>1.5</v>
      </c>
      <c r="E56" s="6">
        <f>'Monthly Data'!AH56</f>
        <v>174.80000000000004</v>
      </c>
      <c r="F56" s="6">
        <f>'Monthly Data'!AL56</f>
        <v>31</v>
      </c>
      <c r="G56" s="6">
        <f>'Monthly Data'!BC56</f>
        <v>0</v>
      </c>
      <c r="H56" s="6">
        <f>'Monthly Data'!AN56</f>
        <v>55</v>
      </c>
      <c r="I56" s="6">
        <f>'Monthly Data'!AJ56</f>
        <v>156.6</v>
      </c>
      <c r="K56" s="20">
        <f>'Res OLS model'!$B$5</f>
        <v>-17086566.711675301</v>
      </c>
      <c r="L56" s="20">
        <f>'Res OLS model'!$B$6*D56</f>
        <v>9701.026969618064</v>
      </c>
      <c r="M56" s="20">
        <f>'Res OLS model'!$B$7*E56</f>
        <v>11911154.275707286</v>
      </c>
      <c r="N56" s="20">
        <f>'Res OLS model'!$B$8*F56</f>
        <v>25673300.62967775</v>
      </c>
      <c r="O56" s="20">
        <f>'Res OLS model'!$B$9*G56</f>
        <v>0</v>
      </c>
      <c r="P56" s="20">
        <f>'Res OLS model'!$B$10*H56</f>
        <v>-1132037.9817315524</v>
      </c>
      <c r="Q56" s="20">
        <f>'Res OLS model'!$B$11*I56</f>
        <v>10244025.94947589</v>
      </c>
      <c r="R56" s="20">
        <f t="shared" si="3"/>
        <v>29619577.188423693</v>
      </c>
      <c r="S56" s="23">
        <f t="shared" ca="1" si="4"/>
        <v>2.1626815373901324E-2</v>
      </c>
    </row>
    <row r="57" spans="1:19" x14ac:dyDescent="0.3">
      <c r="A57" s="22">
        <f>'Monthly Data'!A57</f>
        <v>41487</v>
      </c>
      <c r="B57" s="6">
        <f t="shared" si="2"/>
        <v>2013</v>
      </c>
      <c r="C57" s="20">
        <f ca="1">'Monthly Data'!F57</f>
        <v>26394506.736268964</v>
      </c>
      <c r="D57" s="6">
        <f>'Monthly Data'!AG57</f>
        <v>1.2</v>
      </c>
      <c r="E57" s="6">
        <f>'Monthly Data'!AH57</f>
        <v>134.29999999999998</v>
      </c>
      <c r="F57" s="6">
        <f>'Monthly Data'!AL57</f>
        <v>31</v>
      </c>
      <c r="G57" s="6">
        <f>'Monthly Data'!BC57</f>
        <v>0</v>
      </c>
      <c r="H57" s="6">
        <f>'Monthly Data'!AN57</f>
        <v>56</v>
      </c>
      <c r="I57" s="6">
        <f>'Monthly Data'!AJ57</f>
        <v>156.5</v>
      </c>
      <c r="K57" s="20">
        <f>'Res OLS model'!$B$5</f>
        <v>-17086566.711675301</v>
      </c>
      <c r="L57" s="20">
        <f>'Res OLS model'!$B$6*D57</f>
        <v>7760.821575694451</v>
      </c>
      <c r="M57" s="20">
        <f>'Res OLS model'!$B$7*E57</f>
        <v>9151418.8742991295</v>
      </c>
      <c r="N57" s="20">
        <f>'Res OLS model'!$B$8*F57</f>
        <v>25673300.62967775</v>
      </c>
      <c r="O57" s="20">
        <f>'Res OLS model'!$B$9*G57</f>
        <v>0</v>
      </c>
      <c r="P57" s="20">
        <f>'Res OLS model'!$B$10*H57</f>
        <v>-1152620.490490308</v>
      </c>
      <c r="Q57" s="20">
        <f>'Res OLS model'!$B$11*I57</f>
        <v>10237484.425881078</v>
      </c>
      <c r="R57" s="20">
        <f t="shared" si="3"/>
        <v>26830777.549268045</v>
      </c>
      <c r="S57" s="23">
        <f t="shared" ca="1" si="4"/>
        <v>1.6528848875951779E-2</v>
      </c>
    </row>
    <row r="58" spans="1:19" x14ac:dyDescent="0.3">
      <c r="A58" s="22">
        <f>'Monthly Data'!A58</f>
        <v>41518</v>
      </c>
      <c r="B58" s="6">
        <f t="shared" si="2"/>
        <v>2013</v>
      </c>
      <c r="C58" s="20">
        <f ca="1">'Monthly Data'!F58</f>
        <v>22082821.70344121</v>
      </c>
      <c r="D58" s="6">
        <f>'Monthly Data'!AG58</f>
        <v>41.2</v>
      </c>
      <c r="E58" s="6">
        <f>'Monthly Data'!AH58</f>
        <v>65.3</v>
      </c>
      <c r="F58" s="6">
        <f>'Monthly Data'!AL58</f>
        <v>30</v>
      </c>
      <c r="G58" s="6">
        <f>'Monthly Data'!BC58</f>
        <v>0</v>
      </c>
      <c r="H58" s="6">
        <f>'Monthly Data'!AN58</f>
        <v>57</v>
      </c>
      <c r="I58" s="6">
        <f>'Monthly Data'!AJ58</f>
        <v>154.6</v>
      </c>
      <c r="K58" s="20">
        <f>'Res OLS model'!$B$5</f>
        <v>-17086566.711675301</v>
      </c>
      <c r="L58" s="20">
        <f>'Res OLS model'!$B$6*D58</f>
        <v>266454.87409884285</v>
      </c>
      <c r="M58" s="20">
        <f>'Res OLS model'!$B$7*E58</f>
        <v>4449647.4496778352</v>
      </c>
      <c r="N58" s="20">
        <f>'Res OLS model'!$B$8*F58</f>
        <v>24845129.641623631</v>
      </c>
      <c r="O58" s="20">
        <f>'Res OLS model'!$B$9*G58</f>
        <v>0</v>
      </c>
      <c r="P58" s="20">
        <f>'Res OLS model'!$B$10*H58</f>
        <v>-1173202.9992490634</v>
      </c>
      <c r="Q58" s="20">
        <f>'Res OLS model'!$B$11*I58</f>
        <v>10113195.477579646</v>
      </c>
      <c r="R58" s="20">
        <f t="shared" si="3"/>
        <v>21414657.73205559</v>
      </c>
      <c r="S58" s="23">
        <f t="shared" ca="1" si="4"/>
        <v>3.025718272595115E-2</v>
      </c>
    </row>
    <row r="59" spans="1:19" x14ac:dyDescent="0.3">
      <c r="A59" s="22">
        <f>'Monthly Data'!A59</f>
        <v>41548</v>
      </c>
      <c r="B59" s="6">
        <f t="shared" si="2"/>
        <v>2013</v>
      </c>
      <c r="C59" s="20">
        <f ca="1">'Monthly Data'!F59</f>
        <v>17752714.709292348</v>
      </c>
      <c r="D59" s="6">
        <f>'Monthly Data'!AG59</f>
        <v>170.49999999999997</v>
      </c>
      <c r="E59" s="6">
        <f>'Monthly Data'!AH59</f>
        <v>19.899999999999999</v>
      </c>
      <c r="F59" s="6">
        <f>'Monthly Data'!AL59</f>
        <v>31</v>
      </c>
      <c r="G59" s="6">
        <f>'Monthly Data'!BC59</f>
        <v>1</v>
      </c>
      <c r="H59" s="6">
        <f>'Monthly Data'!AN59</f>
        <v>58</v>
      </c>
      <c r="I59" s="6">
        <f>'Monthly Data'!AJ59</f>
        <v>155.80000000000001</v>
      </c>
      <c r="K59" s="20">
        <f>'Res OLS model'!$B$5</f>
        <v>-17086566.711675301</v>
      </c>
      <c r="L59" s="20">
        <f>'Res OLS model'!$B$6*D59</f>
        <v>1102683.3988799199</v>
      </c>
      <c r="M59" s="20">
        <f>'Res OLS model'!$B$7*E59</f>
        <v>1356018.1355067214</v>
      </c>
      <c r="N59" s="20">
        <f>'Res OLS model'!$B$8*F59</f>
        <v>25673300.62967775</v>
      </c>
      <c r="O59" s="20">
        <f>'Res OLS model'!$B$9*G59</f>
        <v>-1891036.2259753</v>
      </c>
      <c r="P59" s="20">
        <f>'Res OLS model'!$B$10*H59</f>
        <v>-1193785.5080078188</v>
      </c>
      <c r="Q59" s="20">
        <f>'Res OLS model'!$B$11*I59</f>
        <v>10191693.760717394</v>
      </c>
      <c r="R59" s="20">
        <f t="shared" si="3"/>
        <v>18152307.479123365</v>
      </c>
      <c r="S59" s="23">
        <f t="shared" ca="1" si="4"/>
        <v>2.2508826192191148E-2</v>
      </c>
    </row>
    <row r="60" spans="1:19" x14ac:dyDescent="0.3">
      <c r="A60" s="22">
        <f>'Monthly Data'!A60</f>
        <v>41579</v>
      </c>
      <c r="B60" s="6">
        <f t="shared" si="2"/>
        <v>2013</v>
      </c>
      <c r="C60" s="20">
        <f ca="1">'Monthly Data'!F60</f>
        <v>18589259.601015333</v>
      </c>
      <c r="D60" s="6">
        <f>'Monthly Data'!AG60</f>
        <v>424.9</v>
      </c>
      <c r="E60" s="6">
        <f>'Monthly Data'!AH60</f>
        <v>0</v>
      </c>
      <c r="F60" s="6">
        <f>'Monthly Data'!AL60</f>
        <v>30</v>
      </c>
      <c r="G60" s="6">
        <f>'Monthly Data'!BC60</f>
        <v>1</v>
      </c>
      <c r="H60" s="6">
        <f>'Monthly Data'!AN60</f>
        <v>59</v>
      </c>
      <c r="I60" s="6">
        <f>'Monthly Data'!AJ60</f>
        <v>156.69999999999999</v>
      </c>
      <c r="K60" s="20">
        <f>'Res OLS model'!$B$5</f>
        <v>-17086566.711675301</v>
      </c>
      <c r="L60" s="20">
        <f>'Res OLS model'!$B$6*D60</f>
        <v>2747977.5729271434</v>
      </c>
      <c r="M60" s="20">
        <f>'Res OLS model'!$B$7*E60</f>
        <v>0</v>
      </c>
      <c r="N60" s="20">
        <f>'Res OLS model'!$B$8*F60</f>
        <v>24845129.641623631</v>
      </c>
      <c r="O60" s="20">
        <f>'Res OLS model'!$B$9*G60</f>
        <v>-1891036.2259753</v>
      </c>
      <c r="P60" s="20">
        <f>'Res OLS model'!$B$10*H60</f>
        <v>-1214368.0167665745</v>
      </c>
      <c r="Q60" s="20">
        <f>'Res OLS model'!$B$11*I60</f>
        <v>10250567.473070702</v>
      </c>
      <c r="R60" s="20">
        <f t="shared" si="3"/>
        <v>17651703.733204301</v>
      </c>
      <c r="S60" s="23">
        <f t="shared" ca="1" si="4"/>
        <v>5.0435352883006858E-2</v>
      </c>
    </row>
    <row r="61" spans="1:19" x14ac:dyDescent="0.3">
      <c r="A61" s="22">
        <f>'Monthly Data'!A61</f>
        <v>41609</v>
      </c>
      <c r="B61" s="6">
        <f t="shared" si="2"/>
        <v>2013</v>
      </c>
      <c r="C61" s="20">
        <f ca="1">'Monthly Data'!F61</f>
        <v>22190029.702539392</v>
      </c>
      <c r="D61" s="6">
        <f>'Monthly Data'!AG61</f>
        <v>614.30000000000007</v>
      </c>
      <c r="E61" s="6">
        <f>'Monthly Data'!AH61</f>
        <v>0</v>
      </c>
      <c r="F61" s="6">
        <f>'Monthly Data'!AL61</f>
        <v>31</v>
      </c>
      <c r="G61" s="6">
        <f>'Monthly Data'!BC61</f>
        <v>0</v>
      </c>
      <c r="H61" s="6">
        <f>'Monthly Data'!AN61</f>
        <v>60</v>
      </c>
      <c r="I61" s="6">
        <f>'Monthly Data'!AJ61</f>
        <v>159.19999999999999</v>
      </c>
      <c r="K61" s="20">
        <f>'Res OLS model'!$B$5</f>
        <v>-17086566.711675301</v>
      </c>
      <c r="L61" s="20">
        <f>'Res OLS model'!$B$6*D61</f>
        <v>3972893.9116242519</v>
      </c>
      <c r="M61" s="20">
        <f>'Res OLS model'!$B$7*E61</f>
        <v>0</v>
      </c>
      <c r="N61" s="20">
        <f>'Res OLS model'!$B$8*F61</f>
        <v>25673300.62967775</v>
      </c>
      <c r="O61" s="20">
        <f>'Res OLS model'!$B$9*G61</f>
        <v>0</v>
      </c>
      <c r="P61" s="20">
        <f>'Res OLS model'!$B$10*H61</f>
        <v>-1234950.5255253299</v>
      </c>
      <c r="Q61" s="20">
        <f>'Res OLS model'!$B$11*I61</f>
        <v>10414105.562941005</v>
      </c>
      <c r="R61" s="20">
        <f t="shared" si="3"/>
        <v>21738782.867042378</v>
      </c>
      <c r="S61" s="23">
        <f t="shared" ca="1" si="4"/>
        <v>2.033556698869016E-2</v>
      </c>
    </row>
    <row r="62" spans="1:19" x14ac:dyDescent="0.3">
      <c r="A62" s="22">
        <f>'Monthly Data'!A62</f>
        <v>41640</v>
      </c>
      <c r="B62" s="6">
        <f t="shared" si="2"/>
        <v>2014</v>
      </c>
      <c r="C62" s="20">
        <f ca="1">'Monthly Data'!F62</f>
        <v>22841547.431234065</v>
      </c>
      <c r="D62" s="6">
        <f>'Monthly Data'!AG62</f>
        <v>784.99999999999977</v>
      </c>
      <c r="E62" s="6">
        <f>'Monthly Data'!AH62</f>
        <v>0</v>
      </c>
      <c r="F62" s="6">
        <f>'Monthly Data'!AL62</f>
        <v>31</v>
      </c>
      <c r="G62" s="6">
        <f>'Monthly Data'!BC62</f>
        <v>0</v>
      </c>
      <c r="H62" s="6">
        <f>'Monthly Data'!AN62</f>
        <v>61</v>
      </c>
      <c r="I62" s="6">
        <f>'Monthly Data'!AJ62</f>
        <v>157.1</v>
      </c>
      <c r="K62" s="20">
        <f>'Res OLS model'!$B$5</f>
        <v>-17086566.711675301</v>
      </c>
      <c r="L62" s="20">
        <f>'Res OLS model'!$B$6*D62</f>
        <v>5076870.7807667851</v>
      </c>
      <c r="M62" s="20">
        <f>'Res OLS model'!$B$7*E62</f>
        <v>0</v>
      </c>
      <c r="N62" s="20">
        <f>'Res OLS model'!$B$8*F62</f>
        <v>25673300.62967775</v>
      </c>
      <c r="O62" s="20">
        <f>'Res OLS model'!$B$9*G62</f>
        <v>0</v>
      </c>
      <c r="P62" s="20">
        <f>'Res OLS model'!$B$10*H62</f>
        <v>-1255533.0342840855</v>
      </c>
      <c r="Q62" s="20">
        <f>'Res OLS model'!$B$11*I62</f>
        <v>10276733.56744995</v>
      </c>
      <c r="R62" s="20">
        <f t="shared" si="3"/>
        <v>22684805.231935099</v>
      </c>
      <c r="S62" s="23">
        <f t="shared" ca="1" si="4"/>
        <v>6.8621532657036069E-3</v>
      </c>
    </row>
    <row r="63" spans="1:19" x14ac:dyDescent="0.3">
      <c r="A63" s="22">
        <f>'Monthly Data'!A63</f>
        <v>41671</v>
      </c>
      <c r="B63" s="6">
        <f t="shared" si="2"/>
        <v>2014</v>
      </c>
      <c r="C63" s="20">
        <f ca="1">'Monthly Data'!F63</f>
        <v>19788010.013485562</v>
      </c>
      <c r="D63" s="6">
        <f>'Monthly Data'!AG63</f>
        <v>674.19999999999982</v>
      </c>
      <c r="E63" s="6">
        <f>'Monthly Data'!AH63</f>
        <v>0</v>
      </c>
      <c r="F63" s="6">
        <f>'Monthly Data'!AL63</f>
        <v>28</v>
      </c>
      <c r="G63" s="6">
        <f>'Monthly Data'!BC63</f>
        <v>0</v>
      </c>
      <c r="H63" s="6">
        <f>'Monthly Data'!AN63</f>
        <v>62</v>
      </c>
      <c r="I63" s="6">
        <f>'Monthly Data'!AJ63</f>
        <v>154.69999999999999</v>
      </c>
      <c r="K63" s="20">
        <f>'Res OLS model'!$B$5</f>
        <v>-17086566.711675301</v>
      </c>
      <c r="L63" s="20">
        <f>'Res OLS model'!$B$6*D63</f>
        <v>4360288.2552776644</v>
      </c>
      <c r="M63" s="20">
        <f>'Res OLS model'!$B$7*E63</f>
        <v>0</v>
      </c>
      <c r="N63" s="20">
        <f>'Res OLS model'!$B$8*F63</f>
        <v>23188787.665515389</v>
      </c>
      <c r="O63" s="20">
        <f>'Res OLS model'!$B$9*G63</f>
        <v>0</v>
      </c>
      <c r="P63" s="20">
        <f>'Res OLS model'!$B$10*H63</f>
        <v>-1276115.5430428409</v>
      </c>
      <c r="Q63" s="20">
        <f>'Res OLS model'!$B$11*I63</f>
        <v>10119737.001174457</v>
      </c>
      <c r="R63" s="20">
        <f t="shared" si="3"/>
        <v>19306130.667249367</v>
      </c>
      <c r="S63" s="23">
        <f t="shared" ca="1" si="4"/>
        <v>2.4352087244133888E-2</v>
      </c>
    </row>
    <row r="64" spans="1:19" x14ac:dyDescent="0.3">
      <c r="A64" s="22">
        <f>'Monthly Data'!A64</f>
        <v>41699</v>
      </c>
      <c r="B64" s="6">
        <f t="shared" si="2"/>
        <v>2014</v>
      </c>
      <c r="C64" s="20">
        <f ca="1">'Monthly Data'!F64</f>
        <v>19723646.263600551</v>
      </c>
      <c r="D64" s="6">
        <f>'Monthly Data'!AG64</f>
        <v>591.90000000000009</v>
      </c>
      <c r="E64" s="6">
        <f>'Monthly Data'!AH64</f>
        <v>0</v>
      </c>
      <c r="F64" s="6">
        <f>'Monthly Data'!AL64</f>
        <v>31</v>
      </c>
      <c r="G64" s="6">
        <f>'Monthly Data'!BC64</f>
        <v>1</v>
      </c>
      <c r="H64" s="6">
        <f>'Monthly Data'!AN64</f>
        <v>63</v>
      </c>
      <c r="I64" s="6">
        <f>'Monthly Data'!AJ64</f>
        <v>152.4</v>
      </c>
      <c r="K64" s="20">
        <f>'Res OLS model'!$B$5</f>
        <v>-17086566.711675301</v>
      </c>
      <c r="L64" s="20">
        <f>'Res OLS model'!$B$6*D64</f>
        <v>3828025.2422112888</v>
      </c>
      <c r="M64" s="20">
        <f>'Res OLS model'!$B$7*E64</f>
        <v>0</v>
      </c>
      <c r="N64" s="20">
        <f>'Res OLS model'!$B$8*F64</f>
        <v>25673300.62967775</v>
      </c>
      <c r="O64" s="20">
        <f>'Res OLS model'!$B$9*G64</f>
        <v>-1891036.2259753</v>
      </c>
      <c r="P64" s="20">
        <f>'Res OLS model'!$B$10*H64</f>
        <v>-1296698.0518015965</v>
      </c>
      <c r="Q64" s="20">
        <f>'Res OLS model'!$B$11*I64</f>
        <v>9969281.9584937785</v>
      </c>
      <c r="R64" s="20">
        <f t="shared" si="3"/>
        <v>19196306.840930622</v>
      </c>
      <c r="S64" s="23">
        <f t="shared" ca="1" si="4"/>
        <v>2.6736406424156926E-2</v>
      </c>
    </row>
    <row r="65" spans="1:19" x14ac:dyDescent="0.3">
      <c r="A65" s="22">
        <f>'Monthly Data'!A65</f>
        <v>41730</v>
      </c>
      <c r="B65" s="6">
        <f t="shared" si="2"/>
        <v>2014</v>
      </c>
      <c r="C65" s="20">
        <f ca="1">'Monthly Data'!F65</f>
        <v>16641111.8668398</v>
      </c>
      <c r="D65" s="6">
        <f>'Monthly Data'!AG65</f>
        <v>253.7</v>
      </c>
      <c r="E65" s="6">
        <f>'Monthly Data'!AH65</f>
        <v>0</v>
      </c>
      <c r="F65" s="6">
        <f>'Monthly Data'!AL65</f>
        <v>30</v>
      </c>
      <c r="G65" s="6">
        <f>'Monthly Data'!BC65</f>
        <v>1</v>
      </c>
      <c r="H65" s="6">
        <f>'Monthly Data'!AN65</f>
        <v>64</v>
      </c>
      <c r="I65" s="6">
        <f>'Monthly Data'!AJ65</f>
        <v>151.1</v>
      </c>
      <c r="K65" s="20">
        <f>'Res OLS model'!$B$5</f>
        <v>-17086566.711675301</v>
      </c>
      <c r="L65" s="20">
        <f>'Res OLS model'!$B$6*D65</f>
        <v>1640767.0281280687</v>
      </c>
      <c r="M65" s="20">
        <f>'Res OLS model'!$B$7*E65</f>
        <v>0</v>
      </c>
      <c r="N65" s="20">
        <f>'Res OLS model'!$B$8*F65</f>
        <v>24845129.641623631</v>
      </c>
      <c r="O65" s="20">
        <f>'Res OLS model'!$B$9*G65</f>
        <v>-1891036.2259753</v>
      </c>
      <c r="P65" s="20">
        <f>'Res OLS model'!$B$10*H65</f>
        <v>-1317280.5605603519</v>
      </c>
      <c r="Q65" s="20">
        <f>'Res OLS model'!$B$11*I65</f>
        <v>9884242.1517612189</v>
      </c>
      <c r="R65" s="20">
        <f t="shared" si="3"/>
        <v>16075255.323301965</v>
      </c>
      <c r="S65" s="23">
        <f t="shared" ca="1" si="4"/>
        <v>3.4003529816141582E-2</v>
      </c>
    </row>
    <row r="66" spans="1:19" x14ac:dyDescent="0.3">
      <c r="A66" s="22">
        <f>'Monthly Data'!A66</f>
        <v>41760</v>
      </c>
      <c r="B66" s="6">
        <f t="shared" si="2"/>
        <v>2014</v>
      </c>
      <c r="C66" s="20">
        <f ca="1">'Monthly Data'!F66</f>
        <v>17829710.566903893</v>
      </c>
      <c r="D66" s="6">
        <f>'Monthly Data'!AG66</f>
        <v>90.600000000000009</v>
      </c>
      <c r="E66" s="6">
        <f>'Monthly Data'!AH66</f>
        <v>36.4</v>
      </c>
      <c r="F66" s="6">
        <f>'Monthly Data'!AL66</f>
        <v>31</v>
      </c>
      <c r="G66" s="6">
        <f>'Monthly Data'!BC66</f>
        <v>1</v>
      </c>
      <c r="H66" s="6">
        <f>'Monthly Data'!AN66</f>
        <v>65</v>
      </c>
      <c r="I66" s="6">
        <f>'Monthly Data'!AJ66</f>
        <v>151.19999999999999</v>
      </c>
      <c r="K66" s="20">
        <f>'Res OLS model'!$B$5</f>
        <v>-17086566.711675301</v>
      </c>
      <c r="L66" s="20">
        <f>'Res OLS model'!$B$6*D66</f>
        <v>585942.02896493115</v>
      </c>
      <c r="M66" s="20">
        <f>'Res OLS model'!$B$7*E66</f>
        <v>2480354.7805248578</v>
      </c>
      <c r="N66" s="20">
        <f>'Res OLS model'!$B$8*F66</f>
        <v>25673300.62967775</v>
      </c>
      <c r="O66" s="20">
        <f>'Res OLS model'!$B$9*G66</f>
        <v>-1891036.2259753</v>
      </c>
      <c r="P66" s="20">
        <f>'Res OLS model'!$B$10*H66</f>
        <v>-1337863.0693191073</v>
      </c>
      <c r="Q66" s="20">
        <f>'Res OLS model'!$B$11*I66</f>
        <v>9890783.6753560305</v>
      </c>
      <c r="R66" s="20">
        <f t="shared" si="3"/>
        <v>18314915.107553862</v>
      </c>
      <c r="S66" s="23">
        <f t="shared" ref="S66:S97" ca="1" si="5">ABS(R66-C66)/C66</f>
        <v>2.7213259510259359E-2</v>
      </c>
    </row>
    <row r="67" spans="1:19" x14ac:dyDescent="0.3">
      <c r="A67" s="22">
        <f>'Monthly Data'!A67</f>
        <v>41791</v>
      </c>
      <c r="B67" s="6">
        <f t="shared" ref="B67:B97" si="6">YEAR(A67)</f>
        <v>2014</v>
      </c>
      <c r="C67" s="20">
        <f ca="1">'Monthly Data'!F67</f>
        <v>23632986.106066652</v>
      </c>
      <c r="D67" s="6">
        <f>'Monthly Data'!AG67</f>
        <v>2.4000000000000004</v>
      </c>
      <c r="E67" s="6">
        <f>'Monthly Data'!AH67</f>
        <v>123.29999999999997</v>
      </c>
      <c r="F67" s="6">
        <f>'Monthly Data'!AL67</f>
        <v>30</v>
      </c>
      <c r="G67" s="6">
        <f>'Monthly Data'!BC67</f>
        <v>0</v>
      </c>
      <c r="H67" s="6">
        <f>'Monthly Data'!AN67</f>
        <v>66</v>
      </c>
      <c r="I67" s="6">
        <f>'Monthly Data'!AJ67</f>
        <v>150.9</v>
      </c>
      <c r="K67" s="20">
        <f>'Res OLS model'!$B$5</f>
        <v>-17086566.711675301</v>
      </c>
      <c r="L67" s="20">
        <f>'Res OLS model'!$B$6*D67</f>
        <v>15521.643151388906</v>
      </c>
      <c r="M67" s="20">
        <f>'Res OLS model'!$B$7*E67</f>
        <v>8401861.1109537054</v>
      </c>
      <c r="N67" s="20">
        <f>'Res OLS model'!$B$8*F67</f>
        <v>24845129.641623631</v>
      </c>
      <c r="O67" s="20">
        <f>'Res OLS model'!$B$9*G67</f>
        <v>0</v>
      </c>
      <c r="P67" s="20">
        <f>'Res OLS model'!$B$10*H67</f>
        <v>-1358445.578077863</v>
      </c>
      <c r="Q67" s="20">
        <f>'Res OLS model'!$B$11*I67</f>
        <v>9871159.1045715958</v>
      </c>
      <c r="R67" s="20">
        <f t="shared" ref="R67:R97" si="7">SUM(K67:Q67)</f>
        <v>24688659.210547157</v>
      </c>
      <c r="S67" s="23">
        <f t="shared" ca="1" si="5"/>
        <v>4.4669475949529323E-2</v>
      </c>
    </row>
    <row r="68" spans="1:19" x14ac:dyDescent="0.3">
      <c r="A68" s="22">
        <f>'Monthly Data'!A68</f>
        <v>41821</v>
      </c>
      <c r="B68" s="6">
        <f t="shared" si="6"/>
        <v>2014</v>
      </c>
      <c r="C68" s="20">
        <f ca="1">'Monthly Data'!F68</f>
        <v>26634565.643123828</v>
      </c>
      <c r="D68" s="6">
        <f>'Monthly Data'!AG68</f>
        <v>0.7</v>
      </c>
      <c r="E68" s="6">
        <f>'Monthly Data'!AH68</f>
        <v>113.59999999999997</v>
      </c>
      <c r="F68" s="6">
        <f>'Monthly Data'!AL68</f>
        <v>31</v>
      </c>
      <c r="G68" s="6">
        <f>'Monthly Data'!BC68</f>
        <v>0</v>
      </c>
      <c r="H68" s="6">
        <f>'Monthly Data'!AN68</f>
        <v>67</v>
      </c>
      <c r="I68" s="6">
        <f>'Monthly Data'!AJ68</f>
        <v>153.6</v>
      </c>
      <c r="K68" s="20">
        <f>'Res OLS model'!$B$5</f>
        <v>-17086566.711675301</v>
      </c>
      <c r="L68" s="20">
        <f>'Res OLS model'!$B$6*D68</f>
        <v>4527.1459191550966</v>
      </c>
      <c r="M68" s="20">
        <f>'Res OLS model'!$B$7*E68</f>
        <v>7740887.4469127404</v>
      </c>
      <c r="N68" s="20">
        <f>'Res OLS model'!$B$8*F68</f>
        <v>25673300.62967775</v>
      </c>
      <c r="O68" s="20">
        <f>'Res OLS model'!$B$9*G68</f>
        <v>0</v>
      </c>
      <c r="P68" s="20">
        <f>'Res OLS model'!$B$10*H68</f>
        <v>-1379028.0868366184</v>
      </c>
      <c r="Q68" s="20">
        <f>'Res OLS model'!$B$11*I68</f>
        <v>10047780.241631525</v>
      </c>
      <c r="R68" s="20">
        <f t="shared" si="7"/>
        <v>25000900.665629253</v>
      </c>
      <c r="S68" s="23">
        <f t="shared" ca="1" si="5"/>
        <v>6.1336272548388034E-2</v>
      </c>
    </row>
    <row r="69" spans="1:19" x14ac:dyDescent="0.3">
      <c r="A69" s="22">
        <f>'Monthly Data'!A69</f>
        <v>41852</v>
      </c>
      <c r="B69" s="6">
        <f t="shared" si="6"/>
        <v>2014</v>
      </c>
      <c r="C69" s="20">
        <f ca="1">'Monthly Data'!F69</f>
        <v>26081906.981533043</v>
      </c>
      <c r="D69" s="6">
        <f>'Monthly Data'!AG69</f>
        <v>0.7</v>
      </c>
      <c r="E69" s="6">
        <f>'Monthly Data'!AH69</f>
        <v>130.19999999999996</v>
      </c>
      <c r="F69" s="6">
        <f>'Monthly Data'!AL69</f>
        <v>31</v>
      </c>
      <c r="G69" s="6">
        <f>'Monthly Data'!BC69</f>
        <v>0</v>
      </c>
      <c r="H69" s="6">
        <f>'Monthly Data'!AN69</f>
        <v>68</v>
      </c>
      <c r="I69" s="6">
        <f>'Monthly Data'!AJ69</f>
        <v>154.5</v>
      </c>
      <c r="K69" s="20">
        <f>'Res OLS model'!$B$5</f>
        <v>-17086566.711675301</v>
      </c>
      <c r="L69" s="20">
        <f>'Res OLS model'!$B$6*D69</f>
        <v>4527.1459191550966</v>
      </c>
      <c r="M69" s="20">
        <f>'Res OLS model'!$B$7*E69</f>
        <v>8872038.2534158342</v>
      </c>
      <c r="N69" s="20">
        <f>'Res OLS model'!$B$8*F69</f>
        <v>25673300.62967775</v>
      </c>
      <c r="O69" s="20">
        <f>'Res OLS model'!$B$9*G69</f>
        <v>0</v>
      </c>
      <c r="P69" s="20">
        <f>'Res OLS model'!$B$10*H69</f>
        <v>-1399610.595595374</v>
      </c>
      <c r="Q69" s="20">
        <f>'Res OLS model'!$B$11*I69</f>
        <v>10106653.953984834</v>
      </c>
      <c r="R69" s="20">
        <f t="shared" si="7"/>
        <v>26170342.675726898</v>
      </c>
      <c r="S69" s="23">
        <f t="shared" ca="1" si="5"/>
        <v>3.3906912656528785E-3</v>
      </c>
    </row>
    <row r="70" spans="1:19" x14ac:dyDescent="0.3">
      <c r="A70" s="22">
        <f>'Monthly Data'!A70</f>
        <v>41883</v>
      </c>
      <c r="B70" s="6">
        <f t="shared" si="6"/>
        <v>2014</v>
      </c>
      <c r="C70" s="20">
        <f ca="1">'Monthly Data'!F70</f>
        <v>20850948.143452179</v>
      </c>
      <c r="D70" s="6">
        <f>'Monthly Data'!AG70</f>
        <v>57.20000000000001</v>
      </c>
      <c r="E70" s="6">
        <f>'Monthly Data'!AH70</f>
        <v>50.499999999999979</v>
      </c>
      <c r="F70" s="6">
        <f>'Monthly Data'!AL70</f>
        <v>30</v>
      </c>
      <c r="G70" s="6">
        <f>'Monthly Data'!BC70</f>
        <v>0</v>
      </c>
      <c r="H70" s="6">
        <f>'Monthly Data'!AN70</f>
        <v>69</v>
      </c>
      <c r="I70" s="6">
        <f>'Monthly Data'!AJ70</f>
        <v>156.6</v>
      </c>
      <c r="K70" s="20">
        <f>'Res OLS model'!$B$5</f>
        <v>-17086566.711675301</v>
      </c>
      <c r="L70" s="20">
        <f>'Res OLS model'!$B$6*D70</f>
        <v>369932.49510810227</v>
      </c>
      <c r="M70" s="20">
        <f>'Res OLS model'!$B$7*E70</f>
        <v>3441151.5499039907</v>
      </c>
      <c r="N70" s="20">
        <f>'Res OLS model'!$B$8*F70</f>
        <v>24845129.641623631</v>
      </c>
      <c r="O70" s="20">
        <f>'Res OLS model'!$B$9*G70</f>
        <v>0</v>
      </c>
      <c r="P70" s="20">
        <f>'Res OLS model'!$B$10*H70</f>
        <v>-1420193.1043541294</v>
      </c>
      <c r="Q70" s="20">
        <f>'Res OLS model'!$B$11*I70</f>
        <v>10244025.94947589</v>
      </c>
      <c r="R70" s="20">
        <f t="shared" si="7"/>
        <v>20393479.82008218</v>
      </c>
      <c r="S70" s="23">
        <f t="shared" ca="1" si="5"/>
        <v>2.1939929072897206E-2</v>
      </c>
    </row>
    <row r="71" spans="1:19" x14ac:dyDescent="0.3">
      <c r="A71" s="22">
        <f>'Monthly Data'!A71</f>
        <v>41913</v>
      </c>
      <c r="B71" s="6">
        <f t="shared" si="6"/>
        <v>2014</v>
      </c>
      <c r="C71" s="20">
        <f ca="1">'Monthly Data'!F71</f>
        <v>16908660.489088871</v>
      </c>
      <c r="D71" s="6">
        <f>'Monthly Data'!AG71</f>
        <v>179.7</v>
      </c>
      <c r="E71" s="6">
        <f>'Monthly Data'!AH71</f>
        <v>3.9</v>
      </c>
      <c r="F71" s="6">
        <f>'Monthly Data'!AL71</f>
        <v>31</v>
      </c>
      <c r="G71" s="6">
        <f>'Monthly Data'!BC71</f>
        <v>1</v>
      </c>
      <c r="H71" s="6">
        <f>'Monthly Data'!AN71</f>
        <v>70</v>
      </c>
      <c r="I71" s="6">
        <f>'Monthly Data'!AJ71</f>
        <v>158.30000000000001</v>
      </c>
      <c r="K71" s="20">
        <f>'Res OLS model'!$B$5</f>
        <v>-17086566.711675301</v>
      </c>
      <c r="L71" s="20">
        <f>'Res OLS model'!$B$6*D71</f>
        <v>1162183.0309602441</v>
      </c>
      <c r="M71" s="20">
        <f>'Res OLS model'!$B$7*E71</f>
        <v>265752.29791337758</v>
      </c>
      <c r="N71" s="20">
        <f>'Res OLS model'!$B$8*F71</f>
        <v>25673300.62967775</v>
      </c>
      <c r="O71" s="20">
        <f>'Res OLS model'!$B$9*G71</f>
        <v>-1891036.2259753</v>
      </c>
      <c r="P71" s="20">
        <f>'Res OLS model'!$B$10*H71</f>
        <v>-1440775.613112885</v>
      </c>
      <c r="Q71" s="20">
        <f>'Res OLS model'!$B$11*I71</f>
        <v>10355231.850587698</v>
      </c>
      <c r="R71" s="20">
        <f t="shared" si="7"/>
        <v>17038089.258375585</v>
      </c>
      <c r="S71" s="23">
        <f t="shared" ca="1" si="5"/>
        <v>7.6545844285083762E-3</v>
      </c>
    </row>
    <row r="72" spans="1:19" x14ac:dyDescent="0.3">
      <c r="A72" s="22">
        <f>'Monthly Data'!A72</f>
        <v>41944</v>
      </c>
      <c r="B72" s="6">
        <f t="shared" si="6"/>
        <v>2014</v>
      </c>
      <c r="C72" s="20">
        <f ca="1">'Monthly Data'!F72</f>
        <v>18563212.718194302</v>
      </c>
      <c r="D72" s="6">
        <f>'Monthly Data'!AG72</f>
        <v>442</v>
      </c>
      <c r="E72" s="6">
        <f>'Monthly Data'!AH72</f>
        <v>0</v>
      </c>
      <c r="F72" s="6">
        <f>'Monthly Data'!AL72</f>
        <v>30</v>
      </c>
      <c r="G72" s="6">
        <f>'Monthly Data'!BC72</f>
        <v>1</v>
      </c>
      <c r="H72" s="6">
        <f>'Monthly Data'!AN72</f>
        <v>71</v>
      </c>
      <c r="I72" s="6">
        <f>'Monthly Data'!AJ72</f>
        <v>159.30000000000001</v>
      </c>
      <c r="K72" s="20">
        <f>'Res OLS model'!$B$5</f>
        <v>-17086566.711675301</v>
      </c>
      <c r="L72" s="20">
        <f>'Res OLS model'!$B$6*D72</f>
        <v>2858569.2803807897</v>
      </c>
      <c r="M72" s="20">
        <f>'Res OLS model'!$B$7*E72</f>
        <v>0</v>
      </c>
      <c r="N72" s="20">
        <f>'Res OLS model'!$B$8*F72</f>
        <v>24845129.641623631</v>
      </c>
      <c r="O72" s="20">
        <f>'Res OLS model'!$B$9*G72</f>
        <v>-1891036.2259753</v>
      </c>
      <c r="P72" s="20">
        <f>'Res OLS model'!$B$10*H72</f>
        <v>-1461358.1218716404</v>
      </c>
      <c r="Q72" s="20">
        <f>'Res OLS model'!$B$11*I72</f>
        <v>10420647.086535821</v>
      </c>
      <c r="R72" s="20">
        <f t="shared" si="7"/>
        <v>17685384.949018002</v>
      </c>
      <c r="S72" s="23">
        <f t="shared" ca="1" si="5"/>
        <v>4.7288569198795968E-2</v>
      </c>
    </row>
    <row r="73" spans="1:19" x14ac:dyDescent="0.3">
      <c r="A73" s="22">
        <f>'Monthly Data'!A73</f>
        <v>41974</v>
      </c>
      <c r="B73" s="6">
        <f t="shared" si="6"/>
        <v>2014</v>
      </c>
      <c r="C73" s="20">
        <f ca="1">'Monthly Data'!F73</f>
        <v>20971941.927321982</v>
      </c>
      <c r="D73" s="6">
        <f>'Monthly Data'!AG73</f>
        <v>513.9</v>
      </c>
      <c r="E73" s="6">
        <f>'Monthly Data'!AH73</f>
        <v>0</v>
      </c>
      <c r="F73" s="6">
        <f>'Monthly Data'!AL73</f>
        <v>31</v>
      </c>
      <c r="G73" s="6">
        <f>'Monthly Data'!BC73</f>
        <v>0</v>
      </c>
      <c r="H73" s="6">
        <f>'Monthly Data'!AN73</f>
        <v>72</v>
      </c>
      <c r="I73" s="6">
        <f>'Monthly Data'!AJ73</f>
        <v>161.1</v>
      </c>
      <c r="K73" s="20">
        <f>'Res OLS model'!$B$5</f>
        <v>-17086566.711675301</v>
      </c>
      <c r="L73" s="20">
        <f>'Res OLS model'!$B$6*D73</f>
        <v>3323571.8397911489</v>
      </c>
      <c r="M73" s="20">
        <f>'Res OLS model'!$B$7*E73</f>
        <v>0</v>
      </c>
      <c r="N73" s="20">
        <f>'Res OLS model'!$B$8*F73</f>
        <v>25673300.62967775</v>
      </c>
      <c r="O73" s="20">
        <f>'Res OLS model'!$B$9*G73</f>
        <v>0</v>
      </c>
      <c r="P73" s="20">
        <f>'Res OLS model'!$B$10*H73</f>
        <v>-1481940.6306303958</v>
      </c>
      <c r="Q73" s="20">
        <f>'Res OLS model'!$B$11*I73</f>
        <v>10538394.511242438</v>
      </c>
      <c r="R73" s="20">
        <f t="shared" si="7"/>
        <v>20966759.63840564</v>
      </c>
      <c r="S73" s="23">
        <f t="shared" ca="1" si="5"/>
        <v>2.4710582044815507E-4</v>
      </c>
    </row>
    <row r="74" spans="1:19" x14ac:dyDescent="0.3">
      <c r="A74" s="22">
        <f>'Monthly Data'!A74</f>
        <v>42005</v>
      </c>
      <c r="B74" s="6">
        <f t="shared" si="6"/>
        <v>2015</v>
      </c>
      <c r="C74" s="20">
        <f ca="1">'Monthly Data'!F74</f>
        <v>21646168.134603012</v>
      </c>
      <c r="D74" s="6">
        <f>'Monthly Data'!AG74</f>
        <v>724.69999999999982</v>
      </c>
      <c r="E74" s="6">
        <f>'Monthly Data'!AH74</f>
        <v>0</v>
      </c>
      <c r="F74" s="6">
        <f>'Monthly Data'!AL74</f>
        <v>31</v>
      </c>
      <c r="G74" s="6">
        <f>'Monthly Data'!BC74</f>
        <v>0</v>
      </c>
      <c r="H74" s="6">
        <f>'Monthly Data'!AN74</f>
        <v>73</v>
      </c>
      <c r="I74" s="6">
        <f>'Monthly Data'!AJ74</f>
        <v>159.30000000000001</v>
      </c>
      <c r="K74" s="20">
        <f>'Res OLS model'!$B$5</f>
        <v>-17086566.711675301</v>
      </c>
      <c r="L74" s="20">
        <f>'Res OLS model'!$B$6*D74</f>
        <v>4686889.4965881398</v>
      </c>
      <c r="M74" s="20">
        <f>'Res OLS model'!$B$7*E74</f>
        <v>0</v>
      </c>
      <c r="N74" s="20">
        <f>'Res OLS model'!$B$8*F74</f>
        <v>25673300.62967775</v>
      </c>
      <c r="O74" s="20">
        <f>'Res OLS model'!$B$9*G74</f>
        <v>0</v>
      </c>
      <c r="P74" s="20">
        <f>'Res OLS model'!$B$10*H74</f>
        <v>-1502523.1393891515</v>
      </c>
      <c r="Q74" s="20">
        <f>'Res OLS model'!$B$11*I74</f>
        <v>10420647.086535821</v>
      </c>
      <c r="R74" s="20">
        <f t="shared" si="7"/>
        <v>22191747.361737259</v>
      </c>
      <c r="S74" s="23">
        <f t="shared" ca="1" si="5"/>
        <v>2.5204425270175062E-2</v>
      </c>
    </row>
    <row r="75" spans="1:19" x14ac:dyDescent="0.3">
      <c r="A75" s="22">
        <f>'Monthly Data'!A75</f>
        <v>42036</v>
      </c>
      <c r="B75" s="6">
        <f t="shared" si="6"/>
        <v>2015</v>
      </c>
      <c r="C75" s="20">
        <f ca="1">'Monthly Data'!F75</f>
        <v>19482862.077997562</v>
      </c>
      <c r="D75" s="6">
        <f>'Monthly Data'!AG75</f>
        <v>757.39999999999986</v>
      </c>
      <c r="E75" s="6">
        <f>'Monthly Data'!AH75</f>
        <v>0</v>
      </c>
      <c r="F75" s="6">
        <f>'Monthly Data'!AL75</f>
        <v>28</v>
      </c>
      <c r="G75" s="6">
        <f>'Monthly Data'!BC75</f>
        <v>0</v>
      </c>
      <c r="H75" s="6">
        <f>'Monthly Data'!AN75</f>
        <v>74</v>
      </c>
      <c r="I75" s="6">
        <f>'Monthly Data'!AJ75</f>
        <v>159.1</v>
      </c>
      <c r="K75" s="20">
        <f>'Res OLS model'!$B$5</f>
        <v>-17086566.711675301</v>
      </c>
      <c r="L75" s="20">
        <f>'Res OLS model'!$B$6*D75</f>
        <v>4898371.8845258141</v>
      </c>
      <c r="M75" s="20">
        <f>'Res OLS model'!$B$7*E75</f>
        <v>0</v>
      </c>
      <c r="N75" s="20">
        <f>'Res OLS model'!$B$8*F75</f>
        <v>23188787.665515389</v>
      </c>
      <c r="O75" s="20">
        <f>'Res OLS model'!$B$9*G75</f>
        <v>0</v>
      </c>
      <c r="P75" s="20">
        <f>'Res OLS model'!$B$10*H75</f>
        <v>-1523105.6481479069</v>
      </c>
      <c r="Q75" s="20">
        <f>'Res OLS model'!$B$11*I75</f>
        <v>10407564.039346194</v>
      </c>
      <c r="R75" s="20">
        <f t="shared" si="7"/>
        <v>19885051.22956419</v>
      </c>
      <c r="S75" s="23">
        <f t="shared" ca="1" si="5"/>
        <v>2.0643227363439057E-2</v>
      </c>
    </row>
    <row r="76" spans="1:19" x14ac:dyDescent="0.3">
      <c r="A76" s="22">
        <f>'Monthly Data'!A76</f>
        <v>42064</v>
      </c>
      <c r="B76" s="6">
        <f t="shared" si="6"/>
        <v>2015</v>
      </c>
      <c r="C76" s="20">
        <f ca="1">'Monthly Data'!F76</f>
        <v>18970038.636144333</v>
      </c>
      <c r="D76" s="6">
        <f>'Monthly Data'!AG76</f>
        <v>508.7</v>
      </c>
      <c r="E76" s="6">
        <f>'Monthly Data'!AH76</f>
        <v>0</v>
      </c>
      <c r="F76" s="6">
        <f>'Monthly Data'!AL76</f>
        <v>31</v>
      </c>
      <c r="G76" s="6">
        <f>'Monthly Data'!BC76</f>
        <v>1</v>
      </c>
      <c r="H76" s="6">
        <f>'Monthly Data'!AN76</f>
        <v>75</v>
      </c>
      <c r="I76" s="6">
        <f>'Monthly Data'!AJ76</f>
        <v>156.1</v>
      </c>
      <c r="K76" s="20">
        <f>'Res OLS model'!$B$5</f>
        <v>-17086566.711675301</v>
      </c>
      <c r="L76" s="20">
        <f>'Res OLS model'!$B$6*D76</f>
        <v>3289941.6129631395</v>
      </c>
      <c r="M76" s="20">
        <f>'Res OLS model'!$B$7*E76</f>
        <v>0</v>
      </c>
      <c r="N76" s="20">
        <f>'Res OLS model'!$B$8*F76</f>
        <v>25673300.62967775</v>
      </c>
      <c r="O76" s="20">
        <f>'Res OLS model'!$B$9*G76</f>
        <v>-1891036.2259753</v>
      </c>
      <c r="P76" s="20">
        <f>'Res OLS model'!$B$10*H76</f>
        <v>-1543688.1569066625</v>
      </c>
      <c r="Q76" s="20">
        <f>'Res OLS model'!$B$11*I76</f>
        <v>10211318.331501829</v>
      </c>
      <c r="R76" s="20">
        <f t="shared" si="7"/>
        <v>18653269.479585454</v>
      </c>
      <c r="S76" s="23">
        <f t="shared" ca="1" si="5"/>
        <v>1.6698392799017629E-2</v>
      </c>
    </row>
    <row r="77" spans="1:19" x14ac:dyDescent="0.3">
      <c r="A77" s="22">
        <f>'Monthly Data'!A77</f>
        <v>42095</v>
      </c>
      <c r="B77" s="6">
        <f t="shared" si="6"/>
        <v>2015</v>
      </c>
      <c r="C77" s="20">
        <f ca="1">'Monthly Data'!F77</f>
        <v>16361265.905337434</v>
      </c>
      <c r="D77" s="6">
        <f>'Monthly Data'!AG77</f>
        <v>257.39999999999992</v>
      </c>
      <c r="E77" s="6">
        <f>'Monthly Data'!AH77</f>
        <v>0</v>
      </c>
      <c r="F77" s="6">
        <f>'Monthly Data'!AL77</f>
        <v>30</v>
      </c>
      <c r="G77" s="6">
        <f>'Monthly Data'!BC77</f>
        <v>1</v>
      </c>
      <c r="H77" s="6">
        <f>'Monthly Data'!AN77</f>
        <v>76</v>
      </c>
      <c r="I77" s="6">
        <f>'Monthly Data'!AJ77</f>
        <v>156.4</v>
      </c>
      <c r="K77" s="20">
        <f>'Res OLS model'!$B$5</f>
        <v>-17086566.711675301</v>
      </c>
      <c r="L77" s="20">
        <f>'Res OLS model'!$B$6*D77</f>
        <v>1664696.2279864594</v>
      </c>
      <c r="M77" s="20">
        <f>'Res OLS model'!$B$7*E77</f>
        <v>0</v>
      </c>
      <c r="N77" s="20">
        <f>'Res OLS model'!$B$8*F77</f>
        <v>24845129.641623631</v>
      </c>
      <c r="O77" s="20">
        <f>'Res OLS model'!$B$9*G77</f>
        <v>-1891036.2259753</v>
      </c>
      <c r="P77" s="20">
        <f>'Res OLS model'!$B$10*H77</f>
        <v>-1564270.6656654179</v>
      </c>
      <c r="Q77" s="20">
        <f>'Res OLS model'!$B$11*I77</f>
        <v>10230942.902286265</v>
      </c>
      <c r="R77" s="20">
        <f t="shared" si="7"/>
        <v>16198895.168580335</v>
      </c>
      <c r="S77" s="23">
        <f t="shared" ca="1" si="5"/>
        <v>9.9240937526802516E-3</v>
      </c>
    </row>
    <row r="78" spans="1:19" x14ac:dyDescent="0.3">
      <c r="A78" s="22">
        <f>'Monthly Data'!A78</f>
        <v>42125</v>
      </c>
      <c r="B78" s="6">
        <f t="shared" si="6"/>
        <v>2015</v>
      </c>
      <c r="C78" s="20">
        <f ca="1">'Monthly Data'!F78</f>
        <v>18647936.595492445</v>
      </c>
      <c r="D78" s="6">
        <f>'Monthly Data'!AG78</f>
        <v>68.7</v>
      </c>
      <c r="E78" s="6">
        <f>'Monthly Data'!AH78</f>
        <v>64.099999999999994</v>
      </c>
      <c r="F78" s="6">
        <f>'Monthly Data'!AL78</f>
        <v>31</v>
      </c>
      <c r="G78" s="6">
        <f>'Monthly Data'!BC78</f>
        <v>1</v>
      </c>
      <c r="H78" s="6">
        <f>'Monthly Data'!AN78</f>
        <v>77</v>
      </c>
      <c r="I78" s="6">
        <f>'Monthly Data'!AJ78</f>
        <v>159.1</v>
      </c>
      <c r="K78" s="20">
        <f>'Res OLS model'!$B$5</f>
        <v>-17086566.711675301</v>
      </c>
      <c r="L78" s="20">
        <f>'Res OLS model'!$B$6*D78</f>
        <v>444307.03520850738</v>
      </c>
      <c r="M78" s="20">
        <f>'Res OLS model'!$B$7*E78</f>
        <v>4367877.5118583338</v>
      </c>
      <c r="N78" s="20">
        <f>'Res OLS model'!$B$8*F78</f>
        <v>25673300.62967775</v>
      </c>
      <c r="O78" s="20">
        <f>'Res OLS model'!$B$9*G78</f>
        <v>-1891036.2259753</v>
      </c>
      <c r="P78" s="20">
        <f>'Res OLS model'!$B$10*H78</f>
        <v>-1584853.1744241733</v>
      </c>
      <c r="Q78" s="20">
        <f>'Res OLS model'!$B$11*I78</f>
        <v>10407564.039346194</v>
      </c>
      <c r="R78" s="20">
        <f t="shared" si="7"/>
        <v>20330593.104016013</v>
      </c>
      <c r="S78" s="23">
        <f t="shared" ca="1" si="5"/>
        <v>9.0232852300146604E-2</v>
      </c>
    </row>
    <row r="79" spans="1:19" x14ac:dyDescent="0.3">
      <c r="A79" s="22">
        <f>'Monthly Data'!A79</f>
        <v>42156</v>
      </c>
      <c r="B79" s="6">
        <f t="shared" si="6"/>
        <v>2015</v>
      </c>
      <c r="C79" s="20">
        <f ca="1">'Monthly Data'!F79</f>
        <v>22179310.772238649</v>
      </c>
      <c r="D79" s="6">
        <f>'Monthly Data'!AG79</f>
        <v>13.1</v>
      </c>
      <c r="E79" s="6">
        <f>'Monthly Data'!AH79</f>
        <v>89.59999999999998</v>
      </c>
      <c r="F79" s="6">
        <f>'Monthly Data'!AL79</f>
        <v>30</v>
      </c>
      <c r="G79" s="6">
        <f>'Monthly Data'!BC79</f>
        <v>0</v>
      </c>
      <c r="H79" s="6">
        <f>'Monthly Data'!AN79</f>
        <v>78</v>
      </c>
      <c r="I79" s="6">
        <f>'Monthly Data'!AJ79</f>
        <v>163.9</v>
      </c>
      <c r="K79" s="20">
        <f>'Res OLS model'!$B$5</f>
        <v>-17086566.711675301</v>
      </c>
      <c r="L79" s="20">
        <f>'Res OLS model'!$B$6*D79</f>
        <v>84722.302201331098</v>
      </c>
      <c r="M79" s="20">
        <f>'Res OLS model'!$B$7*E79</f>
        <v>6105488.6905227257</v>
      </c>
      <c r="N79" s="20">
        <f>'Res OLS model'!$B$8*F79</f>
        <v>24845129.641623631</v>
      </c>
      <c r="O79" s="20">
        <f>'Res OLS model'!$B$9*G79</f>
        <v>0</v>
      </c>
      <c r="P79" s="20">
        <f>'Res OLS model'!$B$10*H79</f>
        <v>-1605435.6831829289</v>
      </c>
      <c r="Q79" s="20">
        <f>'Res OLS model'!$B$11*I79</f>
        <v>10721557.17189718</v>
      </c>
      <c r="R79" s="20">
        <f t="shared" si="7"/>
        <v>23064895.411386639</v>
      </c>
      <c r="S79" s="23">
        <f t="shared" ca="1" si="5"/>
        <v>3.9928411132435011E-2</v>
      </c>
    </row>
    <row r="80" spans="1:19" x14ac:dyDescent="0.3">
      <c r="A80" s="22">
        <f>'Monthly Data'!A80</f>
        <v>42186</v>
      </c>
      <c r="B80" s="6">
        <f t="shared" si="6"/>
        <v>2015</v>
      </c>
      <c r="C80" s="20">
        <f ca="1">'Monthly Data'!F80</f>
        <v>27989233.864478592</v>
      </c>
      <c r="D80" s="6">
        <f>'Monthly Data'!AG80</f>
        <v>1.9</v>
      </c>
      <c r="E80" s="6">
        <f>'Monthly Data'!AH80</f>
        <v>152.89999999999998</v>
      </c>
      <c r="F80" s="6">
        <f>'Monthly Data'!AL80</f>
        <v>31</v>
      </c>
      <c r="G80" s="6">
        <f>'Monthly Data'!BC80</f>
        <v>0</v>
      </c>
      <c r="H80" s="6">
        <f>'Monthly Data'!AN80</f>
        <v>79</v>
      </c>
      <c r="I80" s="6">
        <f>'Monthly Data'!AJ80</f>
        <v>164.8</v>
      </c>
      <c r="K80" s="20">
        <f>'Res OLS model'!$B$5</f>
        <v>-17086566.711675301</v>
      </c>
      <c r="L80" s="20">
        <f>'Res OLS model'!$B$6*D80</f>
        <v>12287.967494849549</v>
      </c>
      <c r="M80" s="20">
        <f>'Res OLS model'!$B$7*E80</f>
        <v>10418852.910501393</v>
      </c>
      <c r="N80" s="20">
        <f>'Res OLS model'!$B$8*F80</f>
        <v>25673300.62967775</v>
      </c>
      <c r="O80" s="20">
        <f>'Res OLS model'!$B$9*G80</f>
        <v>0</v>
      </c>
      <c r="P80" s="20">
        <f>'Res OLS model'!$B$10*H80</f>
        <v>-1626018.1919416843</v>
      </c>
      <c r="Q80" s="20">
        <f>'Res OLS model'!$B$11*I80</f>
        <v>10780430.88425049</v>
      </c>
      <c r="R80" s="20">
        <f t="shared" si="7"/>
        <v>28172287.488307498</v>
      </c>
      <c r="S80" s="23">
        <f t="shared" ca="1" si="5"/>
        <v>6.5401441395372276E-3</v>
      </c>
    </row>
    <row r="81" spans="1:19" x14ac:dyDescent="0.3">
      <c r="A81" s="22">
        <f>'Monthly Data'!A81</f>
        <v>42217</v>
      </c>
      <c r="B81" s="6">
        <f t="shared" si="6"/>
        <v>2015</v>
      </c>
      <c r="C81" s="20">
        <f ca="1">'Monthly Data'!F81</f>
        <v>28699787.081477717</v>
      </c>
      <c r="D81" s="6">
        <f>'Monthly Data'!AG81</f>
        <v>3.2</v>
      </c>
      <c r="E81" s="6">
        <f>'Monthly Data'!AH81</f>
        <v>138.69999999999999</v>
      </c>
      <c r="F81" s="6">
        <f>'Monthly Data'!AL81</f>
        <v>31</v>
      </c>
      <c r="G81" s="6">
        <f>'Monthly Data'!BC81</f>
        <v>0</v>
      </c>
      <c r="H81" s="6">
        <f>'Monthly Data'!AN81</f>
        <v>80</v>
      </c>
      <c r="I81" s="6">
        <f>'Monthly Data'!AJ81</f>
        <v>160.80000000000001</v>
      </c>
      <c r="K81" s="20">
        <f>'Res OLS model'!$B$5</f>
        <v>-17086566.711675301</v>
      </c>
      <c r="L81" s="20">
        <f>'Res OLS model'!$B$6*D81</f>
        <v>20695.524201851873</v>
      </c>
      <c r="M81" s="20">
        <f>'Res OLS model'!$B$7*E81</f>
        <v>9451241.9796373006</v>
      </c>
      <c r="N81" s="20">
        <f>'Res OLS model'!$B$8*F81</f>
        <v>25673300.62967775</v>
      </c>
      <c r="O81" s="20">
        <f>'Res OLS model'!$B$9*G81</f>
        <v>0</v>
      </c>
      <c r="P81" s="20">
        <f>'Res OLS model'!$B$10*H81</f>
        <v>-1646600.70070044</v>
      </c>
      <c r="Q81" s="20">
        <f>'Res OLS model'!$B$11*I81</f>
        <v>10518769.940458003</v>
      </c>
      <c r="R81" s="20">
        <f t="shared" si="7"/>
        <v>26930840.661599163</v>
      </c>
      <c r="S81" s="23">
        <f t="shared" ca="1" si="5"/>
        <v>6.1636221023402542E-2</v>
      </c>
    </row>
    <row r="82" spans="1:19" x14ac:dyDescent="0.3">
      <c r="A82" s="22">
        <f>'Monthly Data'!A82</f>
        <v>42248</v>
      </c>
      <c r="B82" s="6">
        <f t="shared" si="6"/>
        <v>2015</v>
      </c>
      <c r="C82" s="20">
        <f ca="1">'Monthly Data'!F82</f>
        <v>22811633.841654569</v>
      </c>
      <c r="D82" s="6">
        <f>'Monthly Data'!AG82</f>
        <v>10.8</v>
      </c>
      <c r="E82" s="6">
        <f>'Monthly Data'!AH82</f>
        <v>109.19999999999997</v>
      </c>
      <c r="F82" s="6">
        <f>'Monthly Data'!AL82</f>
        <v>30</v>
      </c>
      <c r="G82" s="6">
        <f>'Monthly Data'!BC82</f>
        <v>0</v>
      </c>
      <c r="H82" s="6">
        <f>'Monthly Data'!AN82</f>
        <v>81</v>
      </c>
      <c r="I82" s="6">
        <f>'Monthly Data'!AJ82</f>
        <v>156.69999999999999</v>
      </c>
      <c r="K82" s="20">
        <f>'Res OLS model'!$B$5</f>
        <v>-17086566.711675301</v>
      </c>
      <c r="L82" s="20">
        <f>'Res OLS model'!$B$6*D82</f>
        <v>69847.394181250071</v>
      </c>
      <c r="M82" s="20">
        <f>'Res OLS model'!$B$7*E82</f>
        <v>7441064.3415745711</v>
      </c>
      <c r="N82" s="20">
        <f>'Res OLS model'!$B$8*F82</f>
        <v>24845129.641623631</v>
      </c>
      <c r="O82" s="20">
        <f>'Res OLS model'!$B$9*G82</f>
        <v>0</v>
      </c>
      <c r="P82" s="20">
        <f>'Res OLS model'!$B$10*H82</f>
        <v>-1667183.2094591954</v>
      </c>
      <c r="Q82" s="20">
        <f>'Res OLS model'!$B$11*I82</f>
        <v>10250567.473070702</v>
      </c>
      <c r="R82" s="20">
        <f t="shared" si="7"/>
        <v>23852858.92931566</v>
      </c>
      <c r="S82" s="23">
        <f t="shared" ca="1" si="5"/>
        <v>4.5644476624896117E-2</v>
      </c>
    </row>
    <row r="83" spans="1:19" x14ac:dyDescent="0.3">
      <c r="A83" s="22">
        <f>'Monthly Data'!A83</f>
        <v>42278</v>
      </c>
      <c r="B83" s="6">
        <f t="shared" si="6"/>
        <v>2015</v>
      </c>
      <c r="C83" s="20">
        <f ca="1">'Monthly Data'!F83</f>
        <v>17310829.765864406</v>
      </c>
      <c r="D83" s="6">
        <f>'Monthly Data'!AG83</f>
        <v>157.80000000000001</v>
      </c>
      <c r="E83" s="6">
        <f>'Monthly Data'!AH83</f>
        <v>2.6</v>
      </c>
      <c r="F83" s="6">
        <f>'Monthly Data'!AL83</f>
        <v>31</v>
      </c>
      <c r="G83" s="6">
        <f>'Monthly Data'!BC83</f>
        <v>1</v>
      </c>
      <c r="H83" s="6">
        <f>'Monthly Data'!AN83</f>
        <v>82</v>
      </c>
      <c r="I83" s="6">
        <f>'Monthly Data'!AJ83</f>
        <v>155.1</v>
      </c>
      <c r="K83" s="20">
        <f>'Res OLS model'!$B$5</f>
        <v>-17086566.711675301</v>
      </c>
      <c r="L83" s="20">
        <f>'Res OLS model'!$B$6*D83</f>
        <v>1020548.0372038204</v>
      </c>
      <c r="M83" s="20">
        <f>'Res OLS model'!$B$7*E83</f>
        <v>177168.19860891841</v>
      </c>
      <c r="N83" s="20">
        <f>'Res OLS model'!$B$8*F83</f>
        <v>25673300.62967775</v>
      </c>
      <c r="O83" s="20">
        <f>'Res OLS model'!$B$9*G83</f>
        <v>-1891036.2259753</v>
      </c>
      <c r="P83" s="20">
        <f>'Res OLS model'!$B$10*H83</f>
        <v>-1687765.718217951</v>
      </c>
      <c r="Q83" s="20">
        <f>'Res OLS model'!$B$11*I83</f>
        <v>10145903.095553707</v>
      </c>
      <c r="R83" s="20">
        <f t="shared" si="7"/>
        <v>16351551.305175643</v>
      </c>
      <c r="S83" s="23">
        <f t="shared" ca="1" si="5"/>
        <v>5.5414932366811442E-2</v>
      </c>
    </row>
    <row r="84" spans="1:19" x14ac:dyDescent="0.3">
      <c r="A84" s="22">
        <f>'Monthly Data'!A84</f>
        <v>42309</v>
      </c>
      <c r="B84" s="6">
        <f t="shared" si="6"/>
        <v>2015</v>
      </c>
      <c r="C84" s="20">
        <f ca="1">'Monthly Data'!F84</f>
        <v>17013143.543729268</v>
      </c>
      <c r="D84" s="6">
        <f>'Monthly Data'!AG84</f>
        <v>286.60000000000002</v>
      </c>
      <c r="E84" s="6">
        <f>'Monthly Data'!AH84</f>
        <v>0.5</v>
      </c>
      <c r="F84" s="6">
        <f>'Monthly Data'!AL84</f>
        <v>30</v>
      </c>
      <c r="G84" s="6">
        <f>'Monthly Data'!BC84</f>
        <v>1</v>
      </c>
      <c r="H84" s="6">
        <f>'Monthly Data'!AN84</f>
        <v>83</v>
      </c>
      <c r="I84" s="6">
        <f>'Monthly Data'!AJ84</f>
        <v>155.19999999999999</v>
      </c>
      <c r="K84" s="20">
        <f>'Res OLS model'!$B$5</f>
        <v>-17086566.711675301</v>
      </c>
      <c r="L84" s="20">
        <f>'Res OLS model'!$B$6*D84</f>
        <v>1853542.8863283584</v>
      </c>
      <c r="M84" s="20">
        <f>'Res OLS model'!$B$7*E84</f>
        <v>34070.807424792001</v>
      </c>
      <c r="N84" s="20">
        <f>'Res OLS model'!$B$8*F84</f>
        <v>24845129.641623631</v>
      </c>
      <c r="O84" s="20">
        <f>'Res OLS model'!$B$9*G84</f>
        <v>-1891036.2259753</v>
      </c>
      <c r="P84" s="20">
        <f>'Res OLS model'!$B$10*H84</f>
        <v>-1708348.2269767064</v>
      </c>
      <c r="Q84" s="20">
        <f>'Res OLS model'!$B$11*I84</f>
        <v>10152444.619148519</v>
      </c>
      <c r="R84" s="20">
        <f t="shared" si="7"/>
        <v>16199236.789897991</v>
      </c>
      <c r="S84" s="23">
        <f t="shared" ca="1" si="5"/>
        <v>4.7839880486476451E-2</v>
      </c>
    </row>
    <row r="85" spans="1:19" x14ac:dyDescent="0.3">
      <c r="A85" s="22">
        <f>'Monthly Data'!A85</f>
        <v>42339</v>
      </c>
      <c r="B85" s="6">
        <f t="shared" si="6"/>
        <v>2015</v>
      </c>
      <c r="C85" s="20">
        <f ca="1">'Monthly Data'!F85</f>
        <v>19660216.432087231</v>
      </c>
      <c r="D85" s="6">
        <f>'Monthly Data'!AG85</f>
        <v>392.2</v>
      </c>
      <c r="E85" s="6">
        <f>'Monthly Data'!AH85</f>
        <v>0</v>
      </c>
      <c r="F85" s="6">
        <f>'Monthly Data'!AL85</f>
        <v>31</v>
      </c>
      <c r="G85" s="6">
        <f>'Monthly Data'!BC85</f>
        <v>0</v>
      </c>
      <c r="H85" s="6">
        <f>'Monthly Data'!AN85</f>
        <v>84</v>
      </c>
      <c r="I85" s="6">
        <f>'Monthly Data'!AJ85</f>
        <v>155.19999999999999</v>
      </c>
      <c r="K85" s="20">
        <f>'Res OLS model'!$B$5</f>
        <v>-17086566.711675301</v>
      </c>
      <c r="L85" s="20">
        <f>'Res OLS model'!$B$6*D85</f>
        <v>2536495.1849894701</v>
      </c>
      <c r="M85" s="20">
        <f>'Res OLS model'!$B$7*E85</f>
        <v>0</v>
      </c>
      <c r="N85" s="20">
        <f>'Res OLS model'!$B$8*F85</f>
        <v>25673300.62967775</v>
      </c>
      <c r="O85" s="20">
        <f>'Res OLS model'!$B$9*G85</f>
        <v>0</v>
      </c>
      <c r="P85" s="20">
        <f>'Res OLS model'!$B$10*H85</f>
        <v>-1728930.7357354618</v>
      </c>
      <c r="Q85" s="20">
        <f>'Res OLS model'!$B$11*I85</f>
        <v>10152444.619148519</v>
      </c>
      <c r="R85" s="20">
        <f t="shared" si="7"/>
        <v>19546742.986404978</v>
      </c>
      <c r="S85" s="23">
        <f t="shared" ca="1" si="5"/>
        <v>5.7717292215082065E-3</v>
      </c>
    </row>
    <row r="86" spans="1:19" x14ac:dyDescent="0.3">
      <c r="A86" s="22">
        <f>'Monthly Data'!A86</f>
        <v>42370</v>
      </c>
      <c r="B86" s="6">
        <f t="shared" si="6"/>
        <v>2016</v>
      </c>
      <c r="C86" s="20">
        <f ca="1">'Monthly Data'!F86</f>
        <v>20402754.005920634</v>
      </c>
      <c r="D86" s="6">
        <f>'Monthly Data'!AG86</f>
        <v>618.5</v>
      </c>
      <c r="E86" s="6">
        <f>'Monthly Data'!AH86</f>
        <v>0</v>
      </c>
      <c r="F86" s="6">
        <f>'Monthly Data'!AL86</f>
        <v>31</v>
      </c>
      <c r="G86" s="6">
        <f>'Monthly Data'!BC86</f>
        <v>0</v>
      </c>
      <c r="H86" s="6">
        <f>'Monthly Data'!AN86</f>
        <v>85</v>
      </c>
      <c r="I86" s="6">
        <f>'Monthly Data'!AJ86</f>
        <v>155</v>
      </c>
      <c r="K86" s="20">
        <f>'Res OLS model'!$B$5</f>
        <v>-17086566.711675301</v>
      </c>
      <c r="L86" s="20">
        <f>'Res OLS model'!$B$6*D86</f>
        <v>4000056.787139182</v>
      </c>
      <c r="M86" s="20">
        <f>'Res OLS model'!$B$7*E86</f>
        <v>0</v>
      </c>
      <c r="N86" s="20">
        <f>'Res OLS model'!$B$8*F86</f>
        <v>25673300.62967775</v>
      </c>
      <c r="O86" s="20">
        <f>'Res OLS model'!$B$9*G86</f>
        <v>0</v>
      </c>
      <c r="P86" s="20">
        <f>'Res OLS model'!$B$10*H86</f>
        <v>-1749513.2444942174</v>
      </c>
      <c r="Q86" s="20">
        <f>'Res OLS model'!$B$11*I86</f>
        <v>10139361.571958896</v>
      </c>
      <c r="R86" s="20">
        <f t="shared" si="7"/>
        <v>20976639.032606307</v>
      </c>
      <c r="S86" s="23">
        <f t="shared" ca="1" si="5"/>
        <v>2.812782169108833E-2</v>
      </c>
    </row>
    <row r="87" spans="1:19" x14ac:dyDescent="0.3">
      <c r="A87" s="22">
        <f>'Monthly Data'!A87</f>
        <v>42401</v>
      </c>
      <c r="B87" s="6">
        <f t="shared" si="6"/>
        <v>2016</v>
      </c>
      <c r="C87" s="20">
        <f ca="1">'Monthly Data'!F87</f>
        <v>18147995.995060921</v>
      </c>
      <c r="D87" s="6">
        <f>'Monthly Data'!AG87</f>
        <v>510.5</v>
      </c>
      <c r="E87" s="6">
        <f>'Monthly Data'!AH87</f>
        <v>0</v>
      </c>
      <c r="F87" s="6">
        <f>'Monthly Data'!AL87</f>
        <v>29</v>
      </c>
      <c r="G87" s="6">
        <f>'Monthly Data'!BC87</f>
        <v>0</v>
      </c>
      <c r="H87" s="6">
        <f>'Monthly Data'!AN87</f>
        <v>86</v>
      </c>
      <c r="I87" s="6">
        <f>'Monthly Data'!AJ87</f>
        <v>156</v>
      </c>
      <c r="K87" s="20">
        <f>'Res OLS model'!$B$5</f>
        <v>-17086566.711675301</v>
      </c>
      <c r="L87" s="20">
        <f>'Res OLS model'!$B$6*D87</f>
        <v>3301582.8453266812</v>
      </c>
      <c r="M87" s="20">
        <f>'Res OLS model'!$B$7*E87</f>
        <v>0</v>
      </c>
      <c r="N87" s="20">
        <f>'Res OLS model'!$B$8*F87</f>
        <v>24016958.653569508</v>
      </c>
      <c r="O87" s="20">
        <f>'Res OLS model'!$B$9*G87</f>
        <v>0</v>
      </c>
      <c r="P87" s="20">
        <f>'Res OLS model'!$B$10*H87</f>
        <v>-1770095.7532529728</v>
      </c>
      <c r="Q87" s="20">
        <f>'Res OLS model'!$B$11*I87</f>
        <v>10204776.807907017</v>
      </c>
      <c r="R87" s="20">
        <f t="shared" si="7"/>
        <v>18666655.841874935</v>
      </c>
      <c r="S87" s="23">
        <f t="shared" ca="1" si="5"/>
        <v>2.8579455657537625E-2</v>
      </c>
    </row>
    <row r="88" spans="1:19" x14ac:dyDescent="0.3">
      <c r="A88" s="22">
        <f>'Monthly Data'!A88</f>
        <v>42430</v>
      </c>
      <c r="B88" s="6">
        <f t="shared" si="6"/>
        <v>2016</v>
      </c>
      <c r="C88" s="20">
        <f ca="1">'Monthly Data'!F88</f>
        <v>17757118.963884208</v>
      </c>
      <c r="D88" s="6">
        <f>'Monthly Data'!AG88</f>
        <v>350.9</v>
      </c>
      <c r="E88" s="6">
        <f>'Monthly Data'!AH88</f>
        <v>0</v>
      </c>
      <c r="F88" s="6">
        <f>'Monthly Data'!AL88</f>
        <v>31</v>
      </c>
      <c r="G88" s="6">
        <f>'Monthly Data'!BC88</f>
        <v>1</v>
      </c>
      <c r="H88" s="6">
        <f>'Monthly Data'!AN88</f>
        <v>87</v>
      </c>
      <c r="I88" s="6">
        <f>'Monthly Data'!AJ88</f>
        <v>156.80000000000001</v>
      </c>
      <c r="K88" s="20">
        <f>'Res OLS model'!$B$5</f>
        <v>-17086566.711675301</v>
      </c>
      <c r="L88" s="20">
        <f>'Res OLS model'!$B$6*D88</f>
        <v>2269393.5757593191</v>
      </c>
      <c r="M88" s="20">
        <f>'Res OLS model'!$B$7*E88</f>
        <v>0</v>
      </c>
      <c r="N88" s="20">
        <f>'Res OLS model'!$B$8*F88</f>
        <v>25673300.62967775</v>
      </c>
      <c r="O88" s="20">
        <f>'Res OLS model'!$B$9*G88</f>
        <v>-1891036.2259753</v>
      </c>
      <c r="P88" s="20">
        <f>'Res OLS model'!$B$10*H88</f>
        <v>-1790678.2620117285</v>
      </c>
      <c r="Q88" s="20">
        <f>'Res OLS model'!$B$11*I88</f>
        <v>10257108.996665515</v>
      </c>
      <c r="R88" s="20">
        <f t="shared" si="7"/>
        <v>17431522.002440255</v>
      </c>
      <c r="S88" s="23">
        <f t="shared" ca="1" si="5"/>
        <v>1.8336136740772942E-2</v>
      </c>
    </row>
    <row r="89" spans="1:19" x14ac:dyDescent="0.3">
      <c r="A89" s="22">
        <f>'Monthly Data'!A89</f>
        <v>42461</v>
      </c>
      <c r="B89" s="6">
        <f t="shared" si="6"/>
        <v>2016</v>
      </c>
      <c r="C89" s="20">
        <f ca="1">'Monthly Data'!F89</f>
        <v>16194098.280517746</v>
      </c>
      <c r="D89" s="6">
        <f>'Monthly Data'!AG89</f>
        <v>315.20000000000005</v>
      </c>
      <c r="E89" s="6">
        <f>'Monthly Data'!AH89</f>
        <v>0</v>
      </c>
      <c r="F89" s="6">
        <f>'Monthly Data'!AL89</f>
        <v>30</v>
      </c>
      <c r="G89" s="6">
        <f>'Monthly Data'!BC89</f>
        <v>1</v>
      </c>
      <c r="H89" s="6">
        <f>'Monthly Data'!AN89</f>
        <v>88</v>
      </c>
      <c r="I89" s="6">
        <f>'Monthly Data'!AJ89</f>
        <v>159.30000000000001</v>
      </c>
      <c r="K89" s="20">
        <f>'Res OLS model'!$B$5</f>
        <v>-17086566.711675301</v>
      </c>
      <c r="L89" s="20">
        <f>'Res OLS model'!$B$6*D89</f>
        <v>2038509.1338824097</v>
      </c>
      <c r="M89" s="20">
        <f>'Res OLS model'!$B$7*E89</f>
        <v>0</v>
      </c>
      <c r="N89" s="20">
        <f>'Res OLS model'!$B$8*F89</f>
        <v>24845129.641623631</v>
      </c>
      <c r="O89" s="20">
        <f>'Res OLS model'!$B$9*G89</f>
        <v>-1891036.2259753</v>
      </c>
      <c r="P89" s="20">
        <f>'Res OLS model'!$B$10*H89</f>
        <v>-1811260.7707704839</v>
      </c>
      <c r="Q89" s="20">
        <f>'Res OLS model'!$B$11*I89</f>
        <v>10420647.086535821</v>
      </c>
      <c r="R89" s="20">
        <f t="shared" si="7"/>
        <v>16515422.153620776</v>
      </c>
      <c r="S89" s="23">
        <f t="shared" ca="1" si="5"/>
        <v>1.9842035508058981E-2</v>
      </c>
    </row>
    <row r="90" spans="1:19" x14ac:dyDescent="0.3">
      <c r="A90" s="22">
        <f>'Monthly Data'!A90</f>
        <v>42491</v>
      </c>
      <c r="B90" s="6">
        <f t="shared" si="6"/>
        <v>2016</v>
      </c>
      <c r="C90" s="20">
        <f ca="1">'Monthly Data'!F90</f>
        <v>18712521.998033397</v>
      </c>
      <c r="D90" s="6">
        <f>'Monthly Data'!AG90</f>
        <v>110.9</v>
      </c>
      <c r="E90" s="6">
        <f>'Monthly Data'!AH90</f>
        <v>47</v>
      </c>
      <c r="F90" s="6">
        <f>'Monthly Data'!AL90</f>
        <v>31</v>
      </c>
      <c r="G90" s="6">
        <f>'Monthly Data'!BC90</f>
        <v>1</v>
      </c>
      <c r="H90" s="6">
        <f>'Monthly Data'!AN90</f>
        <v>89</v>
      </c>
      <c r="I90" s="6">
        <f>'Monthly Data'!AJ90</f>
        <v>162.1</v>
      </c>
      <c r="K90" s="20">
        <f>'Res OLS model'!$B$5</f>
        <v>-17086566.711675301</v>
      </c>
      <c r="L90" s="20">
        <f>'Res OLS model'!$B$6*D90</f>
        <v>717229.26062042895</v>
      </c>
      <c r="M90" s="20">
        <f>'Res OLS model'!$B$7*E90</f>
        <v>3202655.8979304479</v>
      </c>
      <c r="N90" s="20">
        <f>'Res OLS model'!$B$8*F90</f>
        <v>25673300.62967775</v>
      </c>
      <c r="O90" s="20">
        <f>'Res OLS model'!$B$9*G90</f>
        <v>-1891036.2259753</v>
      </c>
      <c r="P90" s="20">
        <f>'Res OLS model'!$B$10*H90</f>
        <v>-1831843.2795292395</v>
      </c>
      <c r="Q90" s="20">
        <f>'Res OLS model'!$B$11*I90</f>
        <v>10603809.747190559</v>
      </c>
      <c r="R90" s="20">
        <f t="shared" si="7"/>
        <v>19387549.318239346</v>
      </c>
      <c r="S90" s="23">
        <f t="shared" ca="1" si="5"/>
        <v>3.6073561878879376E-2</v>
      </c>
    </row>
    <row r="91" spans="1:19" x14ac:dyDescent="0.3">
      <c r="A91" s="22">
        <f>'Monthly Data'!A91</f>
        <v>42522</v>
      </c>
      <c r="B91" s="6">
        <f t="shared" si="6"/>
        <v>2016</v>
      </c>
      <c r="C91" s="20">
        <f ca="1">'Monthly Data'!F91</f>
        <v>25342938.0505188</v>
      </c>
      <c r="D91" s="6">
        <f>'Monthly Data'!AG91</f>
        <v>5.6</v>
      </c>
      <c r="E91" s="6">
        <f>'Monthly Data'!AH91</f>
        <v>127.2</v>
      </c>
      <c r="F91" s="6">
        <f>'Monthly Data'!AL91</f>
        <v>30</v>
      </c>
      <c r="G91" s="6">
        <f>'Monthly Data'!BC91</f>
        <v>0</v>
      </c>
      <c r="H91" s="6">
        <f>'Monthly Data'!AN91</f>
        <v>90</v>
      </c>
      <c r="I91" s="6">
        <f>'Monthly Data'!AJ91</f>
        <v>166.7</v>
      </c>
      <c r="K91" s="20">
        <f>'Res OLS model'!$B$5</f>
        <v>-17086566.711675301</v>
      </c>
      <c r="L91" s="20">
        <f>'Res OLS model'!$B$6*D91</f>
        <v>36217.167353240773</v>
      </c>
      <c r="M91" s="20">
        <f>'Res OLS model'!$B$7*E91</f>
        <v>8667613.4088670854</v>
      </c>
      <c r="N91" s="20">
        <f>'Res OLS model'!$B$8*F91</f>
        <v>24845129.641623631</v>
      </c>
      <c r="O91" s="20">
        <f>'Res OLS model'!$B$9*G91</f>
        <v>0</v>
      </c>
      <c r="P91" s="20">
        <f>'Res OLS model'!$B$10*H91</f>
        <v>-1852425.7882879949</v>
      </c>
      <c r="Q91" s="20">
        <f>'Res OLS model'!$B$11*I91</f>
        <v>10904719.832551921</v>
      </c>
      <c r="R91" s="20">
        <f t="shared" si="7"/>
        <v>25514687.550432585</v>
      </c>
      <c r="S91" s="23">
        <f t="shared" ca="1" si="5"/>
        <v>6.7770161285727361E-3</v>
      </c>
    </row>
    <row r="92" spans="1:19" x14ac:dyDescent="0.3">
      <c r="A92" s="22">
        <f>'Monthly Data'!A92</f>
        <v>42552</v>
      </c>
      <c r="B92" s="6">
        <f t="shared" si="6"/>
        <v>2016</v>
      </c>
      <c r="C92" s="20">
        <f ca="1">'Monthly Data'!F92</f>
        <v>32676576.086327001</v>
      </c>
      <c r="D92" s="6">
        <f>'Monthly Data'!AG92</f>
        <v>0</v>
      </c>
      <c r="E92" s="6">
        <f>'Monthly Data'!AH92</f>
        <v>213.1</v>
      </c>
      <c r="F92" s="6">
        <f>'Monthly Data'!AL92</f>
        <v>31</v>
      </c>
      <c r="G92" s="6">
        <f>'Monthly Data'!BC92</f>
        <v>0</v>
      </c>
      <c r="H92" s="6">
        <f>'Monthly Data'!AN92</f>
        <v>91</v>
      </c>
      <c r="I92" s="6">
        <f>'Monthly Data'!AJ92</f>
        <v>169.9</v>
      </c>
      <c r="K92" s="20">
        <f>'Res OLS model'!$B$5</f>
        <v>-17086566.711675301</v>
      </c>
      <c r="L92" s="20">
        <f>'Res OLS model'!$B$6*D92</f>
        <v>0</v>
      </c>
      <c r="M92" s="20">
        <f>'Res OLS model'!$B$7*E92</f>
        <v>14520978.124446351</v>
      </c>
      <c r="N92" s="20">
        <f>'Res OLS model'!$B$8*F92</f>
        <v>25673300.62967775</v>
      </c>
      <c r="O92" s="20">
        <f>'Res OLS model'!$B$9*G92</f>
        <v>0</v>
      </c>
      <c r="P92" s="20">
        <f>'Res OLS model'!$B$10*H92</f>
        <v>-1873008.2970467503</v>
      </c>
      <c r="Q92" s="20">
        <f>'Res OLS model'!$B$11*I92</f>
        <v>11114048.587585911</v>
      </c>
      <c r="R92" s="20">
        <f t="shared" si="7"/>
        <v>32348752.33298796</v>
      </c>
      <c r="S92" s="23">
        <f t="shared" ca="1" si="5"/>
        <v>1.0032377703005845E-2</v>
      </c>
    </row>
    <row r="93" spans="1:19" x14ac:dyDescent="0.3">
      <c r="A93" s="22">
        <f>'Monthly Data'!A93</f>
        <v>42583</v>
      </c>
      <c r="B93" s="6">
        <f t="shared" si="6"/>
        <v>2016</v>
      </c>
      <c r="C93" s="20">
        <f ca="1">'Monthly Data'!F93</f>
        <v>32627741.790165287</v>
      </c>
      <c r="D93" s="6">
        <f>'Monthly Data'!AG93</f>
        <v>0</v>
      </c>
      <c r="E93" s="6">
        <f>'Monthly Data'!AH93</f>
        <v>219</v>
      </c>
      <c r="F93" s="6">
        <f>'Monthly Data'!AL93</f>
        <v>31</v>
      </c>
      <c r="G93" s="6">
        <f>'Monthly Data'!BC93</f>
        <v>0</v>
      </c>
      <c r="H93" s="6">
        <f>'Monthly Data'!AN93</f>
        <v>92</v>
      </c>
      <c r="I93" s="6">
        <f>'Monthly Data'!AJ93</f>
        <v>171.7</v>
      </c>
      <c r="K93" s="20">
        <f>'Res OLS model'!$B$5</f>
        <v>-17086566.711675301</v>
      </c>
      <c r="L93" s="20">
        <f>'Res OLS model'!$B$6*D93</f>
        <v>0</v>
      </c>
      <c r="M93" s="20">
        <f>'Res OLS model'!$B$7*E93</f>
        <v>14923013.652058896</v>
      </c>
      <c r="N93" s="20">
        <f>'Res OLS model'!$B$8*F93</f>
        <v>25673300.62967775</v>
      </c>
      <c r="O93" s="20">
        <f>'Res OLS model'!$B$9*G93</f>
        <v>0</v>
      </c>
      <c r="P93" s="20">
        <f>'Res OLS model'!$B$10*H93</f>
        <v>-1893590.805805506</v>
      </c>
      <c r="Q93" s="20">
        <f>'Res OLS model'!$B$11*I93</f>
        <v>11231796.01229253</v>
      </c>
      <c r="R93" s="20">
        <f t="shared" si="7"/>
        <v>32847952.776548371</v>
      </c>
      <c r="S93" s="23">
        <f t="shared" ca="1" si="5"/>
        <v>6.7491948354654625E-3</v>
      </c>
    </row>
    <row r="94" spans="1:19" x14ac:dyDescent="0.3">
      <c r="A94" s="22">
        <f>'Monthly Data'!A94</f>
        <v>42614</v>
      </c>
      <c r="B94" s="6">
        <f t="shared" si="6"/>
        <v>2016</v>
      </c>
      <c r="C94" s="20">
        <f ca="1">'Monthly Data'!F94</f>
        <v>23815134.656093854</v>
      </c>
      <c r="D94" s="6">
        <f>'Monthly Data'!AG94</f>
        <v>8</v>
      </c>
      <c r="E94" s="6">
        <f>'Monthly Data'!AH94</f>
        <v>90.1</v>
      </c>
      <c r="F94" s="6">
        <f>'Monthly Data'!AL94</f>
        <v>30</v>
      </c>
      <c r="G94" s="6">
        <f>'Monthly Data'!BC94</f>
        <v>0</v>
      </c>
      <c r="H94" s="6">
        <f>'Monthly Data'!AN94</f>
        <v>93</v>
      </c>
      <c r="I94" s="6">
        <f>'Monthly Data'!AJ94</f>
        <v>170.5</v>
      </c>
      <c r="K94" s="20">
        <f>'Res OLS model'!$B$5</f>
        <v>-17086566.711675301</v>
      </c>
      <c r="L94" s="20">
        <f>'Res OLS model'!$B$6*D94</f>
        <v>51738.810504629677</v>
      </c>
      <c r="M94" s="20">
        <f>'Res OLS model'!$B$7*E94</f>
        <v>6139559.4979475178</v>
      </c>
      <c r="N94" s="20">
        <f>'Res OLS model'!$B$8*F94</f>
        <v>24845129.641623631</v>
      </c>
      <c r="O94" s="20">
        <f>'Res OLS model'!$B$9*G94</f>
        <v>0</v>
      </c>
      <c r="P94" s="20">
        <f>'Res OLS model'!$B$10*H94</f>
        <v>-1914173.3145642614</v>
      </c>
      <c r="Q94" s="20">
        <f>'Res OLS model'!$B$11*I94</f>
        <v>11153297.729154784</v>
      </c>
      <c r="R94" s="20">
        <f t="shared" si="7"/>
        <v>23188985.652991001</v>
      </c>
      <c r="S94" s="23">
        <f t="shared" ca="1" si="5"/>
        <v>2.6292062259771178E-2</v>
      </c>
    </row>
    <row r="95" spans="1:19" x14ac:dyDescent="0.3">
      <c r="A95" s="22">
        <f>'Monthly Data'!A95</f>
        <v>42644</v>
      </c>
      <c r="B95" s="6">
        <f t="shared" si="6"/>
        <v>2016</v>
      </c>
      <c r="C95" s="20">
        <f ca="1">'Monthly Data'!F95</f>
        <v>18077594.709831063</v>
      </c>
      <c r="D95" s="6">
        <f>'Monthly Data'!AG95</f>
        <v>146</v>
      </c>
      <c r="E95" s="6">
        <f>'Monthly Data'!AH95</f>
        <v>22.7</v>
      </c>
      <c r="F95" s="6">
        <f>'Monthly Data'!AL95</f>
        <v>31</v>
      </c>
      <c r="G95" s="6">
        <f>'Monthly Data'!BC95</f>
        <v>1</v>
      </c>
      <c r="H95" s="6">
        <f>'Monthly Data'!AN95</f>
        <v>94</v>
      </c>
      <c r="I95" s="6">
        <f>'Monthly Data'!AJ95</f>
        <v>169.2</v>
      </c>
      <c r="K95" s="20">
        <f>'Res OLS model'!$B$5</f>
        <v>-17086566.711675301</v>
      </c>
      <c r="L95" s="20">
        <f>'Res OLS model'!$B$6*D95</f>
        <v>944233.29170949163</v>
      </c>
      <c r="M95" s="20">
        <f>'Res OLS model'!$B$7*E95</f>
        <v>1546814.6570855568</v>
      </c>
      <c r="N95" s="20">
        <f>'Res OLS model'!$B$8*F95</f>
        <v>25673300.62967775</v>
      </c>
      <c r="O95" s="20">
        <f>'Res OLS model'!$B$9*G95</f>
        <v>-1891036.2259753</v>
      </c>
      <c r="P95" s="20">
        <f>'Res OLS model'!$B$10*H95</f>
        <v>-1934755.823323017</v>
      </c>
      <c r="Q95" s="20">
        <f>'Res OLS model'!$B$11*I95</f>
        <v>11068257.922422225</v>
      </c>
      <c r="R95" s="20">
        <f t="shared" si="7"/>
        <v>18320247.739921406</v>
      </c>
      <c r="S95" s="23">
        <f t="shared" ca="1" si="5"/>
        <v>1.3422860396266226E-2</v>
      </c>
    </row>
    <row r="96" spans="1:19" x14ac:dyDescent="0.3">
      <c r="A96" s="22">
        <f>'Monthly Data'!A96</f>
        <v>42675</v>
      </c>
      <c r="B96" s="6">
        <f t="shared" si="6"/>
        <v>2016</v>
      </c>
      <c r="C96" s="20">
        <f ca="1">'Monthly Data'!F96</f>
        <v>17000162.798257124</v>
      </c>
      <c r="D96" s="6">
        <f>'Monthly Data'!AG96</f>
        <v>290.7</v>
      </c>
      <c r="E96" s="6">
        <f>'Monthly Data'!AH96</f>
        <v>0</v>
      </c>
      <c r="F96" s="6">
        <f>'Monthly Data'!AL96</f>
        <v>30</v>
      </c>
      <c r="G96" s="6">
        <f>'Monthly Data'!BC96</f>
        <v>1</v>
      </c>
      <c r="H96" s="6">
        <f>'Monthly Data'!AN96</f>
        <v>95</v>
      </c>
      <c r="I96" s="6">
        <f>'Monthly Data'!AJ96</f>
        <v>165.5</v>
      </c>
      <c r="K96" s="20">
        <f>'Res OLS model'!$B$5</f>
        <v>-17086566.711675301</v>
      </c>
      <c r="L96" s="20">
        <f>'Res OLS model'!$B$6*D96</f>
        <v>1880059.0267119808</v>
      </c>
      <c r="M96" s="20">
        <f>'Res OLS model'!$B$7*E96</f>
        <v>0</v>
      </c>
      <c r="N96" s="20">
        <f>'Res OLS model'!$B$8*F96</f>
        <v>24845129.641623631</v>
      </c>
      <c r="O96" s="20">
        <f>'Res OLS model'!$B$9*G96</f>
        <v>-1891036.2259753</v>
      </c>
      <c r="P96" s="20">
        <f>'Res OLS model'!$B$10*H96</f>
        <v>-1955338.3320817724</v>
      </c>
      <c r="Q96" s="20">
        <f>'Res OLS model'!$B$11*I96</f>
        <v>10826221.549414175</v>
      </c>
      <c r="R96" s="20">
        <f t="shared" si="7"/>
        <v>16618468.948017415</v>
      </c>
      <c r="S96" s="23">
        <f t="shared" ca="1" si="5"/>
        <v>2.2452364413759657E-2</v>
      </c>
    </row>
    <row r="97" spans="1:19" x14ac:dyDescent="0.3">
      <c r="A97" s="22">
        <f>'Monthly Data'!A97</f>
        <v>42705</v>
      </c>
      <c r="B97" s="6">
        <f t="shared" si="6"/>
        <v>2016</v>
      </c>
      <c r="C97" s="20">
        <f ca="1">'Monthly Data'!F97</f>
        <v>20475981.52558763</v>
      </c>
      <c r="D97" s="6">
        <f>'Monthly Data'!AG97</f>
        <v>581.1</v>
      </c>
      <c r="E97" s="6">
        <f>'Monthly Data'!AH97</f>
        <v>0</v>
      </c>
      <c r="F97" s="6">
        <f>'Monthly Data'!AL97</f>
        <v>31</v>
      </c>
      <c r="G97" s="6">
        <f>'Monthly Data'!BC97</f>
        <v>0</v>
      </c>
      <c r="H97" s="6">
        <f>'Monthly Data'!AN97</f>
        <v>96</v>
      </c>
      <c r="I97" s="6">
        <f>'Monthly Data'!AJ97</f>
        <v>162.5</v>
      </c>
      <c r="K97" s="20">
        <f>'Res OLS model'!$B$5</f>
        <v>-17086566.711675301</v>
      </c>
      <c r="L97" s="20">
        <f>'Res OLS model'!$B$6*D97</f>
        <v>3758177.8480300382</v>
      </c>
      <c r="M97" s="20">
        <f>'Res OLS model'!$B$7*E97</f>
        <v>0</v>
      </c>
      <c r="N97" s="20">
        <f>'Res OLS model'!$B$8*F97</f>
        <v>25673300.62967775</v>
      </c>
      <c r="O97" s="20">
        <f>'Res OLS model'!$B$9*G97</f>
        <v>0</v>
      </c>
      <c r="P97" s="20">
        <f>'Res OLS model'!$B$10*H97</f>
        <v>-1975920.8408405278</v>
      </c>
      <c r="Q97" s="20">
        <f>'Res OLS model'!$B$11*I97</f>
        <v>10629975.841569809</v>
      </c>
      <c r="R97" s="20">
        <f t="shared" si="7"/>
        <v>20998966.766761769</v>
      </c>
      <c r="S97" s="23">
        <f t="shared" ca="1" si="5"/>
        <v>2.5541400324111212E-2</v>
      </c>
    </row>
    <row r="98" spans="1:19" x14ac:dyDescent="0.3">
      <c r="S98" s="23">
        <f ca="1">AVERAGE(S2:S97)</f>
        <v>2.3811513768006946E-2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44" sqref="D44"/>
    </sheetView>
  </sheetViews>
  <sheetFormatPr defaultRowHeight="13.2" x14ac:dyDescent="0.25"/>
  <cols>
    <col min="1" max="1" width="23.6640625" style="6" customWidth="1"/>
    <col min="2" max="2" width="12.77734375" style="6" customWidth="1"/>
    <col min="3" max="3" width="19.44140625" style="6" customWidth="1"/>
    <col min="4" max="4" width="12.77734375" style="6" customWidth="1"/>
    <col min="5" max="5" width="12.109375" style="6" customWidth="1"/>
    <col min="6" max="16384" width="8.88671875" style="6"/>
  </cols>
  <sheetData>
    <row r="1" spans="1:5" x14ac:dyDescent="0.25">
      <c r="A1" s="6" t="s">
        <v>158</v>
      </c>
    </row>
    <row r="2" spans="1:5" x14ac:dyDescent="0.25">
      <c r="A2" s="6" t="s">
        <v>157</v>
      </c>
    </row>
    <row r="4" spans="1:5" x14ac:dyDescent="0.25">
      <c r="B4" s="6" t="s">
        <v>63</v>
      </c>
      <c r="C4" s="6" t="s">
        <v>64</v>
      </c>
      <c r="D4" s="6" t="s">
        <v>65</v>
      </c>
      <c r="E4" s="6" t="s">
        <v>66</v>
      </c>
    </row>
    <row r="5" spans="1:5" ht="14.4" x14ac:dyDescent="0.3">
      <c r="A5" s="6" t="s">
        <v>67</v>
      </c>
      <c r="B5" s="20">
        <v>-1088732.49289844</v>
      </c>
      <c r="C5" s="20">
        <v>645754.28700131096</v>
      </c>
      <c r="D5" s="6">
        <v>-1.68598569891682</v>
      </c>
      <c r="E5" s="21">
        <v>9.5341224285788603E-2</v>
      </c>
    </row>
    <row r="6" spans="1:5" ht="14.4" x14ac:dyDescent="0.3">
      <c r="A6" s="6" t="s">
        <v>28</v>
      </c>
      <c r="B6" s="20">
        <v>1030.9244103542001</v>
      </c>
      <c r="C6" s="20">
        <v>94.391314597018194</v>
      </c>
      <c r="D6" s="6">
        <v>10.9218143083979</v>
      </c>
      <c r="E6" s="21">
        <v>4.7110753159696099E-18</v>
      </c>
    </row>
    <row r="7" spans="1:5" ht="14.4" x14ac:dyDescent="0.3">
      <c r="A7" s="6" t="s">
        <v>29</v>
      </c>
      <c r="B7" s="20">
        <v>7674.0615464706998</v>
      </c>
      <c r="C7" s="20">
        <v>400.78508249279599</v>
      </c>
      <c r="D7" s="6">
        <v>19.147572805703501</v>
      </c>
      <c r="E7" s="21">
        <v>3.92943399726742E-33</v>
      </c>
    </row>
    <row r="8" spans="1:5" ht="14.4" x14ac:dyDescent="0.3">
      <c r="A8" s="6" t="s">
        <v>57</v>
      </c>
      <c r="B8" s="20">
        <v>11407.2214389893</v>
      </c>
      <c r="C8" s="20">
        <v>2056.8558229539699</v>
      </c>
      <c r="D8" s="6">
        <v>5.5459509177491997</v>
      </c>
      <c r="E8" s="21">
        <v>3.0275359471912202E-7</v>
      </c>
    </row>
    <row r="9" spans="1:5" ht="14.4" x14ac:dyDescent="0.3">
      <c r="A9" s="6" t="s">
        <v>152</v>
      </c>
      <c r="B9" s="20">
        <v>149535.033335582</v>
      </c>
      <c r="C9" s="20">
        <v>19402.291823567699</v>
      </c>
      <c r="D9" s="6">
        <v>7.7070809312301796</v>
      </c>
      <c r="E9" s="21">
        <v>1.82980745644959E-11</v>
      </c>
    </row>
    <row r="10" spans="1:5" ht="14.4" x14ac:dyDescent="0.3">
      <c r="A10" s="6" t="s">
        <v>129</v>
      </c>
      <c r="B10" s="20">
        <v>-268302.989268562</v>
      </c>
      <c r="C10" s="20">
        <v>42580.838622731098</v>
      </c>
      <c r="D10" s="6">
        <v>-6.3010264228411197</v>
      </c>
      <c r="E10" s="21">
        <v>1.13876700607222E-8</v>
      </c>
    </row>
    <row r="11" spans="1:5" ht="14.4" x14ac:dyDescent="0.3">
      <c r="A11" s="6" t="s">
        <v>50</v>
      </c>
      <c r="B11" s="20">
        <v>178696.970766832</v>
      </c>
      <c r="C11" s="20">
        <v>54524.245784555598</v>
      </c>
      <c r="D11" s="6">
        <v>3.2773854676124601</v>
      </c>
      <c r="E11" s="21">
        <v>1.5007088709655899E-3</v>
      </c>
    </row>
    <row r="12" spans="1:5" ht="14.4" x14ac:dyDescent="0.3">
      <c r="A12" s="6" t="s">
        <v>55</v>
      </c>
      <c r="B12" s="20">
        <v>-197900.76217015099</v>
      </c>
      <c r="C12" s="20">
        <v>58891.477283706801</v>
      </c>
      <c r="D12" s="6">
        <v>-3.36043127627405</v>
      </c>
      <c r="E12" s="21">
        <v>1.1525306185092899E-3</v>
      </c>
    </row>
    <row r="13" spans="1:5" ht="14.4" x14ac:dyDescent="0.3">
      <c r="B13" s="20"/>
      <c r="C13" s="20"/>
      <c r="E13" s="21"/>
    </row>
    <row r="14" spans="1:5" ht="14.4" x14ac:dyDescent="0.3">
      <c r="A14" s="6" t="s">
        <v>70</v>
      </c>
      <c r="B14" s="20">
        <v>5744506.9980367897</v>
      </c>
      <c r="C14" s="20" t="s">
        <v>71</v>
      </c>
      <c r="D14" s="6">
        <v>530340.39688065497</v>
      </c>
      <c r="E14" s="21"/>
    </row>
    <row r="15" spans="1:5" x14ac:dyDescent="0.25">
      <c r="A15" s="6" t="s">
        <v>72</v>
      </c>
      <c r="B15" s="6">
        <v>1377467844502.6499</v>
      </c>
      <c r="C15" s="6" t="s">
        <v>73</v>
      </c>
      <c r="D15" s="21">
        <v>125112.12446254</v>
      </c>
    </row>
    <row r="16" spans="1:5" x14ac:dyDescent="0.25">
      <c r="A16" s="6" t="s">
        <v>74</v>
      </c>
      <c r="B16" s="6">
        <v>0.9484476525669</v>
      </c>
      <c r="C16" s="6" t="s">
        <v>75</v>
      </c>
      <c r="D16" s="6">
        <v>0.94434689765744895</v>
      </c>
    </row>
    <row r="17" spans="1:4" x14ac:dyDescent="0.25">
      <c r="A17" s="6" t="s">
        <v>159</v>
      </c>
      <c r="B17" s="6">
        <v>231.286110364948</v>
      </c>
      <c r="C17" s="6" t="s">
        <v>76</v>
      </c>
      <c r="D17" s="21">
        <v>8.1670431575841399E-54</v>
      </c>
    </row>
    <row r="18" spans="1:4" x14ac:dyDescent="0.25">
      <c r="A18" s="6" t="s">
        <v>77</v>
      </c>
      <c r="B18" s="6">
        <v>-1258.7902516449001</v>
      </c>
      <c r="C18" s="6" t="s">
        <v>78</v>
      </c>
      <c r="D18" s="21">
        <v>2533.5805032898002</v>
      </c>
    </row>
    <row r="19" spans="1:4" x14ac:dyDescent="0.25">
      <c r="A19" s="6" t="s">
        <v>79</v>
      </c>
      <c r="B19" s="6">
        <v>2554.0952888215402</v>
      </c>
      <c r="C19" s="6" t="s">
        <v>80</v>
      </c>
      <c r="D19" s="21">
        <v>2541.8729148089401</v>
      </c>
    </row>
    <row r="20" spans="1:4" x14ac:dyDescent="0.25">
      <c r="A20" s="6" t="s">
        <v>81</v>
      </c>
      <c r="B20" s="6">
        <v>0.45379315710971702</v>
      </c>
      <c r="C20" s="6" t="s">
        <v>82</v>
      </c>
      <c r="D20" s="6">
        <v>1.0818120777085201</v>
      </c>
    </row>
    <row r="21" spans="1:4" x14ac:dyDescent="0.25">
      <c r="A21" s="6" t="s">
        <v>156</v>
      </c>
      <c r="B21" s="6">
        <v>0.25417000000000001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workbookViewId="0">
      <selection activeCell="D1" sqref="D1:J1"/>
    </sheetView>
  </sheetViews>
  <sheetFormatPr defaultRowHeight="13.2" x14ac:dyDescent="0.25"/>
  <cols>
    <col min="1" max="1" width="10.33203125" style="6" bestFit="1" customWidth="1"/>
    <col min="2" max="2" width="5" style="6" bestFit="1" customWidth="1"/>
    <col min="3" max="3" width="12.88671875" style="6" bestFit="1" customWidth="1"/>
    <col min="4" max="5" width="6" style="6" bestFit="1" customWidth="1"/>
    <col min="6" max="6" width="11.6640625" style="6" bestFit="1" customWidth="1"/>
    <col min="7" max="7" width="10.77734375" style="6" bestFit="1" customWidth="1"/>
    <col min="8" max="8" width="7.77734375" style="6" bestFit="1" customWidth="1"/>
    <col min="9" max="9" width="5.88671875" style="6" bestFit="1" customWidth="1"/>
    <col min="10" max="10" width="8.88671875" style="6" bestFit="1" customWidth="1"/>
    <col min="11" max="11" width="8.88671875" style="6"/>
    <col min="12" max="12" width="10.5546875" style="6" bestFit="1" customWidth="1"/>
    <col min="13" max="13" width="8.5546875" style="6" bestFit="1" customWidth="1"/>
    <col min="14" max="14" width="10" style="6" bestFit="1" customWidth="1"/>
    <col min="15" max="15" width="12.77734375" style="6" bestFit="1" customWidth="1"/>
    <col min="16" max="16" width="12.44140625" style="6" bestFit="1" customWidth="1"/>
    <col min="17" max="17" width="9.21875" style="6" bestFit="1" customWidth="1"/>
    <col min="18" max="18" width="8.5546875" style="6" bestFit="1" customWidth="1"/>
    <col min="19" max="19" width="10.44140625" style="6" bestFit="1" customWidth="1"/>
    <col min="20" max="20" width="14" style="6" bestFit="1" customWidth="1"/>
    <col min="21" max="21" width="10.5546875" style="6" bestFit="1" customWidth="1"/>
    <col min="22" max="16384" width="8.88671875" style="6"/>
  </cols>
  <sheetData>
    <row r="1" spans="1:21" ht="14.4" x14ac:dyDescent="0.3">
      <c r="A1" s="6" t="str">
        <f>'Monthly Data'!A1</f>
        <v>Date</v>
      </c>
      <c r="B1" s="6" t="s">
        <v>83</v>
      </c>
      <c r="C1" s="20" t="str">
        <f>'Monthly Data'!J1</f>
        <v>Gross_GSlt50</v>
      </c>
      <c r="D1" s="6" t="str">
        <f>'Monthly Data'!AG1</f>
        <v>HDD</v>
      </c>
      <c r="E1" s="6" t="str">
        <f>'Monthly Data'!AH1</f>
        <v>CDD</v>
      </c>
      <c r="F1" s="6" t="str">
        <f>'Monthly Data'!AJ1</f>
        <v>Windsor_FTE</v>
      </c>
      <c r="G1" s="6" t="str">
        <f>'Monthly Data'!AL1</f>
        <v>Month_Days</v>
      </c>
      <c r="H1" s="6" t="str">
        <f>'Monthly Data'!BC1</f>
        <v>Shoulder</v>
      </c>
      <c r="I1" s="6" t="str">
        <f>'Monthly Data'!AQ1</f>
        <v>March</v>
      </c>
      <c r="J1" s="6" t="str">
        <f>'Monthly Data'!AZ1</f>
        <v>December</v>
      </c>
      <c r="L1" s="20" t="s">
        <v>67</v>
      </c>
      <c r="M1" s="20" t="str">
        <f t="shared" ref="M1:S1" si="0">D1</f>
        <v>HDD</v>
      </c>
      <c r="N1" s="20" t="str">
        <f t="shared" si="0"/>
        <v>CDD</v>
      </c>
      <c r="O1" s="20" t="str">
        <f t="shared" si="0"/>
        <v>Windsor_FTE</v>
      </c>
      <c r="P1" s="20" t="str">
        <f t="shared" si="0"/>
        <v>Month_Days</v>
      </c>
      <c r="Q1" s="20" t="str">
        <f t="shared" si="0"/>
        <v>Shoulder</v>
      </c>
      <c r="R1" s="20" t="str">
        <f t="shared" si="0"/>
        <v>March</v>
      </c>
      <c r="S1" s="20" t="str">
        <f t="shared" si="0"/>
        <v>December</v>
      </c>
      <c r="T1" s="20" t="s">
        <v>84</v>
      </c>
      <c r="U1" s="16" t="s">
        <v>85</v>
      </c>
    </row>
    <row r="2" spans="1:21" ht="14.4" x14ac:dyDescent="0.3">
      <c r="A2" s="22">
        <f>'Monthly Data'!A2</f>
        <v>39814</v>
      </c>
      <c r="B2" s="6">
        <f>YEAR(A2)</f>
        <v>2009</v>
      </c>
      <c r="C2" s="20">
        <f ca="1">'Monthly Data'!J2</f>
        <v>6180599.9418864548</v>
      </c>
      <c r="D2" s="6">
        <f>'Monthly Data'!AG2</f>
        <v>768.79999999999973</v>
      </c>
      <c r="E2" s="6">
        <f>'Monthly Data'!AH2</f>
        <v>0</v>
      </c>
      <c r="F2" s="6">
        <f>'Monthly Data'!AJ2</f>
        <v>151.5</v>
      </c>
      <c r="G2" s="6">
        <f>'Monthly Data'!AL2</f>
        <v>31</v>
      </c>
      <c r="H2" s="6">
        <f>'Monthly Data'!BC2</f>
        <v>0</v>
      </c>
      <c r="I2" s="6">
        <f>'Monthly Data'!AQ2</f>
        <v>0</v>
      </c>
      <c r="J2" s="6">
        <f>'Monthly Data'!AZ2</f>
        <v>0</v>
      </c>
      <c r="L2" s="20">
        <f>'GS &lt; 50 OLS model'!$B$5</f>
        <v>-1088732.49289844</v>
      </c>
      <c r="M2" s="20">
        <f>'GS &lt; 50 OLS model'!$B$6*D2</f>
        <v>792574.68668030878</v>
      </c>
      <c r="N2" s="20">
        <f>'GS &lt; 50 OLS model'!$B$7*E2</f>
        <v>0</v>
      </c>
      <c r="O2" s="20">
        <f>'GS &lt; 50 OLS model'!$B$8*F2</f>
        <v>1728194.0480068789</v>
      </c>
      <c r="P2" s="20">
        <f>'GS &lt; 50 OLS model'!$B$9*G2</f>
        <v>4635586.0334030418</v>
      </c>
      <c r="Q2" s="20">
        <f>'GS &lt; 50 OLS model'!$B$10*H2</f>
        <v>0</v>
      </c>
      <c r="R2" s="20">
        <f>'GS &lt; 50 OLS model'!$B$11*I2</f>
        <v>0</v>
      </c>
      <c r="S2" s="20">
        <f>'GS &lt; 50 OLS model'!$B$12*J2</f>
        <v>0</v>
      </c>
      <c r="T2" s="20">
        <f t="shared" ref="T2:T33" si="1">SUM(L2:S2)</f>
        <v>6067622.2751917895</v>
      </c>
      <c r="U2" s="23">
        <f t="shared" ref="U2:U33" ca="1" si="2">ABS(T2-C2)/C2</f>
        <v>1.82794013132942E-2</v>
      </c>
    </row>
    <row r="3" spans="1:21" ht="14.4" x14ac:dyDescent="0.3">
      <c r="A3" s="22">
        <f>'Monthly Data'!A3</f>
        <v>39845</v>
      </c>
      <c r="B3" s="6">
        <f t="shared" ref="B3:B66" si="3">YEAR(A3)</f>
        <v>2009</v>
      </c>
      <c r="C3" s="20">
        <f ca="1">'Monthly Data'!J3</f>
        <v>5531247.4825260816</v>
      </c>
      <c r="D3" s="6">
        <f>'Monthly Data'!AG3</f>
        <v>540</v>
      </c>
      <c r="E3" s="6">
        <f>'Monthly Data'!AH3</f>
        <v>0</v>
      </c>
      <c r="F3" s="6">
        <f>'Monthly Data'!AJ3</f>
        <v>147.5</v>
      </c>
      <c r="G3" s="6">
        <f>'Monthly Data'!AL3</f>
        <v>28</v>
      </c>
      <c r="H3" s="6">
        <f>'Monthly Data'!BC3</f>
        <v>0</v>
      </c>
      <c r="I3" s="6">
        <f>'Monthly Data'!AQ3</f>
        <v>0</v>
      </c>
      <c r="J3" s="6">
        <f>'Monthly Data'!AZ3</f>
        <v>0</v>
      </c>
      <c r="L3" s="20">
        <f>'GS &lt; 50 OLS model'!$B$5</f>
        <v>-1088732.49289844</v>
      </c>
      <c r="M3" s="20">
        <f>'GS &lt; 50 OLS model'!$B$6*D3</f>
        <v>556699.18159126805</v>
      </c>
      <c r="N3" s="20">
        <f>'GS &lt; 50 OLS model'!$B$7*E3</f>
        <v>0</v>
      </c>
      <c r="O3" s="20">
        <f>'GS &lt; 50 OLS model'!$B$8*F3</f>
        <v>1682565.1622509216</v>
      </c>
      <c r="P3" s="20">
        <f>'GS &lt; 50 OLS model'!$B$9*G3</f>
        <v>4186980.9333962961</v>
      </c>
      <c r="Q3" s="20">
        <f>'GS &lt; 50 OLS model'!$B$10*H3</f>
        <v>0</v>
      </c>
      <c r="R3" s="20">
        <f>'GS &lt; 50 OLS model'!$B$11*I3</f>
        <v>0</v>
      </c>
      <c r="S3" s="20">
        <f>'GS &lt; 50 OLS model'!$B$12*J3</f>
        <v>0</v>
      </c>
      <c r="T3" s="20">
        <f t="shared" si="1"/>
        <v>5337512.7843400463</v>
      </c>
      <c r="U3" s="23">
        <f t="shared" ca="1" si="2"/>
        <v>3.502549809931086E-2</v>
      </c>
    </row>
    <row r="4" spans="1:21" ht="14.4" x14ac:dyDescent="0.3">
      <c r="A4" s="22">
        <f>'Monthly Data'!A4</f>
        <v>39873</v>
      </c>
      <c r="B4" s="6">
        <f t="shared" si="3"/>
        <v>2009</v>
      </c>
      <c r="C4" s="20">
        <f ca="1">'Monthly Data'!J4</f>
        <v>5678036.4363599839</v>
      </c>
      <c r="D4" s="6">
        <f>'Monthly Data'!AG4</f>
        <v>456.7999999999999</v>
      </c>
      <c r="E4" s="6">
        <f>'Monthly Data'!AH4</f>
        <v>0</v>
      </c>
      <c r="F4" s="6">
        <f>'Monthly Data'!AJ4</f>
        <v>142.9</v>
      </c>
      <c r="G4" s="6">
        <f>'Monthly Data'!AL4</f>
        <v>31</v>
      </c>
      <c r="H4" s="6">
        <f>'Monthly Data'!BC4</f>
        <v>1</v>
      </c>
      <c r="I4" s="6">
        <f>'Monthly Data'!AQ4</f>
        <v>1</v>
      </c>
      <c r="J4" s="6">
        <f>'Monthly Data'!AZ4</f>
        <v>0</v>
      </c>
      <c r="L4" s="20">
        <f>'GS &lt; 50 OLS model'!$B$5</f>
        <v>-1088732.49289844</v>
      </c>
      <c r="M4" s="20">
        <f>'GS &lt; 50 OLS model'!$B$6*D4</f>
        <v>470926.27064979851</v>
      </c>
      <c r="N4" s="20">
        <f>'GS &lt; 50 OLS model'!$B$7*E4</f>
        <v>0</v>
      </c>
      <c r="O4" s="20">
        <f>'GS &lt; 50 OLS model'!$B$8*F4</f>
        <v>1630091.943631571</v>
      </c>
      <c r="P4" s="20">
        <f>'GS &lt; 50 OLS model'!$B$9*G4</f>
        <v>4635586.0334030418</v>
      </c>
      <c r="Q4" s="20">
        <f>'GS &lt; 50 OLS model'!$B$10*H4</f>
        <v>-268302.989268562</v>
      </c>
      <c r="R4" s="20">
        <f>'GS &lt; 50 OLS model'!$B$11*I4</f>
        <v>178696.970766832</v>
      </c>
      <c r="S4" s="20">
        <f>'GS &lt; 50 OLS model'!$B$12*J4</f>
        <v>0</v>
      </c>
      <c r="T4" s="20">
        <f t="shared" si="1"/>
        <v>5558265.736284242</v>
      </c>
      <c r="U4" s="23">
        <f t="shared" ca="1" si="2"/>
        <v>2.109368289868235E-2</v>
      </c>
    </row>
    <row r="5" spans="1:21" ht="14.4" x14ac:dyDescent="0.3">
      <c r="A5" s="22">
        <f>'Monthly Data'!A5</f>
        <v>39904</v>
      </c>
      <c r="B5" s="6">
        <f t="shared" si="3"/>
        <v>2009</v>
      </c>
      <c r="C5" s="20">
        <f ca="1">'Monthly Data'!J5</f>
        <v>5165756.2748493869</v>
      </c>
      <c r="D5" s="6">
        <f>'Monthly Data'!AG5</f>
        <v>263.29999999999995</v>
      </c>
      <c r="E5" s="6">
        <f>'Monthly Data'!AH5</f>
        <v>10.399999999999999</v>
      </c>
      <c r="F5" s="6">
        <f>'Monthly Data'!AJ5</f>
        <v>144.80000000000001</v>
      </c>
      <c r="G5" s="6">
        <f>'Monthly Data'!AL5</f>
        <v>30</v>
      </c>
      <c r="H5" s="6">
        <f>'Monthly Data'!BC5</f>
        <v>1</v>
      </c>
      <c r="I5" s="6">
        <f>'Monthly Data'!AQ5</f>
        <v>0</v>
      </c>
      <c r="J5" s="6">
        <f>'Monthly Data'!AZ5</f>
        <v>0</v>
      </c>
      <c r="L5" s="20">
        <f>'GS &lt; 50 OLS model'!$B$5</f>
        <v>-1088732.49289844</v>
      </c>
      <c r="M5" s="20">
        <f>'GS &lt; 50 OLS model'!$B$6*D5</f>
        <v>271442.39724626084</v>
      </c>
      <c r="N5" s="20">
        <f>'GS &lt; 50 OLS model'!$B$7*E5</f>
        <v>79810.24008329527</v>
      </c>
      <c r="O5" s="20">
        <f>'GS &lt; 50 OLS model'!$B$8*F5</f>
        <v>1651765.6643656506</v>
      </c>
      <c r="P5" s="20">
        <f>'GS &lt; 50 OLS model'!$B$9*G5</f>
        <v>4486051.0000674604</v>
      </c>
      <c r="Q5" s="20">
        <f>'GS &lt; 50 OLS model'!$B$10*H5</f>
        <v>-268302.989268562</v>
      </c>
      <c r="R5" s="20">
        <f>'GS &lt; 50 OLS model'!$B$11*I5</f>
        <v>0</v>
      </c>
      <c r="S5" s="20">
        <f>'GS &lt; 50 OLS model'!$B$12*J5</f>
        <v>0</v>
      </c>
      <c r="T5" s="20">
        <f t="shared" si="1"/>
        <v>5132033.8195956657</v>
      </c>
      <c r="U5" s="23">
        <f t="shared" ca="1" si="2"/>
        <v>6.5280771022640689E-3</v>
      </c>
    </row>
    <row r="6" spans="1:21" ht="14.4" x14ac:dyDescent="0.3">
      <c r="A6" s="22">
        <f>'Monthly Data'!A6</f>
        <v>39934</v>
      </c>
      <c r="B6" s="6">
        <f t="shared" si="3"/>
        <v>2009</v>
      </c>
      <c r="C6" s="20">
        <f ca="1">'Monthly Data'!J6</f>
        <v>5358760.0193285467</v>
      </c>
      <c r="D6" s="6">
        <f>'Monthly Data'!AG6</f>
        <v>83.40000000000002</v>
      </c>
      <c r="E6" s="6">
        <f>'Monthly Data'!AH6</f>
        <v>12.899999999999999</v>
      </c>
      <c r="F6" s="6">
        <f>'Monthly Data'!AJ6</f>
        <v>145</v>
      </c>
      <c r="G6" s="6">
        <f>'Monthly Data'!AL6</f>
        <v>31</v>
      </c>
      <c r="H6" s="6">
        <f>'Monthly Data'!BC6</f>
        <v>1</v>
      </c>
      <c r="I6" s="6">
        <f>'Monthly Data'!AQ6</f>
        <v>0</v>
      </c>
      <c r="J6" s="6">
        <f>'Monthly Data'!AZ6</f>
        <v>0</v>
      </c>
      <c r="L6" s="20">
        <f>'GS &lt; 50 OLS model'!$B$5</f>
        <v>-1088732.49289844</v>
      </c>
      <c r="M6" s="20">
        <f>'GS &lt; 50 OLS model'!$B$6*D6</f>
        <v>85979.095823540309</v>
      </c>
      <c r="N6" s="20">
        <f>'GS &lt; 50 OLS model'!$B$7*E6</f>
        <v>98995.393949472011</v>
      </c>
      <c r="O6" s="20">
        <f>'GS &lt; 50 OLS model'!$B$8*F6</f>
        <v>1654047.1086534485</v>
      </c>
      <c r="P6" s="20">
        <f>'GS &lt; 50 OLS model'!$B$9*G6</f>
        <v>4635586.0334030418</v>
      </c>
      <c r="Q6" s="20">
        <f>'GS &lt; 50 OLS model'!$B$10*H6</f>
        <v>-268302.989268562</v>
      </c>
      <c r="R6" s="20">
        <f>'GS &lt; 50 OLS model'!$B$11*I6</f>
        <v>0</v>
      </c>
      <c r="S6" s="20">
        <f>'GS &lt; 50 OLS model'!$B$12*J6</f>
        <v>0</v>
      </c>
      <c r="T6" s="20">
        <f t="shared" si="1"/>
        <v>5117572.1496625012</v>
      </c>
      <c r="U6" s="23">
        <f t="shared" ca="1" si="2"/>
        <v>4.5008149048679807E-2</v>
      </c>
    </row>
    <row r="7" spans="1:21" ht="14.4" x14ac:dyDescent="0.3">
      <c r="A7" s="22">
        <f>'Monthly Data'!A7</f>
        <v>39965</v>
      </c>
      <c r="B7" s="6">
        <f t="shared" si="3"/>
        <v>2009</v>
      </c>
      <c r="C7" s="20">
        <f ca="1">'Monthly Data'!J7</f>
        <v>5663326.2574443072</v>
      </c>
      <c r="D7" s="6">
        <f>'Monthly Data'!AG7</f>
        <v>25.299999999999997</v>
      </c>
      <c r="E7" s="6">
        <f>'Monthly Data'!AH7</f>
        <v>79.399999999999991</v>
      </c>
      <c r="F7" s="6">
        <f>'Monthly Data'!AJ7</f>
        <v>145.69999999999999</v>
      </c>
      <c r="G7" s="6">
        <f>'Monthly Data'!AL7</f>
        <v>30</v>
      </c>
      <c r="H7" s="6">
        <f>'Monthly Data'!BC7</f>
        <v>0</v>
      </c>
      <c r="I7" s="6">
        <f>'Monthly Data'!AQ7</f>
        <v>0</v>
      </c>
      <c r="J7" s="6">
        <f>'Monthly Data'!AZ7</f>
        <v>0</v>
      </c>
      <c r="L7" s="20">
        <f>'GS &lt; 50 OLS model'!$B$5</f>
        <v>-1088732.49289844</v>
      </c>
      <c r="M7" s="20">
        <f>'GS &lt; 50 OLS model'!$B$6*D7</f>
        <v>26082.387581961259</v>
      </c>
      <c r="N7" s="20">
        <f>'GS &lt; 50 OLS model'!$B$7*E7</f>
        <v>609320.48678977345</v>
      </c>
      <c r="O7" s="20">
        <f>'GS &lt; 50 OLS model'!$B$8*F7</f>
        <v>1662032.1636607409</v>
      </c>
      <c r="P7" s="20">
        <f>'GS &lt; 50 OLS model'!$B$9*G7</f>
        <v>4486051.0000674604</v>
      </c>
      <c r="Q7" s="20">
        <f>'GS &lt; 50 OLS model'!$B$10*H7</f>
        <v>0</v>
      </c>
      <c r="R7" s="20">
        <f>'GS &lt; 50 OLS model'!$B$11*I7</f>
        <v>0</v>
      </c>
      <c r="S7" s="20">
        <f>'GS &lt; 50 OLS model'!$B$12*J7</f>
        <v>0</v>
      </c>
      <c r="T7" s="20">
        <f t="shared" si="1"/>
        <v>5694753.5452014962</v>
      </c>
      <c r="U7" s="23">
        <f t="shared" ca="1" si="2"/>
        <v>5.5492631588862805E-3</v>
      </c>
    </row>
    <row r="8" spans="1:21" ht="14.4" x14ac:dyDescent="0.3">
      <c r="A8" s="22">
        <f>'Monthly Data'!A8</f>
        <v>39995</v>
      </c>
      <c r="B8" s="6">
        <f t="shared" si="3"/>
        <v>2009</v>
      </c>
      <c r="C8" s="20">
        <f ca="1">'Monthly Data'!J8</f>
        <v>6200335.1519909399</v>
      </c>
      <c r="D8" s="6">
        <f>'Monthly Data'!AG8</f>
        <v>0.5</v>
      </c>
      <c r="E8" s="6">
        <f>'Monthly Data'!AH8</f>
        <v>100.19999999999999</v>
      </c>
      <c r="F8" s="6">
        <f>'Monthly Data'!AJ8</f>
        <v>144.30000000000001</v>
      </c>
      <c r="G8" s="6">
        <f>'Monthly Data'!AL8</f>
        <v>31</v>
      </c>
      <c r="H8" s="6">
        <f>'Monthly Data'!BC8</f>
        <v>0</v>
      </c>
      <c r="I8" s="6">
        <f>'Monthly Data'!AQ8</f>
        <v>0</v>
      </c>
      <c r="J8" s="6">
        <f>'Monthly Data'!AZ8</f>
        <v>0</v>
      </c>
      <c r="L8" s="20">
        <f>'GS &lt; 50 OLS model'!$B$5</f>
        <v>-1088732.49289844</v>
      </c>
      <c r="M8" s="20">
        <f>'GS &lt; 50 OLS model'!$B$6*D8</f>
        <v>515.46220517710003</v>
      </c>
      <c r="N8" s="20">
        <f>'GS &lt; 50 OLS model'!$B$7*E8</f>
        <v>768940.96695636399</v>
      </c>
      <c r="O8" s="20">
        <f>'GS &lt; 50 OLS model'!$B$8*F8</f>
        <v>1646062.0536461561</v>
      </c>
      <c r="P8" s="20">
        <f>'GS &lt; 50 OLS model'!$B$9*G8</f>
        <v>4635586.0334030418</v>
      </c>
      <c r="Q8" s="20">
        <f>'GS &lt; 50 OLS model'!$B$10*H8</f>
        <v>0</v>
      </c>
      <c r="R8" s="20">
        <f>'GS &lt; 50 OLS model'!$B$11*I8</f>
        <v>0</v>
      </c>
      <c r="S8" s="20">
        <f>'GS &lt; 50 OLS model'!$B$12*J8</f>
        <v>0</v>
      </c>
      <c r="T8" s="20">
        <f t="shared" si="1"/>
        <v>5962372.0233122986</v>
      </c>
      <c r="U8" s="23">
        <f t="shared" ca="1" si="2"/>
        <v>3.8379075137935224E-2</v>
      </c>
    </row>
    <row r="9" spans="1:21" ht="14.4" x14ac:dyDescent="0.3">
      <c r="A9" s="22">
        <f>'Monthly Data'!A9</f>
        <v>40026</v>
      </c>
      <c r="B9" s="6">
        <f t="shared" si="3"/>
        <v>2009</v>
      </c>
      <c r="C9" s="20">
        <f ca="1">'Monthly Data'!J9</f>
        <v>6260864.1239666771</v>
      </c>
      <c r="D9" s="6">
        <f>'Monthly Data'!AG9</f>
        <v>5.9</v>
      </c>
      <c r="E9" s="6">
        <f>'Monthly Data'!AH9</f>
        <v>133.4</v>
      </c>
      <c r="F9" s="6">
        <f>'Monthly Data'!AJ9</f>
        <v>145.1</v>
      </c>
      <c r="G9" s="6">
        <f>'Monthly Data'!AL9</f>
        <v>31</v>
      </c>
      <c r="H9" s="6">
        <f>'Monthly Data'!BC9</f>
        <v>0</v>
      </c>
      <c r="I9" s="6">
        <f>'Monthly Data'!AQ9</f>
        <v>0</v>
      </c>
      <c r="J9" s="6">
        <f>'Monthly Data'!AZ9</f>
        <v>0</v>
      </c>
      <c r="L9" s="20">
        <f>'GS &lt; 50 OLS model'!$B$5</f>
        <v>-1088732.49289844</v>
      </c>
      <c r="M9" s="20">
        <f>'GS &lt; 50 OLS model'!$B$6*D9</f>
        <v>6082.4540210897803</v>
      </c>
      <c r="N9" s="20">
        <f>'GS &lt; 50 OLS model'!$B$7*E9</f>
        <v>1023719.8102991914</v>
      </c>
      <c r="O9" s="20">
        <f>'GS &lt; 50 OLS model'!$B$8*F9</f>
        <v>1655187.8307973472</v>
      </c>
      <c r="P9" s="20">
        <f>'GS &lt; 50 OLS model'!$B$9*G9</f>
        <v>4635586.0334030418</v>
      </c>
      <c r="Q9" s="20">
        <f>'GS &lt; 50 OLS model'!$B$10*H9</f>
        <v>0</v>
      </c>
      <c r="R9" s="20">
        <f>'GS &lt; 50 OLS model'!$B$11*I9</f>
        <v>0</v>
      </c>
      <c r="S9" s="20">
        <f>'GS &lt; 50 OLS model'!$B$12*J9</f>
        <v>0</v>
      </c>
      <c r="T9" s="20">
        <f t="shared" si="1"/>
        <v>6231843.6356222304</v>
      </c>
      <c r="U9" s="23">
        <f t="shared" ca="1" si="2"/>
        <v>4.6352209167670501E-3</v>
      </c>
    </row>
    <row r="10" spans="1:21" ht="14.4" x14ac:dyDescent="0.3">
      <c r="A10" s="22">
        <f>'Monthly Data'!A10</f>
        <v>40057</v>
      </c>
      <c r="B10" s="6">
        <f t="shared" si="3"/>
        <v>2009</v>
      </c>
      <c r="C10" s="20">
        <f ca="1">'Monthly Data'!J10</f>
        <v>5590921.3744961126</v>
      </c>
      <c r="D10" s="6">
        <f>'Monthly Data'!AG10</f>
        <v>26.2</v>
      </c>
      <c r="E10" s="6">
        <f>'Monthly Data'!AH10</f>
        <v>54.699999999999989</v>
      </c>
      <c r="F10" s="6">
        <f>'Monthly Data'!AJ10</f>
        <v>146.80000000000001</v>
      </c>
      <c r="G10" s="6">
        <f>'Monthly Data'!AL10</f>
        <v>30</v>
      </c>
      <c r="H10" s="6">
        <f>'Monthly Data'!BC10</f>
        <v>0</v>
      </c>
      <c r="I10" s="6">
        <f>'Monthly Data'!AQ10</f>
        <v>0</v>
      </c>
      <c r="J10" s="6">
        <f>'Monthly Data'!AZ10</f>
        <v>0</v>
      </c>
      <c r="L10" s="20">
        <f>'GS &lt; 50 OLS model'!$B$5</f>
        <v>-1088732.49289844</v>
      </c>
      <c r="M10" s="20">
        <f>'GS &lt; 50 OLS model'!$B$6*D10</f>
        <v>27010.219551280043</v>
      </c>
      <c r="N10" s="20">
        <f>'GS &lt; 50 OLS model'!$B$7*E10</f>
        <v>419771.1665919472</v>
      </c>
      <c r="O10" s="20">
        <f>'GS &lt; 50 OLS model'!$B$8*F10</f>
        <v>1674580.1072436294</v>
      </c>
      <c r="P10" s="20">
        <f>'GS &lt; 50 OLS model'!$B$9*G10</f>
        <v>4486051.0000674604</v>
      </c>
      <c r="Q10" s="20">
        <f>'GS &lt; 50 OLS model'!$B$10*H10</f>
        <v>0</v>
      </c>
      <c r="R10" s="20">
        <f>'GS &lt; 50 OLS model'!$B$11*I10</f>
        <v>0</v>
      </c>
      <c r="S10" s="20">
        <f>'GS &lt; 50 OLS model'!$B$12*J10</f>
        <v>0</v>
      </c>
      <c r="T10" s="20">
        <f t="shared" si="1"/>
        <v>5518680.0005558766</v>
      </c>
      <c r="U10" s="23">
        <f t="shared" ca="1" si="2"/>
        <v>1.2921192966471784E-2</v>
      </c>
    </row>
    <row r="11" spans="1:21" ht="14.4" x14ac:dyDescent="0.3">
      <c r="A11" s="22">
        <f>'Monthly Data'!A11</f>
        <v>40087</v>
      </c>
      <c r="B11" s="6">
        <f t="shared" si="3"/>
        <v>2009</v>
      </c>
      <c r="C11" s="20">
        <f ca="1">'Monthly Data'!J11</f>
        <v>5185699.0044068033</v>
      </c>
      <c r="D11" s="6">
        <f>'Monthly Data'!AG11</f>
        <v>230.79999999999995</v>
      </c>
      <c r="E11" s="6">
        <f>'Monthly Data'!AH11</f>
        <v>0</v>
      </c>
      <c r="F11" s="6">
        <f>'Monthly Data'!AJ11</f>
        <v>149.19999999999999</v>
      </c>
      <c r="G11" s="6">
        <f>'Monthly Data'!AL11</f>
        <v>31</v>
      </c>
      <c r="H11" s="6">
        <f>'Monthly Data'!BC11</f>
        <v>1</v>
      </c>
      <c r="I11" s="6">
        <f>'Monthly Data'!AQ11</f>
        <v>0</v>
      </c>
      <c r="J11" s="6">
        <f>'Monthly Data'!AZ11</f>
        <v>0</v>
      </c>
      <c r="L11" s="20">
        <f>'GS &lt; 50 OLS model'!$B$5</f>
        <v>-1088732.49289844</v>
      </c>
      <c r="M11" s="20">
        <f>'GS &lt; 50 OLS model'!$B$6*D11</f>
        <v>237937.35390974933</v>
      </c>
      <c r="N11" s="20">
        <f>'GS &lt; 50 OLS model'!$B$7*E11</f>
        <v>0</v>
      </c>
      <c r="O11" s="20">
        <f>'GS &lt; 50 OLS model'!$B$8*F11</f>
        <v>1701957.4386972033</v>
      </c>
      <c r="P11" s="20">
        <f>'GS &lt; 50 OLS model'!$B$9*G11</f>
        <v>4635586.0334030418</v>
      </c>
      <c r="Q11" s="20">
        <f>'GS &lt; 50 OLS model'!$B$10*H11</f>
        <v>-268302.989268562</v>
      </c>
      <c r="R11" s="20">
        <f>'GS &lt; 50 OLS model'!$B$11*I11</f>
        <v>0</v>
      </c>
      <c r="S11" s="20">
        <f>'GS &lt; 50 OLS model'!$B$12*J11</f>
        <v>0</v>
      </c>
      <c r="T11" s="20">
        <f t="shared" si="1"/>
        <v>5218445.3438429926</v>
      </c>
      <c r="U11" s="23">
        <f t="shared" ca="1" si="2"/>
        <v>6.3147397117267034E-3</v>
      </c>
    </row>
    <row r="12" spans="1:21" ht="14.4" x14ac:dyDescent="0.3">
      <c r="A12" s="22">
        <f>'Monthly Data'!A12</f>
        <v>40118</v>
      </c>
      <c r="B12" s="6">
        <f t="shared" si="3"/>
        <v>2009</v>
      </c>
      <c r="C12" s="20">
        <f ca="1">'Monthly Data'!J12</f>
        <v>5131204.807266444</v>
      </c>
      <c r="D12" s="6">
        <f>'Monthly Data'!AG12</f>
        <v>305.49999999999989</v>
      </c>
      <c r="E12" s="6">
        <f>'Monthly Data'!AH12</f>
        <v>0</v>
      </c>
      <c r="F12" s="6">
        <f>'Monthly Data'!AJ12</f>
        <v>150.1</v>
      </c>
      <c r="G12" s="6">
        <f>'Monthly Data'!AL12</f>
        <v>30</v>
      </c>
      <c r="H12" s="6">
        <f>'Monthly Data'!BC12</f>
        <v>1</v>
      </c>
      <c r="I12" s="6">
        <f>'Monthly Data'!AQ12</f>
        <v>0</v>
      </c>
      <c r="J12" s="6">
        <f>'Monthly Data'!AZ12</f>
        <v>0</v>
      </c>
      <c r="L12" s="20">
        <f>'GS &lt; 50 OLS model'!$B$5</f>
        <v>-1088732.49289844</v>
      </c>
      <c r="M12" s="20">
        <f>'GS &lt; 50 OLS model'!$B$6*D12</f>
        <v>314947.40736320801</v>
      </c>
      <c r="N12" s="20">
        <f>'GS &lt; 50 OLS model'!$B$7*E12</f>
        <v>0</v>
      </c>
      <c r="O12" s="20">
        <f>'GS &lt; 50 OLS model'!$B$8*F12</f>
        <v>1712223.9379922939</v>
      </c>
      <c r="P12" s="20">
        <f>'GS &lt; 50 OLS model'!$B$9*G12</f>
        <v>4486051.0000674604</v>
      </c>
      <c r="Q12" s="20">
        <f>'GS &lt; 50 OLS model'!$B$10*H12</f>
        <v>-268302.989268562</v>
      </c>
      <c r="R12" s="20">
        <f>'GS &lt; 50 OLS model'!$B$11*I12</f>
        <v>0</v>
      </c>
      <c r="S12" s="20">
        <f>'GS &lt; 50 OLS model'!$B$12*J12</f>
        <v>0</v>
      </c>
      <c r="T12" s="20">
        <f t="shared" si="1"/>
        <v>5156186.8632559609</v>
      </c>
      <c r="U12" s="23">
        <f t="shared" ca="1" si="2"/>
        <v>4.8686530606104643E-3</v>
      </c>
    </row>
    <row r="13" spans="1:21" ht="14.4" x14ac:dyDescent="0.3">
      <c r="A13" s="22">
        <f>'Monthly Data'!A13</f>
        <v>40148</v>
      </c>
      <c r="B13" s="6">
        <f t="shared" si="3"/>
        <v>2009</v>
      </c>
      <c r="C13" s="20">
        <f ca="1">'Monthly Data'!J13</f>
        <v>5688515.449409673</v>
      </c>
      <c r="D13" s="6">
        <f>'Monthly Data'!AG13</f>
        <v>582</v>
      </c>
      <c r="E13" s="6">
        <f>'Monthly Data'!AH13</f>
        <v>0</v>
      </c>
      <c r="F13" s="6">
        <f>'Monthly Data'!AJ13</f>
        <v>150.19999999999999</v>
      </c>
      <c r="G13" s="6">
        <f>'Monthly Data'!AL13</f>
        <v>31</v>
      </c>
      <c r="H13" s="6">
        <f>'Monthly Data'!BC13</f>
        <v>0</v>
      </c>
      <c r="I13" s="6">
        <f>'Monthly Data'!AQ13</f>
        <v>0</v>
      </c>
      <c r="J13" s="6">
        <f>'Monthly Data'!AZ13</f>
        <v>1</v>
      </c>
      <c r="L13" s="20">
        <f>'GS &lt; 50 OLS model'!$B$5</f>
        <v>-1088732.49289844</v>
      </c>
      <c r="M13" s="20">
        <f>'GS &lt; 50 OLS model'!$B$6*D13</f>
        <v>599998.00682614441</v>
      </c>
      <c r="N13" s="20">
        <f>'GS &lt; 50 OLS model'!$B$7*E13</f>
        <v>0</v>
      </c>
      <c r="O13" s="20">
        <f>'GS &lt; 50 OLS model'!$B$8*F13</f>
        <v>1713364.6601361926</v>
      </c>
      <c r="P13" s="20">
        <f>'GS &lt; 50 OLS model'!$B$9*G13</f>
        <v>4635586.0334030418</v>
      </c>
      <c r="Q13" s="20">
        <f>'GS &lt; 50 OLS model'!$B$10*H13</f>
        <v>0</v>
      </c>
      <c r="R13" s="20">
        <f>'GS &lt; 50 OLS model'!$B$11*I13</f>
        <v>0</v>
      </c>
      <c r="S13" s="20">
        <f>'GS &lt; 50 OLS model'!$B$12*J13</f>
        <v>-197900.76217015099</v>
      </c>
      <c r="T13" s="20">
        <f t="shared" si="1"/>
        <v>5662315.4452967877</v>
      </c>
      <c r="U13" s="23">
        <f t="shared" ca="1" si="2"/>
        <v>4.6057718126799223E-3</v>
      </c>
    </row>
    <row r="14" spans="1:21" ht="14.4" x14ac:dyDescent="0.3">
      <c r="A14" s="22">
        <f>'Monthly Data'!A14</f>
        <v>40179</v>
      </c>
      <c r="B14" s="6">
        <f t="shared" si="3"/>
        <v>2010</v>
      </c>
      <c r="C14" s="20">
        <f ca="1">'Monthly Data'!J14</f>
        <v>5896501.9011723185</v>
      </c>
      <c r="D14" s="6">
        <f>'Monthly Data'!AG14</f>
        <v>663.29999999999984</v>
      </c>
      <c r="E14" s="6">
        <f>'Monthly Data'!AH14</f>
        <v>0</v>
      </c>
      <c r="F14" s="6">
        <f>'Monthly Data'!AJ14</f>
        <v>146.80000000000001</v>
      </c>
      <c r="G14" s="6">
        <f>'Monthly Data'!AL14</f>
        <v>31</v>
      </c>
      <c r="H14" s="6">
        <f>'Monthly Data'!BC14</f>
        <v>0</v>
      </c>
      <c r="I14" s="6">
        <f>'Monthly Data'!AQ14</f>
        <v>0</v>
      </c>
      <c r="J14" s="6">
        <f>'Monthly Data'!AZ14</f>
        <v>0</v>
      </c>
      <c r="L14" s="20">
        <f>'GS &lt; 50 OLS model'!$B$5</f>
        <v>-1088732.49289844</v>
      </c>
      <c r="M14" s="20">
        <f>'GS &lt; 50 OLS model'!$B$6*D14</f>
        <v>683812.16138794075</v>
      </c>
      <c r="N14" s="20">
        <f>'GS &lt; 50 OLS model'!$B$7*E14</f>
        <v>0</v>
      </c>
      <c r="O14" s="20">
        <f>'GS &lt; 50 OLS model'!$B$8*F14</f>
        <v>1674580.1072436294</v>
      </c>
      <c r="P14" s="20">
        <f>'GS &lt; 50 OLS model'!$B$9*G14</f>
        <v>4635586.0334030418</v>
      </c>
      <c r="Q14" s="20">
        <f>'GS &lt; 50 OLS model'!$B$10*H14</f>
        <v>0</v>
      </c>
      <c r="R14" s="20">
        <f>'GS &lt; 50 OLS model'!$B$11*I14</f>
        <v>0</v>
      </c>
      <c r="S14" s="20">
        <f>'GS &lt; 50 OLS model'!$B$12*J14</f>
        <v>0</v>
      </c>
      <c r="T14" s="20">
        <f t="shared" si="1"/>
        <v>5905245.8091361718</v>
      </c>
      <c r="U14" s="23">
        <f t="shared" ca="1" si="2"/>
        <v>1.4828975060815128E-3</v>
      </c>
    </row>
    <row r="15" spans="1:21" ht="14.4" x14ac:dyDescent="0.3">
      <c r="A15" s="22">
        <f>'Monthly Data'!A15</f>
        <v>40210</v>
      </c>
      <c r="B15" s="6">
        <f t="shared" si="3"/>
        <v>2010</v>
      </c>
      <c r="C15" s="20">
        <f ca="1">'Monthly Data'!J15</f>
        <v>5282460.4406652441</v>
      </c>
      <c r="D15" s="6">
        <f>'Monthly Data'!AG15</f>
        <v>557.29999999999995</v>
      </c>
      <c r="E15" s="6">
        <f>'Monthly Data'!AH15</f>
        <v>0</v>
      </c>
      <c r="F15" s="6">
        <f>'Monthly Data'!AJ15</f>
        <v>145.5</v>
      </c>
      <c r="G15" s="6">
        <f>'Monthly Data'!AL15</f>
        <v>28</v>
      </c>
      <c r="H15" s="6">
        <f>'Monthly Data'!BC15</f>
        <v>0</v>
      </c>
      <c r="I15" s="6">
        <f>'Monthly Data'!AQ15</f>
        <v>0</v>
      </c>
      <c r="J15" s="6">
        <f>'Monthly Data'!AZ15</f>
        <v>0</v>
      </c>
      <c r="L15" s="20">
        <f>'GS &lt; 50 OLS model'!$B$5</f>
        <v>-1088732.49289844</v>
      </c>
      <c r="M15" s="20">
        <f>'GS &lt; 50 OLS model'!$B$6*D15</f>
        <v>574534.17389039567</v>
      </c>
      <c r="N15" s="20">
        <f>'GS &lt; 50 OLS model'!$B$7*E15</f>
        <v>0</v>
      </c>
      <c r="O15" s="20">
        <f>'GS &lt; 50 OLS model'!$B$8*F15</f>
        <v>1659750.719372943</v>
      </c>
      <c r="P15" s="20">
        <f>'GS &lt; 50 OLS model'!$B$9*G15</f>
        <v>4186980.9333962961</v>
      </c>
      <c r="Q15" s="20">
        <f>'GS &lt; 50 OLS model'!$B$10*H15</f>
        <v>0</v>
      </c>
      <c r="R15" s="20">
        <f>'GS &lt; 50 OLS model'!$B$11*I15</f>
        <v>0</v>
      </c>
      <c r="S15" s="20">
        <f>'GS &lt; 50 OLS model'!$B$12*J15</f>
        <v>0</v>
      </c>
      <c r="T15" s="20">
        <f t="shared" si="1"/>
        <v>5332533.3337611947</v>
      </c>
      <c r="U15" s="23">
        <f t="shared" ca="1" si="2"/>
        <v>9.4790852971621473E-3</v>
      </c>
    </row>
    <row r="16" spans="1:21" ht="14.4" x14ac:dyDescent="0.3">
      <c r="A16" s="22">
        <f>'Monthly Data'!A16</f>
        <v>40238</v>
      </c>
      <c r="B16" s="6">
        <f t="shared" si="3"/>
        <v>2010</v>
      </c>
      <c r="C16" s="20">
        <f ca="1">'Monthly Data'!J16</f>
        <v>5367265.7782861628</v>
      </c>
      <c r="D16" s="6">
        <f>'Monthly Data'!AG16</f>
        <v>393.39999999999986</v>
      </c>
      <c r="E16" s="6">
        <f>'Monthly Data'!AH16</f>
        <v>0</v>
      </c>
      <c r="F16" s="6">
        <f>'Monthly Data'!AJ16</f>
        <v>143.30000000000001</v>
      </c>
      <c r="G16" s="6">
        <f>'Monthly Data'!AL16</f>
        <v>31</v>
      </c>
      <c r="H16" s="6">
        <f>'Monthly Data'!BC16</f>
        <v>1</v>
      </c>
      <c r="I16" s="6">
        <f>'Monthly Data'!AQ16</f>
        <v>1</v>
      </c>
      <c r="J16" s="6">
        <f>'Monthly Data'!AZ16</f>
        <v>0</v>
      </c>
      <c r="L16" s="20">
        <f>'GS &lt; 50 OLS model'!$B$5</f>
        <v>-1088732.49289844</v>
      </c>
      <c r="M16" s="20">
        <f>'GS &lt; 50 OLS model'!$B$6*D16</f>
        <v>405565.66303334216</v>
      </c>
      <c r="N16" s="20">
        <f>'GS &lt; 50 OLS model'!$B$7*E16</f>
        <v>0</v>
      </c>
      <c r="O16" s="20">
        <f>'GS &lt; 50 OLS model'!$B$8*F16</f>
        <v>1634654.8322071668</v>
      </c>
      <c r="P16" s="20">
        <f>'GS &lt; 50 OLS model'!$B$9*G16</f>
        <v>4635586.0334030418</v>
      </c>
      <c r="Q16" s="20">
        <f>'GS &lt; 50 OLS model'!$B$10*H16</f>
        <v>-268302.989268562</v>
      </c>
      <c r="R16" s="20">
        <f>'GS &lt; 50 OLS model'!$B$11*I16</f>
        <v>178696.970766832</v>
      </c>
      <c r="S16" s="20">
        <f>'GS &lt; 50 OLS model'!$B$12*J16</f>
        <v>0</v>
      </c>
      <c r="T16" s="20">
        <f t="shared" si="1"/>
        <v>5497468.0172433807</v>
      </c>
      <c r="U16" s="23">
        <f t="shared" ca="1" si="2"/>
        <v>2.4258578638673853E-2</v>
      </c>
    </row>
    <row r="17" spans="1:21" ht="14.4" x14ac:dyDescent="0.3">
      <c r="A17" s="22">
        <f>'Monthly Data'!A17</f>
        <v>40269</v>
      </c>
      <c r="B17" s="6">
        <f t="shared" si="3"/>
        <v>2010</v>
      </c>
      <c r="C17" s="20">
        <f ca="1">'Monthly Data'!J17</f>
        <v>5048654.5806024112</v>
      </c>
      <c r="D17" s="6">
        <f>'Monthly Data'!AG17</f>
        <v>174.9</v>
      </c>
      <c r="E17" s="6">
        <f>'Monthly Data'!AH17</f>
        <v>5</v>
      </c>
      <c r="F17" s="6">
        <f>'Monthly Data'!AJ17</f>
        <v>146.6</v>
      </c>
      <c r="G17" s="6">
        <f>'Monthly Data'!AL17</f>
        <v>30</v>
      </c>
      <c r="H17" s="6">
        <f>'Monthly Data'!BC17</f>
        <v>1</v>
      </c>
      <c r="I17" s="6">
        <f>'Monthly Data'!AQ17</f>
        <v>0</v>
      </c>
      <c r="J17" s="6">
        <f>'Monthly Data'!AZ17</f>
        <v>0</v>
      </c>
      <c r="L17" s="20">
        <f>'GS &lt; 50 OLS model'!$B$5</f>
        <v>-1088732.49289844</v>
      </c>
      <c r="M17" s="20">
        <f>'GS &lt; 50 OLS model'!$B$6*D17</f>
        <v>180308.6793709496</v>
      </c>
      <c r="N17" s="20">
        <f>'GS &lt; 50 OLS model'!$B$7*E17</f>
        <v>38370.307732353496</v>
      </c>
      <c r="O17" s="20">
        <f>'GS &lt; 50 OLS model'!$B$8*F17</f>
        <v>1672298.6629558313</v>
      </c>
      <c r="P17" s="20">
        <f>'GS &lt; 50 OLS model'!$B$9*G17</f>
        <v>4486051.0000674604</v>
      </c>
      <c r="Q17" s="20">
        <f>'GS &lt; 50 OLS model'!$B$10*H17</f>
        <v>-268302.989268562</v>
      </c>
      <c r="R17" s="20">
        <f>'GS &lt; 50 OLS model'!$B$11*I17</f>
        <v>0</v>
      </c>
      <c r="S17" s="20">
        <f>'GS &lt; 50 OLS model'!$B$12*J17</f>
        <v>0</v>
      </c>
      <c r="T17" s="20">
        <f t="shared" si="1"/>
        <v>5019993.1679595932</v>
      </c>
      <c r="U17" s="23">
        <f t="shared" ca="1" si="2"/>
        <v>5.6770397311273436E-3</v>
      </c>
    </row>
    <row r="18" spans="1:21" ht="14.4" x14ac:dyDescent="0.3">
      <c r="A18" s="22">
        <f>'Monthly Data'!A18</f>
        <v>40299</v>
      </c>
      <c r="B18" s="6">
        <f t="shared" si="3"/>
        <v>2010</v>
      </c>
      <c r="C18" s="20">
        <f ca="1">'Monthly Data'!J18</f>
        <v>5629447.9636161011</v>
      </c>
      <c r="D18" s="6">
        <f>'Monthly Data'!AG18</f>
        <v>84.300000000000011</v>
      </c>
      <c r="E18" s="6">
        <f>'Monthly Data'!AH18</f>
        <v>59.699999999999989</v>
      </c>
      <c r="F18" s="6">
        <f>'Monthly Data'!AJ18</f>
        <v>147.80000000000001</v>
      </c>
      <c r="G18" s="6">
        <f>'Monthly Data'!AL18</f>
        <v>31</v>
      </c>
      <c r="H18" s="6">
        <f>'Monthly Data'!BC18</f>
        <v>1</v>
      </c>
      <c r="I18" s="6">
        <f>'Monthly Data'!AQ18</f>
        <v>0</v>
      </c>
      <c r="J18" s="6">
        <f>'Monthly Data'!AZ18</f>
        <v>0</v>
      </c>
      <c r="L18" s="20">
        <f>'GS &lt; 50 OLS model'!$B$5</f>
        <v>-1088732.49289844</v>
      </c>
      <c r="M18" s="20">
        <f>'GS &lt; 50 OLS model'!$B$6*D18</f>
        <v>86906.927792859075</v>
      </c>
      <c r="N18" s="20">
        <f>'GS &lt; 50 OLS model'!$B$7*E18</f>
        <v>458141.47432430071</v>
      </c>
      <c r="O18" s="20">
        <f>'GS &lt; 50 OLS model'!$B$8*F18</f>
        <v>1685987.3286826187</v>
      </c>
      <c r="P18" s="20">
        <f>'GS &lt; 50 OLS model'!$B$9*G18</f>
        <v>4635586.0334030418</v>
      </c>
      <c r="Q18" s="20">
        <f>'GS &lt; 50 OLS model'!$B$10*H18</f>
        <v>-268302.989268562</v>
      </c>
      <c r="R18" s="20">
        <f>'GS &lt; 50 OLS model'!$B$11*I18</f>
        <v>0</v>
      </c>
      <c r="S18" s="20">
        <f>'GS &lt; 50 OLS model'!$B$12*J18</f>
        <v>0</v>
      </c>
      <c r="T18" s="20">
        <f t="shared" si="1"/>
        <v>5509586.2820358183</v>
      </c>
      <c r="U18" s="23">
        <f t="shared" ca="1" si="2"/>
        <v>2.1291906836152556E-2</v>
      </c>
    </row>
    <row r="19" spans="1:21" ht="14.4" x14ac:dyDescent="0.3">
      <c r="A19" s="22">
        <f>'Monthly Data'!A19</f>
        <v>40330</v>
      </c>
      <c r="B19" s="6">
        <f t="shared" si="3"/>
        <v>2010</v>
      </c>
      <c r="C19" s="20">
        <f ca="1">'Monthly Data'!J19</f>
        <v>6292517.6784429774</v>
      </c>
      <c r="D19" s="6">
        <f>'Monthly Data'!AG19</f>
        <v>3.9000000000000004</v>
      </c>
      <c r="E19" s="6">
        <f>'Monthly Data'!AH19</f>
        <v>135.89999999999998</v>
      </c>
      <c r="F19" s="6">
        <f>'Monthly Data'!AJ19</f>
        <v>149.9</v>
      </c>
      <c r="G19" s="6">
        <f>'Monthly Data'!AL19</f>
        <v>30</v>
      </c>
      <c r="H19" s="6">
        <f>'Monthly Data'!BC19</f>
        <v>0</v>
      </c>
      <c r="I19" s="6">
        <f>'Monthly Data'!AQ19</f>
        <v>0</v>
      </c>
      <c r="J19" s="6">
        <f>'Monthly Data'!AZ19</f>
        <v>0</v>
      </c>
      <c r="L19" s="20">
        <f>'GS &lt; 50 OLS model'!$B$5</f>
        <v>-1088732.49289844</v>
      </c>
      <c r="M19" s="20">
        <f>'GS &lt; 50 OLS model'!$B$6*D19</f>
        <v>4020.6052003813807</v>
      </c>
      <c r="N19" s="20">
        <f>'GS &lt; 50 OLS model'!$B$7*E19</f>
        <v>1042904.9641653679</v>
      </c>
      <c r="O19" s="20">
        <f>'GS &lt; 50 OLS model'!$B$8*F19</f>
        <v>1709942.4937044962</v>
      </c>
      <c r="P19" s="20">
        <f>'GS &lt; 50 OLS model'!$B$9*G19</f>
        <v>4486051.0000674604</v>
      </c>
      <c r="Q19" s="20">
        <f>'GS &lt; 50 OLS model'!$B$10*H19</f>
        <v>0</v>
      </c>
      <c r="R19" s="20">
        <f>'GS &lt; 50 OLS model'!$B$11*I19</f>
        <v>0</v>
      </c>
      <c r="S19" s="20">
        <f>'GS &lt; 50 OLS model'!$B$12*J19</f>
        <v>0</v>
      </c>
      <c r="T19" s="20">
        <f t="shared" si="1"/>
        <v>6154186.5702392664</v>
      </c>
      <c r="U19" s="23">
        <f t="shared" ca="1" si="2"/>
        <v>2.1983427822159046E-2</v>
      </c>
    </row>
    <row r="20" spans="1:21" ht="14.4" x14ac:dyDescent="0.3">
      <c r="A20" s="22">
        <f>'Monthly Data'!A20</f>
        <v>40360</v>
      </c>
      <c r="B20" s="6">
        <f t="shared" si="3"/>
        <v>2010</v>
      </c>
      <c r="C20" s="20">
        <f ca="1">'Monthly Data'!J20</f>
        <v>7051776.6779211387</v>
      </c>
      <c r="D20" s="6">
        <f>'Monthly Data'!AG20</f>
        <v>0</v>
      </c>
      <c r="E20" s="6">
        <f>'Monthly Data'!AH20</f>
        <v>227.00000000000006</v>
      </c>
      <c r="F20" s="6">
        <f>'Monthly Data'!AJ20</f>
        <v>148.30000000000001</v>
      </c>
      <c r="G20" s="6">
        <f>'Monthly Data'!AL20</f>
        <v>31</v>
      </c>
      <c r="H20" s="6">
        <f>'Monthly Data'!BC20</f>
        <v>0</v>
      </c>
      <c r="I20" s="6">
        <f>'Monthly Data'!AQ20</f>
        <v>0</v>
      </c>
      <c r="J20" s="6">
        <f>'Monthly Data'!AZ20</f>
        <v>0</v>
      </c>
      <c r="L20" s="20">
        <f>'GS &lt; 50 OLS model'!$B$5</f>
        <v>-1088732.49289844</v>
      </c>
      <c r="M20" s="20">
        <f>'GS &lt; 50 OLS model'!$B$6*D20</f>
        <v>0</v>
      </c>
      <c r="N20" s="20">
        <f>'GS &lt; 50 OLS model'!$B$7*E20</f>
        <v>1742011.9710488494</v>
      </c>
      <c r="O20" s="20">
        <f>'GS &lt; 50 OLS model'!$B$8*F20</f>
        <v>1691690.9394021132</v>
      </c>
      <c r="P20" s="20">
        <f>'GS &lt; 50 OLS model'!$B$9*G20</f>
        <v>4635586.0334030418</v>
      </c>
      <c r="Q20" s="20">
        <f>'GS &lt; 50 OLS model'!$B$10*H20</f>
        <v>0</v>
      </c>
      <c r="R20" s="20">
        <f>'GS &lt; 50 OLS model'!$B$11*I20</f>
        <v>0</v>
      </c>
      <c r="S20" s="20">
        <f>'GS &lt; 50 OLS model'!$B$12*J20</f>
        <v>0</v>
      </c>
      <c r="T20" s="20">
        <f t="shared" si="1"/>
        <v>6980556.4509555642</v>
      </c>
      <c r="U20" s="23">
        <f t="shared" ca="1" si="2"/>
        <v>1.0099614638756575E-2</v>
      </c>
    </row>
    <row r="21" spans="1:21" ht="14.4" x14ac:dyDescent="0.3">
      <c r="A21" s="22">
        <f>'Monthly Data'!A21</f>
        <v>40391</v>
      </c>
      <c r="B21" s="6">
        <f t="shared" si="3"/>
        <v>2010</v>
      </c>
      <c r="C21" s="20">
        <f ca="1">'Monthly Data'!J21</f>
        <v>6891570.3434989201</v>
      </c>
      <c r="D21" s="6">
        <f>'Monthly Data'!AG21</f>
        <v>0</v>
      </c>
      <c r="E21" s="6">
        <f>'Monthly Data'!AH21</f>
        <v>211.80000000000004</v>
      </c>
      <c r="F21" s="6">
        <f>'Monthly Data'!AJ21</f>
        <v>148.4</v>
      </c>
      <c r="G21" s="6">
        <f>'Monthly Data'!AL21</f>
        <v>31</v>
      </c>
      <c r="H21" s="6">
        <f>'Monthly Data'!BC21</f>
        <v>0</v>
      </c>
      <c r="I21" s="6">
        <f>'Monthly Data'!AQ21</f>
        <v>0</v>
      </c>
      <c r="J21" s="6">
        <f>'Monthly Data'!AZ21</f>
        <v>0</v>
      </c>
      <c r="L21" s="20">
        <f>'GS &lt; 50 OLS model'!$B$5</f>
        <v>-1088732.49289844</v>
      </c>
      <c r="M21" s="20">
        <f>'GS &lt; 50 OLS model'!$B$6*D21</f>
        <v>0</v>
      </c>
      <c r="N21" s="20">
        <f>'GS &lt; 50 OLS model'!$B$7*E21</f>
        <v>1625366.2355424946</v>
      </c>
      <c r="O21" s="20">
        <f>'GS &lt; 50 OLS model'!$B$8*F21</f>
        <v>1692831.6615460122</v>
      </c>
      <c r="P21" s="20">
        <f>'GS &lt; 50 OLS model'!$B$9*G21</f>
        <v>4635586.0334030418</v>
      </c>
      <c r="Q21" s="20">
        <f>'GS &lt; 50 OLS model'!$B$10*H21</f>
        <v>0</v>
      </c>
      <c r="R21" s="20">
        <f>'GS &lt; 50 OLS model'!$B$11*I21</f>
        <v>0</v>
      </c>
      <c r="S21" s="20">
        <f>'GS &lt; 50 OLS model'!$B$12*J21</f>
        <v>0</v>
      </c>
      <c r="T21" s="20">
        <f t="shared" si="1"/>
        <v>6865051.437593108</v>
      </c>
      <c r="U21" s="23">
        <f t="shared" ca="1" si="2"/>
        <v>3.8480207824952897E-3</v>
      </c>
    </row>
    <row r="22" spans="1:21" ht="14.4" x14ac:dyDescent="0.3">
      <c r="A22" s="22">
        <f>'Monthly Data'!A22</f>
        <v>40422</v>
      </c>
      <c r="B22" s="6">
        <f t="shared" si="3"/>
        <v>2010</v>
      </c>
      <c r="C22" s="20">
        <f ca="1">'Monthly Data'!J22</f>
        <v>5651782.3575958619</v>
      </c>
      <c r="D22" s="6">
        <f>'Monthly Data'!AG22</f>
        <v>38</v>
      </c>
      <c r="E22" s="6">
        <f>'Monthly Data'!AH22</f>
        <v>59.699999999999989</v>
      </c>
      <c r="F22" s="6">
        <f>'Monthly Data'!AJ22</f>
        <v>148.69999999999999</v>
      </c>
      <c r="G22" s="6">
        <f>'Monthly Data'!AL22</f>
        <v>30</v>
      </c>
      <c r="H22" s="6">
        <f>'Monthly Data'!BC22</f>
        <v>0</v>
      </c>
      <c r="I22" s="6">
        <f>'Monthly Data'!AQ22</f>
        <v>0</v>
      </c>
      <c r="J22" s="6">
        <f>'Monthly Data'!AZ22</f>
        <v>0</v>
      </c>
      <c r="L22" s="20">
        <f>'GS &lt; 50 OLS model'!$B$5</f>
        <v>-1088732.49289844</v>
      </c>
      <c r="M22" s="20">
        <f>'GS &lt; 50 OLS model'!$B$6*D22</f>
        <v>39175.127593459605</v>
      </c>
      <c r="N22" s="20">
        <f>'GS &lt; 50 OLS model'!$B$7*E22</f>
        <v>458141.47432430071</v>
      </c>
      <c r="O22" s="20">
        <f>'GS &lt; 50 OLS model'!$B$8*F22</f>
        <v>1696253.8279777088</v>
      </c>
      <c r="P22" s="20">
        <f>'GS &lt; 50 OLS model'!$B$9*G22</f>
        <v>4486051.0000674604</v>
      </c>
      <c r="Q22" s="20">
        <f>'GS &lt; 50 OLS model'!$B$10*H22</f>
        <v>0</v>
      </c>
      <c r="R22" s="20">
        <f>'GS &lt; 50 OLS model'!$B$11*I22</f>
        <v>0</v>
      </c>
      <c r="S22" s="20">
        <f>'GS &lt; 50 OLS model'!$B$12*J22</f>
        <v>0</v>
      </c>
      <c r="T22" s="20">
        <f t="shared" si="1"/>
        <v>5590888.9370644893</v>
      </c>
      <c r="U22" s="23">
        <f t="shared" ca="1" si="2"/>
        <v>1.0774197709424041E-2</v>
      </c>
    </row>
    <row r="23" spans="1:21" ht="14.4" x14ac:dyDescent="0.3">
      <c r="A23" s="22">
        <f>'Monthly Data'!A23</f>
        <v>40452</v>
      </c>
      <c r="B23" s="6">
        <f t="shared" si="3"/>
        <v>2010</v>
      </c>
      <c r="C23" s="20">
        <f ca="1">'Monthly Data'!J23</f>
        <v>5255156.9166128142</v>
      </c>
      <c r="D23" s="6">
        <f>'Monthly Data'!AG23</f>
        <v>157.6</v>
      </c>
      <c r="E23" s="6">
        <f>'Monthly Data'!AH23</f>
        <v>1.4000000000000001</v>
      </c>
      <c r="F23" s="6">
        <f>'Monthly Data'!AJ23</f>
        <v>149.6</v>
      </c>
      <c r="G23" s="6">
        <f>'Monthly Data'!AL23</f>
        <v>31</v>
      </c>
      <c r="H23" s="6">
        <f>'Monthly Data'!BC23</f>
        <v>1</v>
      </c>
      <c r="I23" s="6">
        <f>'Monthly Data'!AQ23</f>
        <v>0</v>
      </c>
      <c r="J23" s="6">
        <f>'Monthly Data'!AZ23</f>
        <v>0</v>
      </c>
      <c r="L23" s="20">
        <f>'GS &lt; 50 OLS model'!$B$5</f>
        <v>-1088732.49289844</v>
      </c>
      <c r="M23" s="20">
        <f>'GS &lt; 50 OLS model'!$B$6*D23</f>
        <v>162473.68707182191</v>
      </c>
      <c r="N23" s="20">
        <f>'GS &lt; 50 OLS model'!$B$7*E23</f>
        <v>10743.68616505898</v>
      </c>
      <c r="O23" s="20">
        <f>'GS &lt; 50 OLS model'!$B$8*F23</f>
        <v>1706520.3272727991</v>
      </c>
      <c r="P23" s="20">
        <f>'GS &lt; 50 OLS model'!$B$9*G23</f>
        <v>4635586.0334030418</v>
      </c>
      <c r="Q23" s="20">
        <f>'GS &lt; 50 OLS model'!$B$10*H23</f>
        <v>-268302.989268562</v>
      </c>
      <c r="R23" s="20">
        <f>'GS &lt; 50 OLS model'!$B$11*I23</f>
        <v>0</v>
      </c>
      <c r="S23" s="20">
        <f>'GS &lt; 50 OLS model'!$B$12*J23</f>
        <v>0</v>
      </c>
      <c r="T23" s="20">
        <f t="shared" si="1"/>
        <v>5158288.2517457195</v>
      </c>
      <c r="U23" s="23">
        <f t="shared" ca="1" si="2"/>
        <v>1.8433068013796045E-2</v>
      </c>
    </row>
    <row r="24" spans="1:21" ht="14.4" x14ac:dyDescent="0.3">
      <c r="A24" s="22">
        <f>'Monthly Data'!A24</f>
        <v>40483</v>
      </c>
      <c r="B24" s="6">
        <f t="shared" si="3"/>
        <v>2010</v>
      </c>
      <c r="C24" s="20">
        <f ca="1">'Monthly Data'!J24</f>
        <v>5251525.9795399467</v>
      </c>
      <c r="D24" s="6">
        <f>'Monthly Data'!AG24</f>
        <v>376.59999999999991</v>
      </c>
      <c r="E24" s="6">
        <f>'Monthly Data'!AH24</f>
        <v>0</v>
      </c>
      <c r="F24" s="6">
        <f>'Monthly Data'!AJ24</f>
        <v>148.9</v>
      </c>
      <c r="G24" s="6">
        <f>'Monthly Data'!AL24</f>
        <v>30</v>
      </c>
      <c r="H24" s="6">
        <f>'Monthly Data'!BC24</f>
        <v>1</v>
      </c>
      <c r="I24" s="6">
        <f>'Monthly Data'!AQ24</f>
        <v>0</v>
      </c>
      <c r="J24" s="6">
        <f>'Monthly Data'!AZ24</f>
        <v>0</v>
      </c>
      <c r="L24" s="20">
        <f>'GS &lt; 50 OLS model'!$B$5</f>
        <v>-1088732.49289844</v>
      </c>
      <c r="M24" s="20">
        <f>'GS &lt; 50 OLS model'!$B$6*D24</f>
        <v>388246.13293939165</v>
      </c>
      <c r="N24" s="20">
        <f>'GS &lt; 50 OLS model'!$B$7*E24</f>
        <v>0</v>
      </c>
      <c r="O24" s="20">
        <f>'GS &lt; 50 OLS model'!$B$8*F24</f>
        <v>1698535.2722655069</v>
      </c>
      <c r="P24" s="20">
        <f>'GS &lt; 50 OLS model'!$B$9*G24</f>
        <v>4486051.0000674604</v>
      </c>
      <c r="Q24" s="20">
        <f>'GS &lt; 50 OLS model'!$B$10*H24</f>
        <v>-268302.989268562</v>
      </c>
      <c r="R24" s="20">
        <f>'GS &lt; 50 OLS model'!$B$11*I24</f>
        <v>0</v>
      </c>
      <c r="S24" s="20">
        <f>'GS &lt; 50 OLS model'!$B$12*J24</f>
        <v>0</v>
      </c>
      <c r="T24" s="20">
        <f t="shared" si="1"/>
        <v>5215796.9231053572</v>
      </c>
      <c r="U24" s="23">
        <f t="shared" ca="1" si="2"/>
        <v>6.8035570182439498E-3</v>
      </c>
    </row>
    <row r="25" spans="1:21" ht="14.4" x14ac:dyDescent="0.3">
      <c r="A25" s="22">
        <f>'Monthly Data'!A25</f>
        <v>40513</v>
      </c>
      <c r="B25" s="6">
        <f t="shared" si="3"/>
        <v>2010</v>
      </c>
      <c r="C25" s="20">
        <f ca="1">'Monthly Data'!J25</f>
        <v>5844905.3892598506</v>
      </c>
      <c r="D25" s="6">
        <f>'Monthly Data'!AG25</f>
        <v>645.59999999999991</v>
      </c>
      <c r="E25" s="6">
        <f>'Monthly Data'!AH25</f>
        <v>0</v>
      </c>
      <c r="F25" s="6">
        <f>'Monthly Data'!AJ25</f>
        <v>148.1</v>
      </c>
      <c r="G25" s="6">
        <f>'Monthly Data'!AL25</f>
        <v>31</v>
      </c>
      <c r="H25" s="6">
        <f>'Monthly Data'!BC25</f>
        <v>0</v>
      </c>
      <c r="I25" s="6">
        <f>'Monthly Data'!AQ25</f>
        <v>0</v>
      </c>
      <c r="J25" s="6">
        <f>'Monthly Data'!AZ25</f>
        <v>1</v>
      </c>
      <c r="L25" s="20">
        <f>'GS &lt; 50 OLS model'!$B$5</f>
        <v>-1088732.49289844</v>
      </c>
      <c r="M25" s="20">
        <f>'GS &lt; 50 OLS model'!$B$6*D25</f>
        <v>665564.79932467151</v>
      </c>
      <c r="N25" s="20">
        <f>'GS &lt; 50 OLS model'!$B$7*E25</f>
        <v>0</v>
      </c>
      <c r="O25" s="20">
        <f>'GS &lt; 50 OLS model'!$B$8*F25</f>
        <v>1689409.4951143153</v>
      </c>
      <c r="P25" s="20">
        <f>'GS &lt; 50 OLS model'!$B$9*G25</f>
        <v>4635586.0334030418</v>
      </c>
      <c r="Q25" s="20">
        <f>'GS &lt; 50 OLS model'!$B$10*H25</f>
        <v>0</v>
      </c>
      <c r="R25" s="20">
        <f>'GS &lt; 50 OLS model'!$B$11*I25</f>
        <v>0</v>
      </c>
      <c r="S25" s="20">
        <f>'GS &lt; 50 OLS model'!$B$12*J25</f>
        <v>-197900.76217015099</v>
      </c>
      <c r="T25" s="20">
        <f t="shared" si="1"/>
        <v>5703927.0727734379</v>
      </c>
      <c r="U25" s="23">
        <f t="shared" ca="1" si="2"/>
        <v>2.4119862871598161E-2</v>
      </c>
    </row>
    <row r="26" spans="1:21" ht="14.4" x14ac:dyDescent="0.3">
      <c r="A26" s="22">
        <f>'Monthly Data'!A26</f>
        <v>40544</v>
      </c>
      <c r="B26" s="6">
        <f t="shared" si="3"/>
        <v>2011</v>
      </c>
      <c r="C26" s="20">
        <f ca="1">'Monthly Data'!J26</f>
        <v>6026588.3635599045</v>
      </c>
      <c r="D26" s="6">
        <f>'Monthly Data'!AG26</f>
        <v>703.59999999999991</v>
      </c>
      <c r="E26" s="6">
        <f>'Monthly Data'!AH26</f>
        <v>0</v>
      </c>
      <c r="F26" s="6">
        <f>'Monthly Data'!AJ26</f>
        <v>148.69999999999999</v>
      </c>
      <c r="G26" s="6">
        <f>'Monthly Data'!AL26</f>
        <v>31</v>
      </c>
      <c r="H26" s="6">
        <f>'Monthly Data'!BC26</f>
        <v>0</v>
      </c>
      <c r="I26" s="6">
        <f>'Monthly Data'!AQ26</f>
        <v>0</v>
      </c>
      <c r="J26" s="6">
        <f>'Monthly Data'!AZ26</f>
        <v>0</v>
      </c>
      <c r="L26" s="20">
        <f>'GS &lt; 50 OLS model'!$B$5</f>
        <v>-1088732.49289844</v>
      </c>
      <c r="M26" s="20">
        <f>'GS &lt; 50 OLS model'!$B$6*D26</f>
        <v>725358.41512521508</v>
      </c>
      <c r="N26" s="20">
        <f>'GS &lt; 50 OLS model'!$B$7*E26</f>
        <v>0</v>
      </c>
      <c r="O26" s="20">
        <f>'GS &lt; 50 OLS model'!$B$8*F26</f>
        <v>1696253.8279777088</v>
      </c>
      <c r="P26" s="20">
        <f>'GS &lt; 50 OLS model'!$B$9*G26</f>
        <v>4635586.0334030418</v>
      </c>
      <c r="Q26" s="20">
        <f>'GS &lt; 50 OLS model'!$B$10*H26</f>
        <v>0</v>
      </c>
      <c r="R26" s="20">
        <f>'GS &lt; 50 OLS model'!$B$11*I26</f>
        <v>0</v>
      </c>
      <c r="S26" s="20">
        <f>'GS &lt; 50 OLS model'!$B$12*J26</f>
        <v>0</v>
      </c>
      <c r="T26" s="20">
        <f t="shared" si="1"/>
        <v>5968465.7836075258</v>
      </c>
      <c r="U26" s="23">
        <f t="shared" ca="1" si="2"/>
        <v>9.6443587061329945E-3</v>
      </c>
    </row>
    <row r="27" spans="1:21" ht="14.4" x14ac:dyDescent="0.3">
      <c r="A27" s="22">
        <f>'Monthly Data'!A27</f>
        <v>40575</v>
      </c>
      <c r="B27" s="6">
        <f t="shared" si="3"/>
        <v>2011</v>
      </c>
      <c r="C27" s="20">
        <f ca="1">'Monthly Data'!J27</f>
        <v>5362970.5444677435</v>
      </c>
      <c r="D27" s="6">
        <f>'Monthly Data'!AG27</f>
        <v>583.20000000000005</v>
      </c>
      <c r="E27" s="6">
        <f>'Monthly Data'!AH27</f>
        <v>0</v>
      </c>
      <c r="F27" s="6">
        <f>'Monthly Data'!AJ27</f>
        <v>146.69999999999999</v>
      </c>
      <c r="G27" s="6">
        <f>'Monthly Data'!AL27</f>
        <v>28</v>
      </c>
      <c r="H27" s="6">
        <f>'Monthly Data'!BC27</f>
        <v>0</v>
      </c>
      <c r="I27" s="6">
        <f>'Monthly Data'!AQ27</f>
        <v>0</v>
      </c>
      <c r="J27" s="6">
        <f>'Monthly Data'!AZ27</f>
        <v>0</v>
      </c>
      <c r="L27" s="20">
        <f>'GS &lt; 50 OLS model'!$B$5</f>
        <v>-1088732.49289844</v>
      </c>
      <c r="M27" s="20">
        <f>'GS &lt; 50 OLS model'!$B$6*D27</f>
        <v>601235.11611856951</v>
      </c>
      <c r="N27" s="20">
        <f>'GS &lt; 50 OLS model'!$B$7*E27</f>
        <v>0</v>
      </c>
      <c r="O27" s="20">
        <f>'GS &lt; 50 OLS model'!$B$8*F27</f>
        <v>1673439.3850997302</v>
      </c>
      <c r="P27" s="20">
        <f>'GS &lt; 50 OLS model'!$B$9*G27</f>
        <v>4186980.9333962961</v>
      </c>
      <c r="Q27" s="20">
        <f>'GS &lt; 50 OLS model'!$B$10*H27</f>
        <v>0</v>
      </c>
      <c r="R27" s="20">
        <f>'GS &lt; 50 OLS model'!$B$11*I27</f>
        <v>0</v>
      </c>
      <c r="S27" s="20">
        <f>'GS &lt; 50 OLS model'!$B$12*J27</f>
        <v>0</v>
      </c>
      <c r="T27" s="20">
        <f t="shared" si="1"/>
        <v>5372922.941716156</v>
      </c>
      <c r="U27" s="23">
        <f t="shared" ca="1" si="2"/>
        <v>1.855762056847214E-3</v>
      </c>
    </row>
    <row r="28" spans="1:21" ht="14.4" x14ac:dyDescent="0.3">
      <c r="A28" s="22">
        <f>'Monthly Data'!A28</f>
        <v>40603</v>
      </c>
      <c r="B28" s="6">
        <f t="shared" si="3"/>
        <v>2011</v>
      </c>
      <c r="C28" s="20">
        <f ca="1">'Monthly Data'!J28</f>
        <v>5630900.4388400922</v>
      </c>
      <c r="D28" s="6">
        <f>'Monthly Data'!AG28</f>
        <v>514.30000000000007</v>
      </c>
      <c r="E28" s="6">
        <f>'Monthly Data'!AH28</f>
        <v>0</v>
      </c>
      <c r="F28" s="6">
        <f>'Monthly Data'!AJ28</f>
        <v>145.4</v>
      </c>
      <c r="G28" s="6">
        <f>'Monthly Data'!AL28</f>
        <v>31</v>
      </c>
      <c r="H28" s="6">
        <f>'Monthly Data'!BC28</f>
        <v>1</v>
      </c>
      <c r="I28" s="6">
        <f>'Monthly Data'!AQ28</f>
        <v>1</v>
      </c>
      <c r="J28" s="6">
        <f>'Monthly Data'!AZ28</f>
        <v>0</v>
      </c>
      <c r="L28" s="20">
        <f>'GS &lt; 50 OLS model'!$B$5</f>
        <v>-1088732.49289844</v>
      </c>
      <c r="M28" s="20">
        <f>'GS &lt; 50 OLS model'!$B$6*D28</f>
        <v>530204.4242451652</v>
      </c>
      <c r="N28" s="20">
        <f>'GS &lt; 50 OLS model'!$B$7*E28</f>
        <v>0</v>
      </c>
      <c r="O28" s="20">
        <f>'GS &lt; 50 OLS model'!$B$8*F28</f>
        <v>1658609.9972290443</v>
      </c>
      <c r="P28" s="20">
        <f>'GS &lt; 50 OLS model'!$B$9*G28</f>
        <v>4635586.0334030418</v>
      </c>
      <c r="Q28" s="20">
        <f>'GS &lt; 50 OLS model'!$B$10*H28</f>
        <v>-268302.989268562</v>
      </c>
      <c r="R28" s="20">
        <f>'GS &lt; 50 OLS model'!$B$11*I28</f>
        <v>178696.970766832</v>
      </c>
      <c r="S28" s="20">
        <f>'GS &lt; 50 OLS model'!$B$12*J28</f>
        <v>0</v>
      </c>
      <c r="T28" s="20">
        <f t="shared" si="1"/>
        <v>5646061.9434770821</v>
      </c>
      <c r="U28" s="23">
        <f t="shared" ca="1" si="2"/>
        <v>2.6925542018840991E-3</v>
      </c>
    </row>
    <row r="29" spans="1:21" ht="14.4" x14ac:dyDescent="0.3">
      <c r="A29" s="22">
        <f>'Monthly Data'!A29</f>
        <v>40634</v>
      </c>
      <c r="B29" s="6">
        <f t="shared" si="3"/>
        <v>2011</v>
      </c>
      <c r="C29" s="20">
        <f ca="1">'Monthly Data'!J29</f>
        <v>5175082.1278635412</v>
      </c>
      <c r="D29" s="6">
        <f>'Monthly Data'!AG29</f>
        <v>278.59999999999985</v>
      </c>
      <c r="E29" s="6">
        <f>'Monthly Data'!AH29</f>
        <v>0.5</v>
      </c>
      <c r="F29" s="6">
        <f>'Monthly Data'!AJ29</f>
        <v>144</v>
      </c>
      <c r="G29" s="6">
        <f>'Monthly Data'!AL29</f>
        <v>30</v>
      </c>
      <c r="H29" s="6">
        <f>'Monthly Data'!BC29</f>
        <v>1</v>
      </c>
      <c r="I29" s="6">
        <f>'Monthly Data'!AQ29</f>
        <v>0</v>
      </c>
      <c r="J29" s="6">
        <f>'Monthly Data'!AZ29</f>
        <v>0</v>
      </c>
      <c r="L29" s="20">
        <f>'GS &lt; 50 OLS model'!$B$5</f>
        <v>-1088732.49289844</v>
      </c>
      <c r="M29" s="20">
        <f>'GS &lt; 50 OLS model'!$B$6*D29</f>
        <v>287215.54072468</v>
      </c>
      <c r="N29" s="20">
        <f>'GS &lt; 50 OLS model'!$B$7*E29</f>
        <v>3837.0307732353499</v>
      </c>
      <c r="O29" s="20">
        <f>'GS &lt; 50 OLS model'!$B$8*F29</f>
        <v>1642639.8872144592</v>
      </c>
      <c r="P29" s="20">
        <f>'GS &lt; 50 OLS model'!$B$9*G29</f>
        <v>4486051.0000674604</v>
      </c>
      <c r="Q29" s="20">
        <f>'GS &lt; 50 OLS model'!$B$10*H29</f>
        <v>-268302.989268562</v>
      </c>
      <c r="R29" s="20">
        <f>'GS &lt; 50 OLS model'!$B$11*I29</f>
        <v>0</v>
      </c>
      <c r="S29" s="20">
        <f>'GS &lt; 50 OLS model'!$B$12*J29</f>
        <v>0</v>
      </c>
      <c r="T29" s="20">
        <f t="shared" si="1"/>
        <v>5062707.9766128333</v>
      </c>
      <c r="U29" s="23">
        <f t="shared" ca="1" si="2"/>
        <v>2.1714467224716292E-2</v>
      </c>
    </row>
    <row r="30" spans="1:21" ht="14.4" x14ac:dyDescent="0.3">
      <c r="A30" s="22">
        <f>'Monthly Data'!A30</f>
        <v>40664</v>
      </c>
      <c r="B30" s="6">
        <f t="shared" si="3"/>
        <v>2011</v>
      </c>
      <c r="C30" s="20">
        <f ca="1">'Monthly Data'!J30</f>
        <v>5463133.8059784928</v>
      </c>
      <c r="D30" s="6">
        <f>'Monthly Data'!AG30</f>
        <v>105.20000000000003</v>
      </c>
      <c r="E30" s="6">
        <f>'Monthly Data'!AH30</f>
        <v>37.200000000000003</v>
      </c>
      <c r="F30" s="6">
        <f>'Monthly Data'!AJ30</f>
        <v>144.6</v>
      </c>
      <c r="G30" s="6">
        <f>'Monthly Data'!AL30</f>
        <v>31</v>
      </c>
      <c r="H30" s="6">
        <f>'Monthly Data'!BC30</f>
        <v>1</v>
      </c>
      <c r="I30" s="6">
        <f>'Monthly Data'!AQ30</f>
        <v>0</v>
      </c>
      <c r="J30" s="6">
        <f>'Monthly Data'!AZ30</f>
        <v>0</v>
      </c>
      <c r="L30" s="20">
        <f>'GS &lt; 50 OLS model'!$B$5</f>
        <v>-1088732.49289844</v>
      </c>
      <c r="M30" s="20">
        <f>'GS &lt; 50 OLS model'!$B$6*D30</f>
        <v>108453.24796926188</v>
      </c>
      <c r="N30" s="20">
        <f>'GS &lt; 50 OLS model'!$B$7*E30</f>
        <v>285475.08952871006</v>
      </c>
      <c r="O30" s="20">
        <f>'GS &lt; 50 OLS model'!$B$8*F30</f>
        <v>1649484.2200778527</v>
      </c>
      <c r="P30" s="20">
        <f>'GS &lt; 50 OLS model'!$B$9*G30</f>
        <v>4635586.0334030418</v>
      </c>
      <c r="Q30" s="20">
        <f>'GS &lt; 50 OLS model'!$B$10*H30</f>
        <v>-268302.989268562</v>
      </c>
      <c r="R30" s="20">
        <f>'GS &lt; 50 OLS model'!$B$11*I30</f>
        <v>0</v>
      </c>
      <c r="S30" s="20">
        <f>'GS &lt; 50 OLS model'!$B$12*J30</f>
        <v>0</v>
      </c>
      <c r="T30" s="20">
        <f t="shared" si="1"/>
        <v>5321963.1088118646</v>
      </c>
      <c r="U30" s="23">
        <f t="shared" ca="1" si="2"/>
        <v>2.5840607640277877E-2</v>
      </c>
    </row>
    <row r="31" spans="1:21" ht="14.4" x14ac:dyDescent="0.3">
      <c r="A31" s="22">
        <f>'Monthly Data'!A31</f>
        <v>40695</v>
      </c>
      <c r="B31" s="6">
        <f t="shared" si="3"/>
        <v>2011</v>
      </c>
      <c r="C31" s="20">
        <f ca="1">'Monthly Data'!J31</f>
        <v>5976127.300790932</v>
      </c>
      <c r="D31" s="6">
        <f>'Monthly Data'!AG31</f>
        <v>7.6000000000000005</v>
      </c>
      <c r="E31" s="6">
        <f>'Monthly Data'!AH31</f>
        <v>115.89999999999998</v>
      </c>
      <c r="F31" s="6">
        <f>'Monthly Data'!AJ31</f>
        <v>146</v>
      </c>
      <c r="G31" s="6">
        <f>'Monthly Data'!AL31</f>
        <v>30</v>
      </c>
      <c r="H31" s="6">
        <f>'Monthly Data'!BC31</f>
        <v>0</v>
      </c>
      <c r="I31" s="6">
        <f>'Monthly Data'!AQ31</f>
        <v>0</v>
      </c>
      <c r="J31" s="6">
        <f>'Monthly Data'!AZ31</f>
        <v>0</v>
      </c>
      <c r="L31" s="20">
        <f>'GS &lt; 50 OLS model'!$B$5</f>
        <v>-1088732.49289844</v>
      </c>
      <c r="M31" s="20">
        <f>'GS &lt; 50 OLS model'!$B$6*D31</f>
        <v>7835.0255186919212</v>
      </c>
      <c r="N31" s="20">
        <f>'GS &lt; 50 OLS model'!$B$7*E31</f>
        <v>889423.73323595396</v>
      </c>
      <c r="O31" s="20">
        <f>'GS &lt; 50 OLS model'!$B$8*F31</f>
        <v>1665454.3300924378</v>
      </c>
      <c r="P31" s="20">
        <f>'GS &lt; 50 OLS model'!$B$9*G31</f>
        <v>4486051.0000674604</v>
      </c>
      <c r="Q31" s="20">
        <f>'GS &lt; 50 OLS model'!$B$10*H31</f>
        <v>0</v>
      </c>
      <c r="R31" s="20">
        <f>'GS &lt; 50 OLS model'!$B$11*I31</f>
        <v>0</v>
      </c>
      <c r="S31" s="20">
        <f>'GS &lt; 50 OLS model'!$B$12*J31</f>
        <v>0</v>
      </c>
      <c r="T31" s="20">
        <f t="shared" si="1"/>
        <v>5960031.5960161034</v>
      </c>
      <c r="U31" s="23">
        <f t="shared" ca="1" si="2"/>
        <v>2.693333653166723E-3</v>
      </c>
    </row>
    <row r="32" spans="1:21" ht="14.4" x14ac:dyDescent="0.3">
      <c r="A32" s="22">
        <f>'Monthly Data'!A32</f>
        <v>40725</v>
      </c>
      <c r="B32" s="6">
        <f t="shared" si="3"/>
        <v>2011</v>
      </c>
      <c r="C32" s="20">
        <f ca="1">'Monthly Data'!J32</f>
        <v>6877540.0657793824</v>
      </c>
      <c r="D32" s="6">
        <f>'Monthly Data'!AG32</f>
        <v>0</v>
      </c>
      <c r="E32" s="6">
        <f>'Monthly Data'!AH32</f>
        <v>255.50000000000006</v>
      </c>
      <c r="F32" s="6">
        <f>'Monthly Data'!AJ32</f>
        <v>147.6</v>
      </c>
      <c r="G32" s="6">
        <f>'Monthly Data'!AL32</f>
        <v>31</v>
      </c>
      <c r="H32" s="6">
        <f>'Monthly Data'!BC32</f>
        <v>0</v>
      </c>
      <c r="I32" s="6">
        <f>'Monthly Data'!AQ32</f>
        <v>0</v>
      </c>
      <c r="J32" s="6">
        <f>'Monthly Data'!AZ32</f>
        <v>0</v>
      </c>
      <c r="L32" s="20">
        <f>'GS &lt; 50 OLS model'!$B$5</f>
        <v>-1088732.49289844</v>
      </c>
      <c r="M32" s="20">
        <f>'GS &lt; 50 OLS model'!$B$6*D32</f>
        <v>0</v>
      </c>
      <c r="N32" s="20">
        <f>'GS &lt; 50 OLS model'!$B$7*E32</f>
        <v>1960722.7251232641</v>
      </c>
      <c r="O32" s="20">
        <f>'GS &lt; 50 OLS model'!$B$8*F32</f>
        <v>1683705.8843948205</v>
      </c>
      <c r="P32" s="20">
        <f>'GS &lt; 50 OLS model'!$B$9*G32</f>
        <v>4635586.0334030418</v>
      </c>
      <c r="Q32" s="20">
        <f>'GS &lt; 50 OLS model'!$B$10*H32</f>
        <v>0</v>
      </c>
      <c r="R32" s="20">
        <f>'GS &lt; 50 OLS model'!$B$11*I32</f>
        <v>0</v>
      </c>
      <c r="S32" s="20">
        <f>'GS &lt; 50 OLS model'!$B$12*J32</f>
        <v>0</v>
      </c>
      <c r="T32" s="20">
        <f t="shared" si="1"/>
        <v>7191282.1500226865</v>
      </c>
      <c r="U32" s="23">
        <f t="shared" ca="1" si="2"/>
        <v>4.5618357907414087E-2</v>
      </c>
    </row>
    <row r="33" spans="1:21" ht="14.4" x14ac:dyDescent="0.3">
      <c r="A33" s="22">
        <f>'Monthly Data'!A33</f>
        <v>40756</v>
      </c>
      <c r="B33" s="6">
        <f t="shared" si="3"/>
        <v>2011</v>
      </c>
      <c r="C33" s="20">
        <f ca="1">'Monthly Data'!J33</f>
        <v>6603628.8820340019</v>
      </c>
      <c r="D33" s="6">
        <f>'Monthly Data'!AG33</f>
        <v>0</v>
      </c>
      <c r="E33" s="6">
        <f>'Monthly Data'!AH33</f>
        <v>159.50000000000003</v>
      </c>
      <c r="F33" s="6">
        <f>'Monthly Data'!AJ33</f>
        <v>148.69999999999999</v>
      </c>
      <c r="G33" s="6">
        <f>'Monthly Data'!AL33</f>
        <v>31</v>
      </c>
      <c r="H33" s="6">
        <f>'Monthly Data'!BC33</f>
        <v>0</v>
      </c>
      <c r="I33" s="6">
        <f>'Monthly Data'!AQ33</f>
        <v>0</v>
      </c>
      <c r="J33" s="6">
        <f>'Monthly Data'!AZ33</f>
        <v>0</v>
      </c>
      <c r="L33" s="20">
        <f>'GS &lt; 50 OLS model'!$B$5</f>
        <v>-1088732.49289844</v>
      </c>
      <c r="M33" s="20">
        <f>'GS &lt; 50 OLS model'!$B$6*D33</f>
        <v>0</v>
      </c>
      <c r="N33" s="20">
        <f>'GS &lt; 50 OLS model'!$B$7*E33</f>
        <v>1224012.8166620769</v>
      </c>
      <c r="O33" s="20">
        <f>'GS &lt; 50 OLS model'!$B$8*F33</f>
        <v>1696253.8279777088</v>
      </c>
      <c r="P33" s="20">
        <f>'GS &lt; 50 OLS model'!$B$9*G33</f>
        <v>4635586.0334030418</v>
      </c>
      <c r="Q33" s="20">
        <f>'GS &lt; 50 OLS model'!$B$10*H33</f>
        <v>0</v>
      </c>
      <c r="R33" s="20">
        <f>'GS &lt; 50 OLS model'!$B$11*I33</f>
        <v>0</v>
      </c>
      <c r="S33" s="20">
        <f>'GS &lt; 50 OLS model'!$B$12*J33</f>
        <v>0</v>
      </c>
      <c r="T33" s="20">
        <f t="shared" si="1"/>
        <v>6467120.1851443872</v>
      </c>
      <c r="U33" s="23">
        <f t="shared" ca="1" si="2"/>
        <v>2.0671769920475643E-2</v>
      </c>
    </row>
    <row r="34" spans="1:21" ht="14.4" x14ac:dyDescent="0.3">
      <c r="A34" s="22">
        <f>'Monthly Data'!A34</f>
        <v>40787</v>
      </c>
      <c r="B34" s="6">
        <f t="shared" si="3"/>
        <v>2011</v>
      </c>
      <c r="C34" s="20">
        <f ca="1">'Monthly Data'!J34</f>
        <v>5618306.5975156222</v>
      </c>
      <c r="D34" s="6">
        <f>'Monthly Data'!AG34</f>
        <v>51.4</v>
      </c>
      <c r="E34" s="6">
        <f>'Monthly Data'!AH34</f>
        <v>60.199999999999989</v>
      </c>
      <c r="F34" s="6">
        <f>'Monthly Data'!AJ34</f>
        <v>148.1</v>
      </c>
      <c r="G34" s="6">
        <f>'Monthly Data'!AL34</f>
        <v>30</v>
      </c>
      <c r="H34" s="6">
        <f>'Monthly Data'!BC34</f>
        <v>0</v>
      </c>
      <c r="I34" s="6">
        <f>'Monthly Data'!AQ34</f>
        <v>0</v>
      </c>
      <c r="J34" s="6">
        <f>'Monthly Data'!AZ34</f>
        <v>0</v>
      </c>
      <c r="L34" s="20">
        <f>'GS &lt; 50 OLS model'!$B$5</f>
        <v>-1088732.49289844</v>
      </c>
      <c r="M34" s="20">
        <f>'GS &lt; 50 OLS model'!$B$6*D34</f>
        <v>52989.514692205885</v>
      </c>
      <c r="N34" s="20">
        <f>'GS &lt; 50 OLS model'!$B$7*E34</f>
        <v>461978.50509753602</v>
      </c>
      <c r="O34" s="20">
        <f>'GS &lt; 50 OLS model'!$B$8*F34</f>
        <v>1689409.4951143153</v>
      </c>
      <c r="P34" s="20">
        <f>'GS &lt; 50 OLS model'!$B$9*G34</f>
        <v>4486051.0000674604</v>
      </c>
      <c r="Q34" s="20">
        <f>'GS &lt; 50 OLS model'!$B$10*H34</f>
        <v>0</v>
      </c>
      <c r="R34" s="20">
        <f>'GS &lt; 50 OLS model'!$B$11*I34</f>
        <v>0</v>
      </c>
      <c r="S34" s="20">
        <f>'GS &lt; 50 OLS model'!$B$12*J34</f>
        <v>0</v>
      </c>
      <c r="T34" s="20">
        <f t="shared" ref="T34:T65" si="4">SUM(L34:S34)</f>
        <v>5601696.022073077</v>
      </c>
      <c r="U34" s="23">
        <f t="shared" ref="U34:U65" ca="1" si="5">ABS(T34-C34)/C34</f>
        <v>2.9565092531422549E-3</v>
      </c>
    </row>
    <row r="35" spans="1:21" ht="14.4" x14ac:dyDescent="0.3">
      <c r="A35" s="22">
        <f>'Monthly Data'!A35</f>
        <v>40817</v>
      </c>
      <c r="B35" s="6">
        <f t="shared" si="3"/>
        <v>2011</v>
      </c>
      <c r="C35" s="20">
        <f ca="1">'Monthly Data'!J35</f>
        <v>5113557.1313079717</v>
      </c>
      <c r="D35" s="6">
        <f>'Monthly Data'!AG35</f>
        <v>185.29999999999998</v>
      </c>
      <c r="E35" s="6">
        <f>'Monthly Data'!AH35</f>
        <v>2.6999999999999997</v>
      </c>
      <c r="F35" s="6">
        <f>'Monthly Data'!AJ35</f>
        <v>149.1</v>
      </c>
      <c r="G35" s="6">
        <f>'Monthly Data'!AL35</f>
        <v>31</v>
      </c>
      <c r="H35" s="6">
        <f>'Monthly Data'!BC35</f>
        <v>1</v>
      </c>
      <c r="I35" s="6">
        <f>'Monthly Data'!AQ35</f>
        <v>0</v>
      </c>
      <c r="J35" s="6">
        <f>'Monthly Data'!AZ35</f>
        <v>0</v>
      </c>
      <c r="L35" s="20">
        <f>'GS &lt; 50 OLS model'!$B$5</f>
        <v>-1088732.49289844</v>
      </c>
      <c r="M35" s="20">
        <f>'GS &lt; 50 OLS model'!$B$6*D35</f>
        <v>191030.29323863325</v>
      </c>
      <c r="N35" s="20">
        <f>'GS &lt; 50 OLS model'!$B$7*E35</f>
        <v>20719.966175470887</v>
      </c>
      <c r="O35" s="20">
        <f>'GS &lt; 50 OLS model'!$B$8*F35</f>
        <v>1700816.7165533046</v>
      </c>
      <c r="P35" s="20">
        <f>'GS &lt; 50 OLS model'!$B$9*G35</f>
        <v>4635586.0334030418</v>
      </c>
      <c r="Q35" s="20">
        <f>'GS &lt; 50 OLS model'!$B$10*H35</f>
        <v>-268302.989268562</v>
      </c>
      <c r="R35" s="20">
        <f>'GS &lt; 50 OLS model'!$B$11*I35</f>
        <v>0</v>
      </c>
      <c r="S35" s="20">
        <f>'GS &lt; 50 OLS model'!$B$12*J35</f>
        <v>0</v>
      </c>
      <c r="T35" s="20">
        <f t="shared" si="4"/>
        <v>5191117.527203449</v>
      </c>
      <c r="U35" s="23">
        <f t="shared" ca="1" si="5"/>
        <v>1.5167601320147682E-2</v>
      </c>
    </row>
    <row r="36" spans="1:21" ht="14.4" x14ac:dyDescent="0.3">
      <c r="A36" s="22">
        <f>'Monthly Data'!A36</f>
        <v>40848</v>
      </c>
      <c r="B36" s="6">
        <f t="shared" si="3"/>
        <v>2011</v>
      </c>
      <c r="C36" s="20">
        <f ca="1">'Monthly Data'!J36</f>
        <v>5112407.7414213624</v>
      </c>
      <c r="D36" s="6">
        <f>'Monthly Data'!AG36</f>
        <v>297.2999999999999</v>
      </c>
      <c r="E36" s="6">
        <f>'Monthly Data'!AH36</f>
        <v>0</v>
      </c>
      <c r="F36" s="6">
        <f>'Monthly Data'!AJ36</f>
        <v>150.80000000000001</v>
      </c>
      <c r="G36" s="6">
        <f>'Monthly Data'!AL36</f>
        <v>30</v>
      </c>
      <c r="H36" s="6">
        <f>'Monthly Data'!BC36</f>
        <v>1</v>
      </c>
      <c r="I36" s="6">
        <f>'Monthly Data'!AQ36</f>
        <v>0</v>
      </c>
      <c r="J36" s="6">
        <f>'Monthly Data'!AZ36</f>
        <v>0</v>
      </c>
      <c r="L36" s="20">
        <f>'GS &lt; 50 OLS model'!$B$5</f>
        <v>-1088732.49289844</v>
      </c>
      <c r="M36" s="20">
        <f>'GS &lt; 50 OLS model'!$B$6*D36</f>
        <v>306493.8271983036</v>
      </c>
      <c r="N36" s="20">
        <f>'GS &lt; 50 OLS model'!$B$7*E36</f>
        <v>0</v>
      </c>
      <c r="O36" s="20">
        <f>'GS &lt; 50 OLS model'!$B$8*F36</f>
        <v>1720208.9929995865</v>
      </c>
      <c r="P36" s="20">
        <f>'GS &lt; 50 OLS model'!$B$9*G36</f>
        <v>4486051.0000674604</v>
      </c>
      <c r="Q36" s="20">
        <f>'GS &lt; 50 OLS model'!$B$10*H36</f>
        <v>-268302.989268562</v>
      </c>
      <c r="R36" s="20">
        <f>'GS &lt; 50 OLS model'!$B$11*I36</f>
        <v>0</v>
      </c>
      <c r="S36" s="20">
        <f>'GS &lt; 50 OLS model'!$B$12*J36</f>
        <v>0</v>
      </c>
      <c r="T36" s="20">
        <f t="shared" si="4"/>
        <v>5155718.338098349</v>
      </c>
      <c r="U36" s="23">
        <f t="shared" ca="1" si="5"/>
        <v>8.471663229456217E-3</v>
      </c>
    </row>
    <row r="37" spans="1:21" ht="14.4" x14ac:dyDescent="0.3">
      <c r="A37" s="22">
        <f>'Monthly Data'!A37</f>
        <v>40878</v>
      </c>
      <c r="B37" s="6">
        <f t="shared" si="3"/>
        <v>2011</v>
      </c>
      <c r="C37" s="20">
        <f ca="1">'Monthly Data'!J37</f>
        <v>5620143.3445212664</v>
      </c>
      <c r="D37" s="6">
        <f>'Monthly Data'!AG37</f>
        <v>485.4</v>
      </c>
      <c r="E37" s="6">
        <f>'Monthly Data'!AH37</f>
        <v>0</v>
      </c>
      <c r="F37" s="6">
        <f>'Monthly Data'!AJ37</f>
        <v>152.1</v>
      </c>
      <c r="G37" s="6">
        <f>'Monthly Data'!AL37</f>
        <v>31</v>
      </c>
      <c r="H37" s="6">
        <f>'Monthly Data'!BC37</f>
        <v>0</v>
      </c>
      <c r="I37" s="6">
        <f>'Monthly Data'!AQ37</f>
        <v>0</v>
      </c>
      <c r="J37" s="6">
        <f>'Monthly Data'!AZ37</f>
        <v>1</v>
      </c>
      <c r="L37" s="20">
        <f>'GS &lt; 50 OLS model'!$B$5</f>
        <v>-1088732.49289844</v>
      </c>
      <c r="M37" s="20">
        <f>'GS &lt; 50 OLS model'!$B$6*D37</f>
        <v>500410.70878592867</v>
      </c>
      <c r="N37" s="20">
        <f>'GS &lt; 50 OLS model'!$B$7*E37</f>
        <v>0</v>
      </c>
      <c r="O37" s="20">
        <f>'GS &lt; 50 OLS model'!$B$8*F37</f>
        <v>1735038.3808702724</v>
      </c>
      <c r="P37" s="20">
        <f>'GS &lt; 50 OLS model'!$B$9*G37</f>
        <v>4635586.0334030418</v>
      </c>
      <c r="Q37" s="20">
        <f>'GS &lt; 50 OLS model'!$B$10*H37</f>
        <v>0</v>
      </c>
      <c r="R37" s="20">
        <f>'GS &lt; 50 OLS model'!$B$11*I37</f>
        <v>0</v>
      </c>
      <c r="S37" s="20">
        <f>'GS &lt; 50 OLS model'!$B$12*J37</f>
        <v>-197900.76217015099</v>
      </c>
      <c r="T37" s="20">
        <f t="shared" si="4"/>
        <v>5584401.8679906521</v>
      </c>
      <c r="U37" s="23">
        <f t="shared" ca="1" si="5"/>
        <v>6.3595311257419237E-3</v>
      </c>
    </row>
    <row r="38" spans="1:21" ht="14.4" x14ac:dyDescent="0.3">
      <c r="A38" s="22">
        <f>'Monthly Data'!A38</f>
        <v>40909</v>
      </c>
      <c r="B38" s="6">
        <f t="shared" si="3"/>
        <v>2012</v>
      </c>
      <c r="C38" s="20">
        <f ca="1">'Monthly Data'!J38</f>
        <v>5678473.7393108159</v>
      </c>
      <c r="D38" s="6">
        <f>'Monthly Data'!AG38</f>
        <v>559.59999999999991</v>
      </c>
      <c r="E38" s="6">
        <f>'Monthly Data'!AH38</f>
        <v>0</v>
      </c>
      <c r="F38" s="6">
        <f>'Monthly Data'!AJ38</f>
        <v>149.5</v>
      </c>
      <c r="G38" s="6">
        <f>'Monthly Data'!AL38</f>
        <v>31</v>
      </c>
      <c r="H38" s="6">
        <f>'Monthly Data'!BC38</f>
        <v>0</v>
      </c>
      <c r="I38" s="6">
        <f>'Monthly Data'!AQ38</f>
        <v>0</v>
      </c>
      <c r="J38" s="6">
        <f>'Monthly Data'!AZ38</f>
        <v>0</v>
      </c>
      <c r="L38" s="20">
        <f>'GS &lt; 50 OLS model'!$B$5</f>
        <v>-1088732.49289844</v>
      </c>
      <c r="M38" s="20">
        <f>'GS &lt; 50 OLS model'!$B$6*D38</f>
        <v>576905.30003421032</v>
      </c>
      <c r="N38" s="20">
        <f>'GS &lt; 50 OLS model'!$B$7*E38</f>
        <v>0</v>
      </c>
      <c r="O38" s="20">
        <f>'GS &lt; 50 OLS model'!$B$8*F38</f>
        <v>1705379.6051289004</v>
      </c>
      <c r="P38" s="20">
        <f>'GS &lt; 50 OLS model'!$B$9*G38</f>
        <v>4635586.0334030418</v>
      </c>
      <c r="Q38" s="20">
        <f>'GS &lt; 50 OLS model'!$B$10*H38</f>
        <v>0</v>
      </c>
      <c r="R38" s="20">
        <f>'GS &lt; 50 OLS model'!$B$11*I38</f>
        <v>0</v>
      </c>
      <c r="S38" s="20">
        <f>'GS &lt; 50 OLS model'!$B$12*J38</f>
        <v>0</v>
      </c>
      <c r="T38" s="20">
        <f t="shared" si="4"/>
        <v>5829138.445667712</v>
      </c>
      <c r="U38" s="23">
        <f t="shared" ca="1" si="5"/>
        <v>2.6532605991267989E-2</v>
      </c>
    </row>
    <row r="39" spans="1:21" ht="14.4" x14ac:dyDescent="0.3">
      <c r="A39" s="22">
        <f>'Monthly Data'!A39</f>
        <v>40940</v>
      </c>
      <c r="B39" s="6">
        <f t="shared" si="3"/>
        <v>2012</v>
      </c>
      <c r="C39" s="20">
        <f ca="1">'Monthly Data'!J39</f>
        <v>5379271.6074002506</v>
      </c>
      <c r="D39" s="6">
        <f>'Monthly Data'!AG39</f>
        <v>492.40000000000003</v>
      </c>
      <c r="E39" s="6">
        <f>'Monthly Data'!AH39</f>
        <v>0</v>
      </c>
      <c r="F39" s="6">
        <f>'Monthly Data'!AJ39</f>
        <v>148.4</v>
      </c>
      <c r="G39" s="6">
        <f>'Monthly Data'!AL39</f>
        <v>29</v>
      </c>
      <c r="H39" s="6">
        <f>'Monthly Data'!BC39</f>
        <v>0</v>
      </c>
      <c r="I39" s="6">
        <f>'Monthly Data'!AQ39</f>
        <v>0</v>
      </c>
      <c r="J39" s="6">
        <f>'Monthly Data'!AZ39</f>
        <v>0</v>
      </c>
      <c r="L39" s="20">
        <f>'GS &lt; 50 OLS model'!$B$5</f>
        <v>-1088732.49289844</v>
      </c>
      <c r="M39" s="20">
        <f>'GS &lt; 50 OLS model'!$B$6*D39</f>
        <v>507627.17965840816</v>
      </c>
      <c r="N39" s="20">
        <f>'GS &lt; 50 OLS model'!$B$7*E39</f>
        <v>0</v>
      </c>
      <c r="O39" s="20">
        <f>'GS &lt; 50 OLS model'!$B$8*F39</f>
        <v>1692831.6615460122</v>
      </c>
      <c r="P39" s="20">
        <f>'GS &lt; 50 OLS model'!$B$9*G39</f>
        <v>4336515.966731878</v>
      </c>
      <c r="Q39" s="20">
        <f>'GS &lt; 50 OLS model'!$B$10*H39</f>
        <v>0</v>
      </c>
      <c r="R39" s="20">
        <f>'GS &lt; 50 OLS model'!$B$11*I39</f>
        <v>0</v>
      </c>
      <c r="S39" s="20">
        <f>'GS &lt; 50 OLS model'!$B$12*J39</f>
        <v>0</v>
      </c>
      <c r="T39" s="20">
        <f t="shared" si="4"/>
        <v>5448242.3150378577</v>
      </c>
      <c r="U39" s="23">
        <f t="shared" ca="1" si="5"/>
        <v>1.2821570032404441E-2</v>
      </c>
    </row>
    <row r="40" spans="1:21" ht="14.4" x14ac:dyDescent="0.3">
      <c r="A40" s="22">
        <f>'Monthly Data'!A40</f>
        <v>40969</v>
      </c>
      <c r="B40" s="6">
        <f t="shared" si="3"/>
        <v>2012</v>
      </c>
      <c r="C40" s="20">
        <f ca="1">'Monthly Data'!J40</f>
        <v>5431638.8336107414</v>
      </c>
      <c r="D40" s="6">
        <f>'Monthly Data'!AG40</f>
        <v>250.79999999999995</v>
      </c>
      <c r="E40" s="6">
        <f>'Monthly Data'!AH40</f>
        <v>4.8</v>
      </c>
      <c r="F40" s="6">
        <f>'Monthly Data'!AJ40</f>
        <v>148.5</v>
      </c>
      <c r="G40" s="6">
        <f>'Monthly Data'!AL40</f>
        <v>31</v>
      </c>
      <c r="H40" s="6">
        <f>'Monthly Data'!BC40</f>
        <v>1</v>
      </c>
      <c r="I40" s="6">
        <f>'Monthly Data'!AQ40</f>
        <v>1</v>
      </c>
      <c r="J40" s="6">
        <f>'Monthly Data'!AZ40</f>
        <v>0</v>
      </c>
      <c r="L40" s="20">
        <f>'GS &lt; 50 OLS model'!$B$5</f>
        <v>-1088732.49289844</v>
      </c>
      <c r="M40" s="20">
        <f>'GS &lt; 50 OLS model'!$B$6*D40</f>
        <v>258555.84211683332</v>
      </c>
      <c r="N40" s="20">
        <f>'GS &lt; 50 OLS model'!$B$7*E40</f>
        <v>36835.495423059358</v>
      </c>
      <c r="O40" s="20">
        <f>'GS &lt; 50 OLS model'!$B$8*F40</f>
        <v>1693972.3836899111</v>
      </c>
      <c r="P40" s="20">
        <f>'GS &lt; 50 OLS model'!$B$9*G40</f>
        <v>4635586.0334030418</v>
      </c>
      <c r="Q40" s="20">
        <f>'GS &lt; 50 OLS model'!$B$10*H40</f>
        <v>-268302.989268562</v>
      </c>
      <c r="R40" s="20">
        <f>'GS &lt; 50 OLS model'!$B$11*I40</f>
        <v>178696.970766832</v>
      </c>
      <c r="S40" s="20">
        <f>'GS &lt; 50 OLS model'!$B$12*J40</f>
        <v>0</v>
      </c>
      <c r="T40" s="20">
        <f t="shared" si="4"/>
        <v>5446611.2432326758</v>
      </c>
      <c r="U40" s="23">
        <f t="shared" ca="1" si="5"/>
        <v>2.7565178909329901E-3</v>
      </c>
    </row>
    <row r="41" spans="1:21" ht="14.4" x14ac:dyDescent="0.3">
      <c r="A41" s="22">
        <f>'Monthly Data'!A41</f>
        <v>41000</v>
      </c>
      <c r="B41" s="6">
        <f t="shared" si="3"/>
        <v>2012</v>
      </c>
      <c r="C41" s="20">
        <f ca="1">'Monthly Data'!J41</f>
        <v>4996283.2985174851</v>
      </c>
      <c r="D41" s="6">
        <f>'Monthly Data'!AG41</f>
        <v>252.49999999999991</v>
      </c>
      <c r="E41" s="6">
        <f>'Monthly Data'!AH41</f>
        <v>4.3</v>
      </c>
      <c r="F41" s="6">
        <f>'Monthly Data'!AJ41</f>
        <v>150.6</v>
      </c>
      <c r="G41" s="6">
        <f>'Monthly Data'!AL41</f>
        <v>30</v>
      </c>
      <c r="H41" s="6">
        <f>'Monthly Data'!BC41</f>
        <v>1</v>
      </c>
      <c r="I41" s="6">
        <f>'Monthly Data'!AQ41</f>
        <v>0</v>
      </c>
      <c r="J41" s="6">
        <f>'Monthly Data'!AZ41</f>
        <v>0</v>
      </c>
      <c r="L41" s="20">
        <f>'GS &lt; 50 OLS model'!$B$5</f>
        <v>-1088732.49289844</v>
      </c>
      <c r="M41" s="20">
        <f>'GS &lt; 50 OLS model'!$B$6*D41</f>
        <v>260308.41361443544</v>
      </c>
      <c r="N41" s="20">
        <f>'GS &lt; 50 OLS model'!$B$7*E41</f>
        <v>32998.464649824011</v>
      </c>
      <c r="O41" s="20">
        <f>'GS &lt; 50 OLS model'!$B$8*F41</f>
        <v>1717927.5487117884</v>
      </c>
      <c r="P41" s="20">
        <f>'GS &lt; 50 OLS model'!$B$9*G41</f>
        <v>4486051.0000674604</v>
      </c>
      <c r="Q41" s="20">
        <f>'GS &lt; 50 OLS model'!$B$10*H41</f>
        <v>-268302.989268562</v>
      </c>
      <c r="R41" s="20">
        <f>'GS &lt; 50 OLS model'!$B$11*I41</f>
        <v>0</v>
      </c>
      <c r="S41" s="20">
        <f>'GS &lt; 50 OLS model'!$B$12*J41</f>
        <v>0</v>
      </c>
      <c r="T41" s="20">
        <f t="shared" si="4"/>
        <v>5140249.944876506</v>
      </c>
      <c r="U41" s="23">
        <f t="shared" ca="1" si="5"/>
        <v>2.8814748435449834E-2</v>
      </c>
    </row>
    <row r="42" spans="1:21" ht="14.4" x14ac:dyDescent="0.3">
      <c r="A42" s="22">
        <f>'Monthly Data'!A42</f>
        <v>41030</v>
      </c>
      <c r="B42" s="6">
        <f t="shared" si="3"/>
        <v>2012</v>
      </c>
      <c r="C42" s="20">
        <f ca="1">'Monthly Data'!J42</f>
        <v>5646499.9793941975</v>
      </c>
      <c r="D42" s="6">
        <f>'Monthly Data'!AG42</f>
        <v>48.2</v>
      </c>
      <c r="E42" s="6">
        <f>'Monthly Data'!AH42</f>
        <v>59.3</v>
      </c>
      <c r="F42" s="6">
        <f>'Monthly Data'!AJ42</f>
        <v>151.1</v>
      </c>
      <c r="G42" s="6">
        <f>'Monthly Data'!AL42</f>
        <v>31</v>
      </c>
      <c r="H42" s="6">
        <f>'Monthly Data'!BC42</f>
        <v>1</v>
      </c>
      <c r="I42" s="6">
        <f>'Monthly Data'!AQ42</f>
        <v>0</v>
      </c>
      <c r="J42" s="6">
        <f>'Monthly Data'!AZ42</f>
        <v>0</v>
      </c>
      <c r="L42" s="20">
        <f>'GS &lt; 50 OLS model'!$B$5</f>
        <v>-1088732.49289844</v>
      </c>
      <c r="M42" s="20">
        <f>'GS &lt; 50 OLS model'!$B$6*D42</f>
        <v>49690.556579072443</v>
      </c>
      <c r="N42" s="20">
        <f>'GS &lt; 50 OLS model'!$B$7*E42</f>
        <v>455071.84970571246</v>
      </c>
      <c r="O42" s="20">
        <f>'GS &lt; 50 OLS model'!$B$8*F42</f>
        <v>1723631.1594312831</v>
      </c>
      <c r="P42" s="20">
        <f>'GS &lt; 50 OLS model'!$B$9*G42</f>
        <v>4635586.0334030418</v>
      </c>
      <c r="Q42" s="20">
        <f>'GS &lt; 50 OLS model'!$B$10*H42</f>
        <v>-268302.989268562</v>
      </c>
      <c r="R42" s="20">
        <f>'GS &lt; 50 OLS model'!$B$11*I42</f>
        <v>0</v>
      </c>
      <c r="S42" s="20">
        <f>'GS &lt; 50 OLS model'!$B$12*J42</f>
        <v>0</v>
      </c>
      <c r="T42" s="20">
        <f t="shared" si="4"/>
        <v>5506944.1169521082</v>
      </c>
      <c r="U42" s="23">
        <f t="shared" ca="1" si="5"/>
        <v>2.4715463198684354E-2</v>
      </c>
    </row>
    <row r="43" spans="1:21" ht="14.4" x14ac:dyDescent="0.3">
      <c r="A43" s="22">
        <f>'Monthly Data'!A43</f>
        <v>41061</v>
      </c>
      <c r="B43" s="6">
        <f t="shared" si="3"/>
        <v>2012</v>
      </c>
      <c r="C43" s="20">
        <f ca="1">'Monthly Data'!J43</f>
        <v>6382835.9578270745</v>
      </c>
      <c r="D43" s="6">
        <f>'Monthly Data'!AG43</f>
        <v>10.3</v>
      </c>
      <c r="E43" s="6">
        <f>'Monthly Data'!AH43</f>
        <v>147.09999999999997</v>
      </c>
      <c r="F43" s="6">
        <f>'Monthly Data'!AJ43</f>
        <v>152.19999999999999</v>
      </c>
      <c r="G43" s="6">
        <f>'Monthly Data'!AL43</f>
        <v>30</v>
      </c>
      <c r="H43" s="6">
        <f>'Monthly Data'!BC43</f>
        <v>0</v>
      </c>
      <c r="I43" s="6">
        <f>'Monthly Data'!AQ43</f>
        <v>0</v>
      </c>
      <c r="J43" s="6">
        <f>'Monthly Data'!AZ43</f>
        <v>0</v>
      </c>
      <c r="L43" s="20">
        <f>'GS &lt; 50 OLS model'!$B$5</f>
        <v>-1088732.49289844</v>
      </c>
      <c r="M43" s="20">
        <f>'GS &lt; 50 OLS model'!$B$6*D43</f>
        <v>10618.521426648262</v>
      </c>
      <c r="N43" s="20">
        <f>'GS &lt; 50 OLS model'!$B$7*E43</f>
        <v>1128854.4534858398</v>
      </c>
      <c r="O43" s="20">
        <f>'GS &lt; 50 OLS model'!$B$8*F43</f>
        <v>1736179.1030141714</v>
      </c>
      <c r="P43" s="20">
        <f>'GS &lt; 50 OLS model'!$B$9*G43</f>
        <v>4486051.0000674604</v>
      </c>
      <c r="Q43" s="20">
        <f>'GS &lt; 50 OLS model'!$B$10*H43</f>
        <v>0</v>
      </c>
      <c r="R43" s="20">
        <f>'GS &lt; 50 OLS model'!$B$11*I43</f>
        <v>0</v>
      </c>
      <c r="S43" s="20">
        <f>'GS &lt; 50 OLS model'!$B$12*J43</f>
        <v>0</v>
      </c>
      <c r="T43" s="20">
        <f t="shared" si="4"/>
        <v>6272970.5850956794</v>
      </c>
      <c r="U43" s="23">
        <f t="shared" ca="1" si="5"/>
        <v>1.7212626715977331E-2</v>
      </c>
    </row>
    <row r="44" spans="1:21" ht="14.4" x14ac:dyDescent="0.3">
      <c r="A44" s="22">
        <f>'Monthly Data'!A44</f>
        <v>41091</v>
      </c>
      <c r="B44" s="6">
        <f t="shared" si="3"/>
        <v>2012</v>
      </c>
      <c r="C44" s="20">
        <f ca="1">'Monthly Data'!J44</f>
        <v>7118049.1198525634</v>
      </c>
      <c r="D44" s="6">
        <f>'Monthly Data'!AG44</f>
        <v>0</v>
      </c>
      <c r="E44" s="6">
        <f>'Monthly Data'!AH44</f>
        <v>235.50000000000009</v>
      </c>
      <c r="F44" s="6">
        <f>'Monthly Data'!AJ44</f>
        <v>153.4</v>
      </c>
      <c r="G44" s="6">
        <f>'Monthly Data'!AL44</f>
        <v>31</v>
      </c>
      <c r="H44" s="6">
        <f>'Monthly Data'!BC44</f>
        <v>0</v>
      </c>
      <c r="I44" s="6">
        <f>'Monthly Data'!AQ44</f>
        <v>0</v>
      </c>
      <c r="J44" s="6">
        <f>'Monthly Data'!AZ44</f>
        <v>0</v>
      </c>
      <c r="L44" s="20">
        <f>'GS &lt; 50 OLS model'!$B$5</f>
        <v>-1088732.49289844</v>
      </c>
      <c r="M44" s="20">
        <f>'GS &lt; 50 OLS model'!$B$6*D44</f>
        <v>0</v>
      </c>
      <c r="N44" s="20">
        <f>'GS &lt; 50 OLS model'!$B$7*E44</f>
        <v>1807241.4941938506</v>
      </c>
      <c r="O44" s="20">
        <f>'GS &lt; 50 OLS model'!$B$8*F44</f>
        <v>1749867.7687409585</v>
      </c>
      <c r="P44" s="20">
        <f>'GS &lt; 50 OLS model'!$B$9*G44</f>
        <v>4635586.0334030418</v>
      </c>
      <c r="Q44" s="20">
        <f>'GS &lt; 50 OLS model'!$B$10*H44</f>
        <v>0</v>
      </c>
      <c r="R44" s="20">
        <f>'GS &lt; 50 OLS model'!$B$11*I44</f>
        <v>0</v>
      </c>
      <c r="S44" s="20">
        <f>'GS &lt; 50 OLS model'!$B$12*J44</f>
        <v>0</v>
      </c>
      <c r="T44" s="20">
        <f t="shared" si="4"/>
        <v>7103962.8034394104</v>
      </c>
      <c r="U44" s="23">
        <f t="shared" ca="1" si="5"/>
        <v>1.9789574609517073E-3</v>
      </c>
    </row>
    <row r="45" spans="1:21" ht="14.4" x14ac:dyDescent="0.3">
      <c r="A45" s="22">
        <f>'Monthly Data'!A45</f>
        <v>41122</v>
      </c>
      <c r="B45" s="6">
        <f t="shared" si="3"/>
        <v>2012</v>
      </c>
      <c r="C45" s="20">
        <f ca="1">'Monthly Data'!J45</f>
        <v>6559336.0869305413</v>
      </c>
      <c r="D45" s="6">
        <f>'Monthly Data'!AG45</f>
        <v>0.7</v>
      </c>
      <c r="E45" s="6">
        <f>'Monthly Data'!AH45</f>
        <v>143.69999999999999</v>
      </c>
      <c r="F45" s="6">
        <f>'Monthly Data'!AJ45</f>
        <v>155</v>
      </c>
      <c r="G45" s="6">
        <f>'Monthly Data'!AL45</f>
        <v>31</v>
      </c>
      <c r="H45" s="6">
        <f>'Monthly Data'!BC45</f>
        <v>0</v>
      </c>
      <c r="I45" s="6">
        <f>'Monthly Data'!AQ45</f>
        <v>0</v>
      </c>
      <c r="J45" s="6">
        <f>'Monthly Data'!AZ45</f>
        <v>0</v>
      </c>
      <c r="L45" s="20">
        <f>'GS &lt; 50 OLS model'!$B$5</f>
        <v>-1088732.49289844</v>
      </c>
      <c r="M45" s="20">
        <f>'GS &lt; 50 OLS model'!$B$6*D45</f>
        <v>721.64708724794002</v>
      </c>
      <c r="N45" s="20">
        <f>'GS &lt; 50 OLS model'!$B$7*E45</f>
        <v>1102762.6442278395</v>
      </c>
      <c r="O45" s="20">
        <f>'GS &lt; 50 OLS model'!$B$8*F45</f>
        <v>1768119.3230433415</v>
      </c>
      <c r="P45" s="20">
        <f>'GS &lt; 50 OLS model'!$B$9*G45</f>
        <v>4635586.0334030418</v>
      </c>
      <c r="Q45" s="20">
        <f>'GS &lt; 50 OLS model'!$B$10*H45</f>
        <v>0</v>
      </c>
      <c r="R45" s="20">
        <f>'GS &lt; 50 OLS model'!$B$11*I45</f>
        <v>0</v>
      </c>
      <c r="S45" s="20">
        <f>'GS &lt; 50 OLS model'!$B$12*J45</f>
        <v>0</v>
      </c>
      <c r="T45" s="20">
        <f t="shared" si="4"/>
        <v>6418457.1548630306</v>
      </c>
      <c r="U45" s="23">
        <f t="shared" ca="1" si="5"/>
        <v>2.1477620631181187E-2</v>
      </c>
    </row>
    <row r="46" spans="1:21" ht="14.4" x14ac:dyDescent="0.3">
      <c r="A46" s="22">
        <f>'Monthly Data'!A46</f>
        <v>41153</v>
      </c>
      <c r="B46" s="6">
        <f t="shared" si="3"/>
        <v>2012</v>
      </c>
      <c r="C46" s="20">
        <f ca="1">'Monthly Data'!J46</f>
        <v>5578962.0305964015</v>
      </c>
      <c r="D46" s="6">
        <f>'Monthly Data'!AG46</f>
        <v>53.2</v>
      </c>
      <c r="E46" s="6">
        <f>'Monthly Data'!AH46</f>
        <v>50.29999999999999</v>
      </c>
      <c r="F46" s="6">
        <f>'Monthly Data'!AJ46</f>
        <v>156.9</v>
      </c>
      <c r="G46" s="6">
        <f>'Monthly Data'!AL46</f>
        <v>30</v>
      </c>
      <c r="H46" s="6">
        <f>'Monthly Data'!BC46</f>
        <v>0</v>
      </c>
      <c r="I46" s="6">
        <f>'Monthly Data'!AQ46</f>
        <v>0</v>
      </c>
      <c r="J46" s="6">
        <f>'Monthly Data'!AZ46</f>
        <v>0</v>
      </c>
      <c r="L46" s="20">
        <f>'GS &lt; 50 OLS model'!$B$5</f>
        <v>-1088732.49289844</v>
      </c>
      <c r="M46" s="20">
        <f>'GS &lt; 50 OLS model'!$B$6*D46</f>
        <v>54845.178630843446</v>
      </c>
      <c r="N46" s="20">
        <f>'GS &lt; 50 OLS model'!$B$7*E46</f>
        <v>386005.29578747612</v>
      </c>
      <c r="O46" s="20">
        <f>'GS &lt; 50 OLS model'!$B$8*F46</f>
        <v>1789793.0437774211</v>
      </c>
      <c r="P46" s="20">
        <f>'GS &lt; 50 OLS model'!$B$9*G46</f>
        <v>4486051.0000674604</v>
      </c>
      <c r="Q46" s="20">
        <f>'GS &lt; 50 OLS model'!$B$10*H46</f>
        <v>0</v>
      </c>
      <c r="R46" s="20">
        <f>'GS &lt; 50 OLS model'!$B$11*I46</f>
        <v>0</v>
      </c>
      <c r="S46" s="20">
        <f>'GS &lt; 50 OLS model'!$B$12*J46</f>
        <v>0</v>
      </c>
      <c r="T46" s="20">
        <f t="shared" si="4"/>
        <v>5627962.0253647612</v>
      </c>
      <c r="U46" s="23">
        <f t="shared" ca="1" si="5"/>
        <v>8.7829948473625852E-3</v>
      </c>
    </row>
    <row r="47" spans="1:21" ht="14.4" x14ac:dyDescent="0.3">
      <c r="A47" s="22">
        <f>'Monthly Data'!A47</f>
        <v>41183</v>
      </c>
      <c r="B47" s="6">
        <f t="shared" si="3"/>
        <v>2012</v>
      </c>
      <c r="C47" s="20">
        <f ca="1">'Monthly Data'!J47</f>
        <v>5153415.156241239</v>
      </c>
      <c r="D47" s="6">
        <f>'Monthly Data'!AG47</f>
        <v>207.19999999999996</v>
      </c>
      <c r="E47" s="6">
        <f>'Monthly Data'!AH47</f>
        <v>5.6</v>
      </c>
      <c r="F47" s="6">
        <f>'Monthly Data'!AJ47</f>
        <v>157.5</v>
      </c>
      <c r="G47" s="6">
        <f>'Monthly Data'!AL47</f>
        <v>31</v>
      </c>
      <c r="H47" s="6">
        <f>'Monthly Data'!BC47</f>
        <v>1</v>
      </c>
      <c r="I47" s="6">
        <f>'Monthly Data'!AQ47</f>
        <v>0</v>
      </c>
      <c r="J47" s="6">
        <f>'Monthly Data'!AZ47</f>
        <v>0</v>
      </c>
      <c r="L47" s="20">
        <f>'GS &lt; 50 OLS model'!$B$5</f>
        <v>-1088732.49289844</v>
      </c>
      <c r="M47" s="20">
        <f>'GS &lt; 50 OLS model'!$B$6*D47</f>
        <v>213607.5378253902</v>
      </c>
      <c r="N47" s="20">
        <f>'GS &lt; 50 OLS model'!$B$7*E47</f>
        <v>42974.74466023592</v>
      </c>
      <c r="O47" s="20">
        <f>'GS &lt; 50 OLS model'!$B$8*F47</f>
        <v>1796637.3766408146</v>
      </c>
      <c r="P47" s="20">
        <f>'GS &lt; 50 OLS model'!$B$9*G47</f>
        <v>4635586.0334030418</v>
      </c>
      <c r="Q47" s="20">
        <f>'GS &lt; 50 OLS model'!$B$10*H47</f>
        <v>-268302.989268562</v>
      </c>
      <c r="R47" s="20">
        <f>'GS &lt; 50 OLS model'!$B$11*I47</f>
        <v>0</v>
      </c>
      <c r="S47" s="20">
        <f>'GS &lt; 50 OLS model'!$B$12*J47</f>
        <v>0</v>
      </c>
      <c r="T47" s="20">
        <f t="shared" si="4"/>
        <v>5331770.210362481</v>
      </c>
      <c r="U47" s="23">
        <f t="shared" ca="1" si="5"/>
        <v>3.4609098765357234E-2</v>
      </c>
    </row>
    <row r="48" spans="1:21" ht="14.4" x14ac:dyDescent="0.3">
      <c r="A48" s="22">
        <f>'Monthly Data'!A48</f>
        <v>41214</v>
      </c>
      <c r="B48" s="6">
        <f t="shared" si="3"/>
        <v>2012</v>
      </c>
      <c r="C48" s="20">
        <f ca="1">'Monthly Data'!J48</f>
        <v>5140839.870752953</v>
      </c>
      <c r="D48" s="6">
        <f>'Monthly Data'!AG48</f>
        <v>405.49999999999994</v>
      </c>
      <c r="E48" s="6">
        <f>'Monthly Data'!AH48</f>
        <v>0</v>
      </c>
      <c r="F48" s="6">
        <f>'Monthly Data'!AJ48</f>
        <v>157.6</v>
      </c>
      <c r="G48" s="6">
        <f>'Monthly Data'!AL48</f>
        <v>30</v>
      </c>
      <c r="H48" s="6">
        <f>'Monthly Data'!BC48</f>
        <v>1</v>
      </c>
      <c r="I48" s="6">
        <f>'Monthly Data'!AQ48</f>
        <v>0</v>
      </c>
      <c r="J48" s="6">
        <f>'Monthly Data'!AZ48</f>
        <v>0</v>
      </c>
      <c r="L48" s="20">
        <f>'GS &lt; 50 OLS model'!$B$5</f>
        <v>-1088732.49289844</v>
      </c>
      <c r="M48" s="20">
        <f>'GS &lt; 50 OLS model'!$B$6*D48</f>
        <v>418039.84839862806</v>
      </c>
      <c r="N48" s="20">
        <f>'GS &lt; 50 OLS model'!$B$7*E48</f>
        <v>0</v>
      </c>
      <c r="O48" s="20">
        <f>'GS &lt; 50 OLS model'!$B$8*F48</f>
        <v>1797778.0987847135</v>
      </c>
      <c r="P48" s="20">
        <f>'GS &lt; 50 OLS model'!$B$9*G48</f>
        <v>4486051.0000674604</v>
      </c>
      <c r="Q48" s="20">
        <f>'GS &lt; 50 OLS model'!$B$10*H48</f>
        <v>-268302.989268562</v>
      </c>
      <c r="R48" s="20">
        <f>'GS &lt; 50 OLS model'!$B$11*I48</f>
        <v>0</v>
      </c>
      <c r="S48" s="20">
        <f>'GS &lt; 50 OLS model'!$B$12*J48</f>
        <v>0</v>
      </c>
      <c r="T48" s="20">
        <f t="shared" si="4"/>
        <v>5344833.4650838003</v>
      </c>
      <c r="U48" s="23">
        <f t="shared" ca="1" si="5"/>
        <v>3.9680985881586958E-2</v>
      </c>
    </row>
    <row r="49" spans="1:21" ht="14.4" x14ac:dyDescent="0.3">
      <c r="A49" s="22">
        <f>'Monthly Data'!A49</f>
        <v>41244</v>
      </c>
      <c r="B49" s="6">
        <f t="shared" si="3"/>
        <v>2012</v>
      </c>
      <c r="C49" s="20">
        <f ca="1">'Monthly Data'!J49</f>
        <v>5435911.5977635086</v>
      </c>
      <c r="D49" s="6">
        <f>'Monthly Data'!AG49</f>
        <v>484.20000000000005</v>
      </c>
      <c r="E49" s="6">
        <f>'Monthly Data'!AH49</f>
        <v>0</v>
      </c>
      <c r="F49" s="6">
        <f>'Monthly Data'!AJ49</f>
        <v>155.5</v>
      </c>
      <c r="G49" s="6">
        <f>'Monthly Data'!AL49</f>
        <v>31</v>
      </c>
      <c r="H49" s="6">
        <f>'Monthly Data'!BC49</f>
        <v>0</v>
      </c>
      <c r="I49" s="6">
        <f>'Monthly Data'!AQ49</f>
        <v>0</v>
      </c>
      <c r="J49" s="6">
        <f>'Monthly Data'!AZ49</f>
        <v>1</v>
      </c>
      <c r="L49" s="20">
        <f>'GS &lt; 50 OLS model'!$B$5</f>
        <v>-1088732.49289844</v>
      </c>
      <c r="M49" s="20">
        <f>'GS &lt; 50 OLS model'!$B$6*D49</f>
        <v>499173.59949350375</v>
      </c>
      <c r="N49" s="20">
        <f>'GS &lt; 50 OLS model'!$B$7*E49</f>
        <v>0</v>
      </c>
      <c r="O49" s="20">
        <f>'GS &lt; 50 OLS model'!$B$8*F49</f>
        <v>1773822.933762836</v>
      </c>
      <c r="P49" s="20">
        <f>'GS &lt; 50 OLS model'!$B$9*G49</f>
        <v>4635586.0334030418</v>
      </c>
      <c r="Q49" s="20">
        <f>'GS &lt; 50 OLS model'!$B$10*H49</f>
        <v>0</v>
      </c>
      <c r="R49" s="20">
        <f>'GS &lt; 50 OLS model'!$B$11*I49</f>
        <v>0</v>
      </c>
      <c r="S49" s="20">
        <f>'GS &lt; 50 OLS model'!$B$12*J49</f>
        <v>-197900.76217015099</v>
      </c>
      <c r="T49" s="20">
        <f t="shared" si="4"/>
        <v>5621949.3115907907</v>
      </c>
      <c r="U49" s="23">
        <f t="shared" ca="1" si="5"/>
        <v>3.4223829891535301E-2</v>
      </c>
    </row>
    <row r="50" spans="1:21" ht="14.4" x14ac:dyDescent="0.3">
      <c r="A50" s="22">
        <f>'Monthly Data'!A50</f>
        <v>41275</v>
      </c>
      <c r="B50" s="6">
        <f t="shared" si="3"/>
        <v>2013</v>
      </c>
      <c r="C50" s="20">
        <f ca="1">'Monthly Data'!J50</f>
        <v>5731939.4442237746</v>
      </c>
      <c r="D50" s="6">
        <f>'Monthly Data'!AG50</f>
        <v>598.19999999999993</v>
      </c>
      <c r="E50" s="6">
        <f>'Monthly Data'!AH50</f>
        <v>0</v>
      </c>
      <c r="F50" s="6">
        <f>'Monthly Data'!AJ50</f>
        <v>151.1</v>
      </c>
      <c r="G50" s="6">
        <f>'Monthly Data'!AL50</f>
        <v>31</v>
      </c>
      <c r="H50" s="6">
        <f>'Monthly Data'!BC50</f>
        <v>0</v>
      </c>
      <c r="I50" s="6">
        <f>'Monthly Data'!AQ50</f>
        <v>0</v>
      </c>
      <c r="J50" s="6">
        <f>'Monthly Data'!AZ50</f>
        <v>0</v>
      </c>
      <c r="L50" s="20">
        <f>'GS &lt; 50 OLS model'!$B$5</f>
        <v>-1088732.49289844</v>
      </c>
      <c r="M50" s="20">
        <f>'GS &lt; 50 OLS model'!$B$6*D50</f>
        <v>616698.98227388237</v>
      </c>
      <c r="N50" s="20">
        <f>'GS &lt; 50 OLS model'!$B$7*E50</f>
        <v>0</v>
      </c>
      <c r="O50" s="20">
        <f>'GS &lt; 50 OLS model'!$B$8*F50</f>
        <v>1723631.1594312831</v>
      </c>
      <c r="P50" s="20">
        <f>'GS &lt; 50 OLS model'!$B$9*G50</f>
        <v>4635586.0334030418</v>
      </c>
      <c r="Q50" s="20">
        <f>'GS &lt; 50 OLS model'!$B$10*H50</f>
        <v>0</v>
      </c>
      <c r="R50" s="20">
        <f>'GS &lt; 50 OLS model'!$B$11*I50</f>
        <v>0</v>
      </c>
      <c r="S50" s="20">
        <f>'GS &lt; 50 OLS model'!$B$12*J50</f>
        <v>0</v>
      </c>
      <c r="T50" s="20">
        <f t="shared" si="4"/>
        <v>5887183.6822097674</v>
      </c>
      <c r="U50" s="23">
        <f t="shared" ca="1" si="5"/>
        <v>2.7084068053516597E-2</v>
      </c>
    </row>
    <row r="51" spans="1:21" ht="14.4" x14ac:dyDescent="0.3">
      <c r="A51" s="22">
        <f>'Monthly Data'!A51</f>
        <v>41306</v>
      </c>
      <c r="B51" s="6">
        <f t="shared" si="3"/>
        <v>2013</v>
      </c>
      <c r="C51" s="20">
        <f ca="1">'Monthly Data'!J51</f>
        <v>5288814.8620550148</v>
      </c>
      <c r="D51" s="6">
        <f>'Monthly Data'!AG51</f>
        <v>574.80000000000007</v>
      </c>
      <c r="E51" s="6">
        <f>'Monthly Data'!AH51</f>
        <v>0</v>
      </c>
      <c r="F51" s="6">
        <f>'Monthly Data'!AJ51</f>
        <v>150.19999999999999</v>
      </c>
      <c r="G51" s="6">
        <f>'Monthly Data'!AL51</f>
        <v>28</v>
      </c>
      <c r="H51" s="6">
        <f>'Monthly Data'!BC51</f>
        <v>0</v>
      </c>
      <c r="I51" s="6">
        <f>'Monthly Data'!AQ51</f>
        <v>0</v>
      </c>
      <c r="J51" s="6">
        <f>'Monthly Data'!AZ51</f>
        <v>0</v>
      </c>
      <c r="L51" s="20">
        <f>'GS &lt; 50 OLS model'!$B$5</f>
        <v>-1088732.49289844</v>
      </c>
      <c r="M51" s="20">
        <f>'GS &lt; 50 OLS model'!$B$6*D51</f>
        <v>592575.35107159428</v>
      </c>
      <c r="N51" s="20">
        <f>'GS &lt; 50 OLS model'!$B$7*E51</f>
        <v>0</v>
      </c>
      <c r="O51" s="20">
        <f>'GS &lt; 50 OLS model'!$B$8*F51</f>
        <v>1713364.6601361926</v>
      </c>
      <c r="P51" s="20">
        <f>'GS &lt; 50 OLS model'!$B$9*G51</f>
        <v>4186980.9333962961</v>
      </c>
      <c r="Q51" s="20">
        <f>'GS &lt; 50 OLS model'!$B$10*H51</f>
        <v>0</v>
      </c>
      <c r="R51" s="20">
        <f>'GS &lt; 50 OLS model'!$B$11*I51</f>
        <v>0</v>
      </c>
      <c r="S51" s="20">
        <f>'GS &lt; 50 OLS model'!$B$12*J51</f>
        <v>0</v>
      </c>
      <c r="T51" s="20">
        <f t="shared" si="4"/>
        <v>5404188.451705643</v>
      </c>
      <c r="U51" s="23">
        <f t="shared" ca="1" si="5"/>
        <v>2.1814639509956064E-2</v>
      </c>
    </row>
    <row r="52" spans="1:21" ht="14.4" x14ac:dyDescent="0.3">
      <c r="A52" s="22">
        <f>'Monthly Data'!A52</f>
        <v>41334</v>
      </c>
      <c r="B52" s="6">
        <f t="shared" si="3"/>
        <v>2013</v>
      </c>
      <c r="C52" s="20">
        <f ca="1">'Monthly Data'!J52</f>
        <v>5578008.3017610069</v>
      </c>
      <c r="D52" s="6">
        <f>'Monthly Data'!AG52</f>
        <v>505.20000000000005</v>
      </c>
      <c r="E52" s="6">
        <f>'Monthly Data'!AH52</f>
        <v>0</v>
      </c>
      <c r="F52" s="6">
        <f>'Monthly Data'!AJ52</f>
        <v>149.4</v>
      </c>
      <c r="G52" s="6">
        <f>'Monthly Data'!AL52</f>
        <v>31</v>
      </c>
      <c r="H52" s="6">
        <f>'Monthly Data'!BC52</f>
        <v>1</v>
      </c>
      <c r="I52" s="6">
        <f>'Monthly Data'!AQ52</f>
        <v>1</v>
      </c>
      <c r="J52" s="6">
        <f>'Monthly Data'!AZ52</f>
        <v>0</v>
      </c>
      <c r="L52" s="20">
        <f>'GS &lt; 50 OLS model'!$B$5</f>
        <v>-1088732.49289844</v>
      </c>
      <c r="M52" s="20">
        <f>'GS &lt; 50 OLS model'!$B$6*D52</f>
        <v>520823.01211094193</v>
      </c>
      <c r="N52" s="20">
        <f>'GS &lt; 50 OLS model'!$B$7*E52</f>
        <v>0</v>
      </c>
      <c r="O52" s="20">
        <f>'GS &lt; 50 OLS model'!$B$8*F52</f>
        <v>1704238.8829850014</v>
      </c>
      <c r="P52" s="20">
        <f>'GS &lt; 50 OLS model'!$B$9*G52</f>
        <v>4635586.0334030418</v>
      </c>
      <c r="Q52" s="20">
        <f>'GS &lt; 50 OLS model'!$B$10*H52</f>
        <v>-268302.989268562</v>
      </c>
      <c r="R52" s="20">
        <f>'GS &lt; 50 OLS model'!$B$11*I52</f>
        <v>178696.970766832</v>
      </c>
      <c r="S52" s="20">
        <f>'GS &lt; 50 OLS model'!$B$12*J52</f>
        <v>0</v>
      </c>
      <c r="T52" s="20">
        <f t="shared" si="4"/>
        <v>5682309.4170988156</v>
      </c>
      <c r="U52" s="23">
        <f t="shared" ca="1" si="5"/>
        <v>1.8698630352500585E-2</v>
      </c>
    </row>
    <row r="53" spans="1:21" ht="14.4" x14ac:dyDescent="0.3">
      <c r="A53" s="22">
        <f>'Monthly Data'!A53</f>
        <v>41365</v>
      </c>
      <c r="B53" s="6">
        <f t="shared" si="3"/>
        <v>2013</v>
      </c>
      <c r="C53" s="20">
        <f ca="1">'Monthly Data'!J53</f>
        <v>5151120.774575416</v>
      </c>
      <c r="D53" s="6">
        <f>'Monthly Data'!AG53</f>
        <v>300.19999999999993</v>
      </c>
      <c r="E53" s="6">
        <f>'Monthly Data'!AH53</f>
        <v>0</v>
      </c>
      <c r="F53" s="6">
        <f>'Monthly Data'!AJ53</f>
        <v>152.6</v>
      </c>
      <c r="G53" s="6">
        <f>'Monthly Data'!AL53</f>
        <v>30</v>
      </c>
      <c r="H53" s="6">
        <f>'Monthly Data'!BC53</f>
        <v>1</v>
      </c>
      <c r="I53" s="6">
        <f>'Monthly Data'!AQ53</f>
        <v>0</v>
      </c>
      <c r="J53" s="6">
        <f>'Monthly Data'!AZ53</f>
        <v>0</v>
      </c>
      <c r="L53" s="20">
        <f>'GS &lt; 50 OLS model'!$B$5</f>
        <v>-1088732.49289844</v>
      </c>
      <c r="M53" s="20">
        <f>'GS &lt; 50 OLS model'!$B$6*D53</f>
        <v>309483.50798833079</v>
      </c>
      <c r="N53" s="20">
        <f>'GS &lt; 50 OLS model'!$B$7*E53</f>
        <v>0</v>
      </c>
      <c r="O53" s="20">
        <f>'GS &lt; 50 OLS model'!$B$8*F53</f>
        <v>1740741.9915897672</v>
      </c>
      <c r="P53" s="20">
        <f>'GS &lt; 50 OLS model'!$B$9*G53</f>
        <v>4486051.0000674604</v>
      </c>
      <c r="Q53" s="20">
        <f>'GS &lt; 50 OLS model'!$B$10*H53</f>
        <v>-268302.989268562</v>
      </c>
      <c r="R53" s="20">
        <f>'GS &lt; 50 OLS model'!$B$11*I53</f>
        <v>0</v>
      </c>
      <c r="S53" s="20">
        <f>'GS &lt; 50 OLS model'!$B$12*J53</f>
        <v>0</v>
      </c>
      <c r="T53" s="20">
        <f t="shared" si="4"/>
        <v>5179241.0174785564</v>
      </c>
      <c r="U53" s="23">
        <f t="shared" ca="1" si="5"/>
        <v>5.4590533077645033E-3</v>
      </c>
    </row>
    <row r="54" spans="1:21" ht="14.4" x14ac:dyDescent="0.3">
      <c r="A54" s="22">
        <f>'Monthly Data'!A54</f>
        <v>41395</v>
      </c>
      <c r="B54" s="6">
        <f t="shared" si="3"/>
        <v>2013</v>
      </c>
      <c r="C54" s="20">
        <f ca="1">'Monthly Data'!J54</f>
        <v>5423795.7144559138</v>
      </c>
      <c r="D54" s="6">
        <f>'Monthly Data'!AG54</f>
        <v>73.300000000000011</v>
      </c>
      <c r="E54" s="6">
        <f>'Monthly Data'!AH54</f>
        <v>59.899999999999991</v>
      </c>
      <c r="F54" s="6">
        <f>'Monthly Data'!AJ54</f>
        <v>154</v>
      </c>
      <c r="G54" s="6">
        <f>'Monthly Data'!AL54</f>
        <v>31</v>
      </c>
      <c r="H54" s="6">
        <f>'Monthly Data'!BC54</f>
        <v>1</v>
      </c>
      <c r="I54" s="6">
        <f>'Monthly Data'!AQ54</f>
        <v>0</v>
      </c>
      <c r="J54" s="6">
        <f>'Monthly Data'!AZ54</f>
        <v>0</v>
      </c>
      <c r="L54" s="20">
        <f>'GS &lt; 50 OLS model'!$B$5</f>
        <v>-1088732.49289844</v>
      </c>
      <c r="M54" s="20">
        <f>'GS &lt; 50 OLS model'!$B$6*D54</f>
        <v>75566.759278962883</v>
      </c>
      <c r="N54" s="20">
        <f>'GS &lt; 50 OLS model'!$B$7*E54</f>
        <v>459676.28663359483</v>
      </c>
      <c r="O54" s="20">
        <f>'GS &lt; 50 OLS model'!$B$8*F54</f>
        <v>1756712.1016043522</v>
      </c>
      <c r="P54" s="20">
        <f>'GS &lt; 50 OLS model'!$B$9*G54</f>
        <v>4635586.0334030418</v>
      </c>
      <c r="Q54" s="20">
        <f>'GS &lt; 50 OLS model'!$B$10*H54</f>
        <v>-268302.989268562</v>
      </c>
      <c r="R54" s="20">
        <f>'GS &lt; 50 OLS model'!$B$11*I54</f>
        <v>0</v>
      </c>
      <c r="S54" s="20">
        <f>'GS &lt; 50 OLS model'!$B$12*J54</f>
        <v>0</v>
      </c>
      <c r="T54" s="20">
        <f t="shared" si="4"/>
        <v>5570505.6987529499</v>
      </c>
      <c r="U54" s="23">
        <f t="shared" ca="1" si="5"/>
        <v>2.7049319705388895E-2</v>
      </c>
    </row>
    <row r="55" spans="1:21" ht="14.4" x14ac:dyDescent="0.3">
      <c r="A55" s="22">
        <f>'Monthly Data'!A55</f>
        <v>41426</v>
      </c>
      <c r="B55" s="6">
        <f t="shared" si="3"/>
        <v>2013</v>
      </c>
      <c r="C55" s="20">
        <f ca="1">'Monthly Data'!J55</f>
        <v>5819129.7356781708</v>
      </c>
      <c r="D55" s="6">
        <f>'Monthly Data'!AG55</f>
        <v>14.700000000000001</v>
      </c>
      <c r="E55" s="6">
        <f>'Monthly Data'!AH55</f>
        <v>103.49999999999999</v>
      </c>
      <c r="F55" s="6">
        <f>'Monthly Data'!AJ55</f>
        <v>155.9</v>
      </c>
      <c r="G55" s="6">
        <f>'Monthly Data'!AL55</f>
        <v>30</v>
      </c>
      <c r="H55" s="6">
        <f>'Monthly Data'!BC55</f>
        <v>0</v>
      </c>
      <c r="I55" s="6">
        <f>'Monthly Data'!AQ55</f>
        <v>0</v>
      </c>
      <c r="J55" s="6">
        <f>'Monthly Data'!AZ55</f>
        <v>0</v>
      </c>
      <c r="L55" s="20">
        <f>'GS &lt; 50 OLS model'!$B$5</f>
        <v>-1088732.49289844</v>
      </c>
      <c r="M55" s="20">
        <f>'GS &lt; 50 OLS model'!$B$6*D55</f>
        <v>15154.588832206742</v>
      </c>
      <c r="N55" s="20">
        <f>'GS &lt; 50 OLS model'!$B$7*E55</f>
        <v>794265.37005971733</v>
      </c>
      <c r="O55" s="20">
        <f>'GS &lt; 50 OLS model'!$B$8*F55</f>
        <v>1778385.8223384318</v>
      </c>
      <c r="P55" s="20">
        <f>'GS &lt; 50 OLS model'!$B$9*G55</f>
        <v>4486051.0000674604</v>
      </c>
      <c r="Q55" s="20">
        <f>'GS &lt; 50 OLS model'!$B$10*H55</f>
        <v>0</v>
      </c>
      <c r="R55" s="20">
        <f>'GS &lt; 50 OLS model'!$B$11*I55</f>
        <v>0</v>
      </c>
      <c r="S55" s="20">
        <f>'GS &lt; 50 OLS model'!$B$12*J55</f>
        <v>0</v>
      </c>
      <c r="T55" s="20">
        <f t="shared" si="4"/>
        <v>5985124.288399376</v>
      </c>
      <c r="U55" s="23">
        <f t="shared" ca="1" si="5"/>
        <v>2.8525666252715003E-2</v>
      </c>
    </row>
    <row r="56" spans="1:21" ht="14.4" x14ac:dyDescent="0.3">
      <c r="A56" s="22">
        <f>'Monthly Data'!A56</f>
        <v>41456</v>
      </c>
      <c r="B56" s="6">
        <f t="shared" si="3"/>
        <v>2013</v>
      </c>
      <c r="C56" s="20">
        <f ca="1">'Monthly Data'!J56</f>
        <v>6365784.4325457644</v>
      </c>
      <c r="D56" s="6">
        <f>'Monthly Data'!AG56</f>
        <v>1.5</v>
      </c>
      <c r="E56" s="6">
        <f>'Monthly Data'!AH56</f>
        <v>174.80000000000004</v>
      </c>
      <c r="F56" s="6">
        <f>'Monthly Data'!AJ56</f>
        <v>156.6</v>
      </c>
      <c r="G56" s="6">
        <f>'Monthly Data'!AL56</f>
        <v>31</v>
      </c>
      <c r="H56" s="6">
        <f>'Monthly Data'!BC56</f>
        <v>0</v>
      </c>
      <c r="I56" s="6">
        <f>'Monthly Data'!AQ56</f>
        <v>0</v>
      </c>
      <c r="J56" s="6">
        <f>'Monthly Data'!AZ56</f>
        <v>0</v>
      </c>
      <c r="L56" s="20">
        <f>'GS &lt; 50 OLS model'!$B$5</f>
        <v>-1088732.49289844</v>
      </c>
      <c r="M56" s="20">
        <f>'GS &lt; 50 OLS model'!$B$6*D56</f>
        <v>1546.3866155313001</v>
      </c>
      <c r="N56" s="20">
        <f>'GS &lt; 50 OLS model'!$B$7*E56</f>
        <v>1341425.9583230787</v>
      </c>
      <c r="O56" s="20">
        <f>'GS &lt; 50 OLS model'!$B$8*F56</f>
        <v>1786370.8773457243</v>
      </c>
      <c r="P56" s="20">
        <f>'GS &lt; 50 OLS model'!$B$9*G56</f>
        <v>4635586.0334030418</v>
      </c>
      <c r="Q56" s="20">
        <f>'GS &lt; 50 OLS model'!$B$10*H56</f>
        <v>0</v>
      </c>
      <c r="R56" s="20">
        <f>'GS &lt; 50 OLS model'!$B$11*I56</f>
        <v>0</v>
      </c>
      <c r="S56" s="20">
        <f>'GS &lt; 50 OLS model'!$B$12*J56</f>
        <v>0</v>
      </c>
      <c r="T56" s="20">
        <f t="shared" si="4"/>
        <v>6676196.7627889365</v>
      </c>
      <c r="U56" s="23">
        <f t="shared" ca="1" si="5"/>
        <v>4.876262046451893E-2</v>
      </c>
    </row>
    <row r="57" spans="1:21" ht="14.4" x14ac:dyDescent="0.3">
      <c r="A57" s="22">
        <f>'Monthly Data'!A57</f>
        <v>41487</v>
      </c>
      <c r="B57" s="6">
        <f t="shared" si="3"/>
        <v>2013</v>
      </c>
      <c r="C57" s="20">
        <f ca="1">'Monthly Data'!J57</f>
        <v>6212999.889886952</v>
      </c>
      <c r="D57" s="6">
        <f>'Monthly Data'!AG57</f>
        <v>1.2</v>
      </c>
      <c r="E57" s="6">
        <f>'Monthly Data'!AH57</f>
        <v>134.29999999999998</v>
      </c>
      <c r="F57" s="6">
        <f>'Monthly Data'!AJ57</f>
        <v>156.5</v>
      </c>
      <c r="G57" s="6">
        <f>'Monthly Data'!AL57</f>
        <v>31</v>
      </c>
      <c r="H57" s="6">
        <f>'Monthly Data'!BC57</f>
        <v>0</v>
      </c>
      <c r="I57" s="6">
        <f>'Monthly Data'!AQ57</f>
        <v>0</v>
      </c>
      <c r="J57" s="6">
        <f>'Monthly Data'!AZ57</f>
        <v>0</v>
      </c>
      <c r="L57" s="20">
        <f>'GS &lt; 50 OLS model'!$B$5</f>
        <v>-1088732.49289844</v>
      </c>
      <c r="M57" s="20">
        <f>'GS &lt; 50 OLS model'!$B$6*D57</f>
        <v>1237.1092924250399</v>
      </c>
      <c r="N57" s="20">
        <f>'GS &lt; 50 OLS model'!$B$7*E57</f>
        <v>1030626.4656910149</v>
      </c>
      <c r="O57" s="20">
        <f>'GS &lt; 50 OLS model'!$B$8*F57</f>
        <v>1785230.1552018253</v>
      </c>
      <c r="P57" s="20">
        <f>'GS &lt; 50 OLS model'!$B$9*G57</f>
        <v>4635586.0334030418</v>
      </c>
      <c r="Q57" s="20">
        <f>'GS &lt; 50 OLS model'!$B$10*H57</f>
        <v>0</v>
      </c>
      <c r="R57" s="20">
        <f>'GS &lt; 50 OLS model'!$B$11*I57</f>
        <v>0</v>
      </c>
      <c r="S57" s="20">
        <f>'GS &lt; 50 OLS model'!$B$12*J57</f>
        <v>0</v>
      </c>
      <c r="T57" s="20">
        <f t="shared" si="4"/>
        <v>6363947.2706898674</v>
      </c>
      <c r="U57" s="23">
        <f t="shared" ca="1" si="5"/>
        <v>2.4295410184799148E-2</v>
      </c>
    </row>
    <row r="58" spans="1:21" ht="14.4" x14ac:dyDescent="0.3">
      <c r="A58" s="22">
        <f>'Monthly Data'!A58</f>
        <v>41518</v>
      </c>
      <c r="B58" s="6">
        <f t="shared" si="3"/>
        <v>2013</v>
      </c>
      <c r="C58" s="20">
        <f ca="1">'Monthly Data'!J58</f>
        <v>5635233.8218801301</v>
      </c>
      <c r="D58" s="6">
        <f>'Monthly Data'!AG58</f>
        <v>41.2</v>
      </c>
      <c r="E58" s="6">
        <f>'Monthly Data'!AH58</f>
        <v>65.3</v>
      </c>
      <c r="F58" s="6">
        <f>'Monthly Data'!AJ58</f>
        <v>154.6</v>
      </c>
      <c r="G58" s="6">
        <f>'Monthly Data'!AL58</f>
        <v>30</v>
      </c>
      <c r="H58" s="6">
        <f>'Monthly Data'!BC58</f>
        <v>0</v>
      </c>
      <c r="I58" s="6">
        <f>'Monthly Data'!AQ58</f>
        <v>0</v>
      </c>
      <c r="J58" s="6">
        <f>'Monthly Data'!AZ58</f>
        <v>0</v>
      </c>
      <c r="L58" s="20">
        <f>'GS &lt; 50 OLS model'!$B$5</f>
        <v>-1088732.49289844</v>
      </c>
      <c r="M58" s="20">
        <f>'GS &lt; 50 OLS model'!$B$6*D58</f>
        <v>42474.085706593047</v>
      </c>
      <c r="N58" s="20">
        <f>'GS &lt; 50 OLS model'!$B$7*E58</f>
        <v>501116.21898453665</v>
      </c>
      <c r="O58" s="20">
        <f>'GS &lt; 50 OLS model'!$B$8*F58</f>
        <v>1763556.4344677457</v>
      </c>
      <c r="P58" s="20">
        <f>'GS &lt; 50 OLS model'!$B$9*G58</f>
        <v>4486051.0000674604</v>
      </c>
      <c r="Q58" s="20">
        <f>'GS &lt; 50 OLS model'!$B$10*H58</f>
        <v>0</v>
      </c>
      <c r="R58" s="20">
        <f>'GS &lt; 50 OLS model'!$B$11*I58</f>
        <v>0</v>
      </c>
      <c r="S58" s="20">
        <f>'GS &lt; 50 OLS model'!$B$12*J58</f>
        <v>0</v>
      </c>
      <c r="T58" s="20">
        <f t="shared" si="4"/>
        <v>5704465.2463278957</v>
      </c>
      <c r="U58" s="23">
        <f t="shared" ca="1" si="5"/>
        <v>1.2285457291755697E-2</v>
      </c>
    </row>
    <row r="59" spans="1:21" ht="14.4" x14ac:dyDescent="0.3">
      <c r="A59" s="22">
        <f>'Monthly Data'!A59</f>
        <v>41548</v>
      </c>
      <c r="B59" s="6">
        <f t="shared" si="3"/>
        <v>2013</v>
      </c>
      <c r="C59" s="20">
        <f ca="1">'Monthly Data'!J59</f>
        <v>5244110.3430482503</v>
      </c>
      <c r="D59" s="6">
        <f>'Monthly Data'!AG59</f>
        <v>170.49999999999997</v>
      </c>
      <c r="E59" s="6">
        <f>'Monthly Data'!AH59</f>
        <v>19.899999999999999</v>
      </c>
      <c r="F59" s="6">
        <f>'Monthly Data'!AJ59</f>
        <v>155.80000000000001</v>
      </c>
      <c r="G59" s="6">
        <f>'Monthly Data'!AL59</f>
        <v>31</v>
      </c>
      <c r="H59" s="6">
        <f>'Monthly Data'!BC59</f>
        <v>1</v>
      </c>
      <c r="I59" s="6">
        <f>'Monthly Data'!AQ59</f>
        <v>0</v>
      </c>
      <c r="J59" s="6">
        <f>'Monthly Data'!AZ59</f>
        <v>0</v>
      </c>
      <c r="L59" s="20">
        <f>'GS &lt; 50 OLS model'!$B$5</f>
        <v>-1088732.49289844</v>
      </c>
      <c r="M59" s="20">
        <f>'GS &lt; 50 OLS model'!$B$6*D59</f>
        <v>175772.61196539109</v>
      </c>
      <c r="N59" s="20">
        <f>'GS &lt; 50 OLS model'!$B$7*E59</f>
        <v>152713.82477476692</v>
      </c>
      <c r="O59" s="20">
        <f>'GS &lt; 50 OLS model'!$B$8*F59</f>
        <v>1777245.1001945331</v>
      </c>
      <c r="P59" s="20">
        <f>'GS &lt; 50 OLS model'!$B$9*G59</f>
        <v>4635586.0334030418</v>
      </c>
      <c r="Q59" s="20">
        <f>'GS &lt; 50 OLS model'!$B$10*H59</f>
        <v>-268302.989268562</v>
      </c>
      <c r="R59" s="20">
        <f>'GS &lt; 50 OLS model'!$B$11*I59</f>
        <v>0</v>
      </c>
      <c r="S59" s="20">
        <f>'GS &lt; 50 OLS model'!$B$12*J59</f>
        <v>0</v>
      </c>
      <c r="T59" s="20">
        <f t="shared" si="4"/>
        <v>5384282.0881707314</v>
      </c>
      <c r="U59" s="23">
        <f t="shared" ca="1" si="5"/>
        <v>2.6729366079853184E-2</v>
      </c>
    </row>
    <row r="60" spans="1:21" ht="14.4" x14ac:dyDescent="0.3">
      <c r="A60" s="22">
        <f>'Monthly Data'!A60</f>
        <v>41579</v>
      </c>
      <c r="B60" s="6">
        <f t="shared" si="3"/>
        <v>2013</v>
      </c>
      <c r="C60" s="20">
        <f ca="1">'Monthly Data'!J60</f>
        <v>5278519.5614520842</v>
      </c>
      <c r="D60" s="6">
        <f>'Monthly Data'!AG60</f>
        <v>424.9</v>
      </c>
      <c r="E60" s="6">
        <f>'Monthly Data'!AH60</f>
        <v>0</v>
      </c>
      <c r="F60" s="6">
        <f>'Monthly Data'!AJ60</f>
        <v>156.69999999999999</v>
      </c>
      <c r="G60" s="6">
        <f>'Monthly Data'!AL60</f>
        <v>30</v>
      </c>
      <c r="H60" s="6">
        <f>'Monthly Data'!BC60</f>
        <v>1</v>
      </c>
      <c r="I60" s="6">
        <f>'Monthly Data'!AQ60</f>
        <v>0</v>
      </c>
      <c r="J60" s="6">
        <f>'Monthly Data'!AZ60</f>
        <v>0</v>
      </c>
      <c r="L60" s="20">
        <f>'GS &lt; 50 OLS model'!$B$5</f>
        <v>-1088732.49289844</v>
      </c>
      <c r="M60" s="20">
        <f>'GS &lt; 50 OLS model'!$B$6*D60</f>
        <v>438039.78195949958</v>
      </c>
      <c r="N60" s="20">
        <f>'GS &lt; 50 OLS model'!$B$7*E60</f>
        <v>0</v>
      </c>
      <c r="O60" s="20">
        <f>'GS &lt; 50 OLS model'!$B$8*F60</f>
        <v>1787511.5994896232</v>
      </c>
      <c r="P60" s="20">
        <f>'GS &lt; 50 OLS model'!$B$9*G60</f>
        <v>4486051.0000674604</v>
      </c>
      <c r="Q60" s="20">
        <f>'GS &lt; 50 OLS model'!$B$10*H60</f>
        <v>-268302.989268562</v>
      </c>
      <c r="R60" s="20">
        <f>'GS &lt; 50 OLS model'!$B$11*I60</f>
        <v>0</v>
      </c>
      <c r="S60" s="20">
        <f>'GS &lt; 50 OLS model'!$B$12*J60</f>
        <v>0</v>
      </c>
      <c r="T60" s="20">
        <f t="shared" si="4"/>
        <v>5354566.8993495815</v>
      </c>
      <c r="U60" s="23">
        <f t="shared" ca="1" si="5"/>
        <v>1.4406944411621566E-2</v>
      </c>
    </row>
    <row r="61" spans="1:21" ht="14.4" x14ac:dyDescent="0.3">
      <c r="A61" s="22">
        <f>'Monthly Data'!A61</f>
        <v>41609</v>
      </c>
      <c r="B61" s="6">
        <f t="shared" si="3"/>
        <v>2013</v>
      </c>
      <c r="C61" s="20">
        <f ca="1">'Monthly Data'!J61</f>
        <v>5836114.3315690635</v>
      </c>
      <c r="D61" s="6">
        <f>'Monthly Data'!AG61</f>
        <v>614.30000000000007</v>
      </c>
      <c r="E61" s="6">
        <f>'Monthly Data'!AH61</f>
        <v>0</v>
      </c>
      <c r="F61" s="6">
        <f>'Monthly Data'!AJ61</f>
        <v>159.19999999999999</v>
      </c>
      <c r="G61" s="6">
        <f>'Monthly Data'!AL61</f>
        <v>31</v>
      </c>
      <c r="H61" s="6">
        <f>'Monthly Data'!BC61</f>
        <v>0</v>
      </c>
      <c r="I61" s="6">
        <f>'Monthly Data'!AQ61</f>
        <v>0</v>
      </c>
      <c r="J61" s="6">
        <f>'Monthly Data'!AZ61</f>
        <v>1</v>
      </c>
      <c r="L61" s="20">
        <f>'GS &lt; 50 OLS model'!$B$5</f>
        <v>-1088732.49289844</v>
      </c>
      <c r="M61" s="20">
        <f>'GS &lt; 50 OLS model'!$B$6*D61</f>
        <v>633296.86528058513</v>
      </c>
      <c r="N61" s="20">
        <f>'GS &lt; 50 OLS model'!$B$7*E61</f>
        <v>0</v>
      </c>
      <c r="O61" s="20">
        <f>'GS &lt; 50 OLS model'!$B$8*F61</f>
        <v>1816029.6530870963</v>
      </c>
      <c r="P61" s="20">
        <f>'GS &lt; 50 OLS model'!$B$9*G61</f>
        <v>4635586.0334030418</v>
      </c>
      <c r="Q61" s="20">
        <f>'GS &lt; 50 OLS model'!$B$10*H61</f>
        <v>0</v>
      </c>
      <c r="R61" s="20">
        <f>'GS &lt; 50 OLS model'!$B$11*I61</f>
        <v>0</v>
      </c>
      <c r="S61" s="20">
        <f>'GS &lt; 50 OLS model'!$B$12*J61</f>
        <v>-197900.76217015099</v>
      </c>
      <c r="T61" s="20">
        <f t="shared" si="4"/>
        <v>5798279.2967021326</v>
      </c>
      <c r="U61" s="23">
        <f t="shared" ca="1" si="5"/>
        <v>6.4829152955882567E-3</v>
      </c>
    </row>
    <row r="62" spans="1:21" ht="14.4" x14ac:dyDescent="0.3">
      <c r="A62" s="22">
        <f>'Monthly Data'!A62</f>
        <v>41640</v>
      </c>
      <c r="B62" s="6">
        <f t="shared" si="3"/>
        <v>2014</v>
      </c>
      <c r="C62" s="20">
        <f ca="1">'Monthly Data'!J62</f>
        <v>6160076.9121971037</v>
      </c>
      <c r="D62" s="6">
        <f>'Monthly Data'!AG62</f>
        <v>784.99999999999977</v>
      </c>
      <c r="E62" s="6">
        <f>'Monthly Data'!AH62</f>
        <v>0</v>
      </c>
      <c r="F62" s="6">
        <f>'Monthly Data'!AJ62</f>
        <v>157.1</v>
      </c>
      <c r="G62" s="6">
        <f>'Monthly Data'!AL62</f>
        <v>31</v>
      </c>
      <c r="H62" s="6">
        <f>'Monthly Data'!BC62</f>
        <v>0</v>
      </c>
      <c r="I62" s="6">
        <f>'Monthly Data'!AQ62</f>
        <v>0</v>
      </c>
      <c r="J62" s="6">
        <f>'Monthly Data'!AZ62</f>
        <v>0</v>
      </c>
      <c r="L62" s="20">
        <f>'GS &lt; 50 OLS model'!$B$5</f>
        <v>-1088732.49289844</v>
      </c>
      <c r="M62" s="20">
        <f>'GS &lt; 50 OLS model'!$B$6*D62</f>
        <v>809275.66212804685</v>
      </c>
      <c r="N62" s="20">
        <f>'GS &lt; 50 OLS model'!$B$7*E62</f>
        <v>0</v>
      </c>
      <c r="O62" s="20">
        <f>'GS &lt; 50 OLS model'!$B$8*F62</f>
        <v>1792074.488065219</v>
      </c>
      <c r="P62" s="20">
        <f>'GS &lt; 50 OLS model'!$B$9*G62</f>
        <v>4635586.0334030418</v>
      </c>
      <c r="Q62" s="20">
        <f>'GS &lt; 50 OLS model'!$B$10*H62</f>
        <v>0</v>
      </c>
      <c r="R62" s="20">
        <f>'GS &lt; 50 OLS model'!$B$11*I62</f>
        <v>0</v>
      </c>
      <c r="S62" s="20">
        <f>'GS &lt; 50 OLS model'!$B$12*J62</f>
        <v>0</v>
      </c>
      <c r="T62" s="20">
        <f t="shared" si="4"/>
        <v>6148203.6906978674</v>
      </c>
      <c r="U62" s="23">
        <f t="shared" ca="1" si="5"/>
        <v>1.9274469569896164E-3</v>
      </c>
    </row>
    <row r="63" spans="1:21" ht="14.4" x14ac:dyDescent="0.3">
      <c r="A63" s="22">
        <f>'Monthly Data'!A63</f>
        <v>41671</v>
      </c>
      <c r="B63" s="6">
        <f t="shared" si="3"/>
        <v>2014</v>
      </c>
      <c r="C63" s="20">
        <f ca="1">'Monthly Data'!J63</f>
        <v>5583527.4099679338</v>
      </c>
      <c r="D63" s="6">
        <f>'Monthly Data'!AG63</f>
        <v>674.19999999999982</v>
      </c>
      <c r="E63" s="6">
        <f>'Monthly Data'!AH63</f>
        <v>0</v>
      </c>
      <c r="F63" s="6">
        <f>'Monthly Data'!AJ63</f>
        <v>154.69999999999999</v>
      </c>
      <c r="G63" s="6">
        <f>'Monthly Data'!AL63</f>
        <v>28</v>
      </c>
      <c r="H63" s="6">
        <f>'Monthly Data'!BC63</f>
        <v>0</v>
      </c>
      <c r="I63" s="6">
        <f>'Monthly Data'!AQ63</f>
        <v>0</v>
      </c>
      <c r="J63" s="6">
        <f>'Monthly Data'!AZ63</f>
        <v>0</v>
      </c>
      <c r="L63" s="20">
        <f>'GS &lt; 50 OLS model'!$B$5</f>
        <v>-1088732.49289844</v>
      </c>
      <c r="M63" s="20">
        <f>'GS &lt; 50 OLS model'!$B$6*D63</f>
        <v>695049.23746080149</v>
      </c>
      <c r="N63" s="20">
        <f>'GS &lt; 50 OLS model'!$B$7*E63</f>
        <v>0</v>
      </c>
      <c r="O63" s="20">
        <f>'GS &lt; 50 OLS model'!$B$8*F63</f>
        <v>1764697.1566116444</v>
      </c>
      <c r="P63" s="20">
        <f>'GS &lt; 50 OLS model'!$B$9*G63</f>
        <v>4186980.9333962961</v>
      </c>
      <c r="Q63" s="20">
        <f>'GS &lt; 50 OLS model'!$B$10*H63</f>
        <v>0</v>
      </c>
      <c r="R63" s="20">
        <f>'GS &lt; 50 OLS model'!$B$11*I63</f>
        <v>0</v>
      </c>
      <c r="S63" s="20">
        <f>'GS &lt; 50 OLS model'!$B$12*J63</f>
        <v>0</v>
      </c>
      <c r="T63" s="20">
        <f t="shared" si="4"/>
        <v>5557994.8345703017</v>
      </c>
      <c r="U63" s="23">
        <f t="shared" ca="1" si="5"/>
        <v>4.5728396268012086E-3</v>
      </c>
    </row>
    <row r="64" spans="1:21" ht="14.4" x14ac:dyDescent="0.3">
      <c r="A64" s="22">
        <f>'Monthly Data'!A64</f>
        <v>41699</v>
      </c>
      <c r="B64" s="6">
        <f t="shared" si="3"/>
        <v>2014</v>
      </c>
      <c r="C64" s="20">
        <f ca="1">'Monthly Data'!J64</f>
        <v>5765002.1393458238</v>
      </c>
      <c r="D64" s="6">
        <f>'Monthly Data'!AG64</f>
        <v>591.90000000000009</v>
      </c>
      <c r="E64" s="6">
        <f>'Monthly Data'!AH64</f>
        <v>0</v>
      </c>
      <c r="F64" s="6">
        <f>'Monthly Data'!AJ64</f>
        <v>152.4</v>
      </c>
      <c r="G64" s="6">
        <f>'Monthly Data'!AL64</f>
        <v>31</v>
      </c>
      <c r="H64" s="6">
        <f>'Monthly Data'!BC64</f>
        <v>1</v>
      </c>
      <c r="I64" s="6">
        <f>'Monthly Data'!AQ64</f>
        <v>1</v>
      </c>
      <c r="J64" s="6">
        <f>'Monthly Data'!AZ64</f>
        <v>0</v>
      </c>
      <c r="L64" s="20">
        <f>'GS &lt; 50 OLS model'!$B$5</f>
        <v>-1088732.49289844</v>
      </c>
      <c r="M64" s="20">
        <f>'GS &lt; 50 OLS model'!$B$6*D64</f>
        <v>610204.15848865116</v>
      </c>
      <c r="N64" s="20">
        <f>'GS &lt; 50 OLS model'!$B$7*E64</f>
        <v>0</v>
      </c>
      <c r="O64" s="20">
        <f>'GS &lt; 50 OLS model'!$B$8*F64</f>
        <v>1738460.5473019693</v>
      </c>
      <c r="P64" s="20">
        <f>'GS &lt; 50 OLS model'!$B$9*G64</f>
        <v>4635586.0334030418</v>
      </c>
      <c r="Q64" s="20">
        <f>'GS &lt; 50 OLS model'!$B$10*H64</f>
        <v>-268302.989268562</v>
      </c>
      <c r="R64" s="20">
        <f>'GS &lt; 50 OLS model'!$B$11*I64</f>
        <v>178696.970766832</v>
      </c>
      <c r="S64" s="20">
        <f>'GS &lt; 50 OLS model'!$B$12*J64</f>
        <v>0</v>
      </c>
      <c r="T64" s="20">
        <f t="shared" si="4"/>
        <v>5805912.2277934924</v>
      </c>
      <c r="U64" s="23">
        <f t="shared" ca="1" si="5"/>
        <v>7.0962833072444982E-3</v>
      </c>
    </row>
    <row r="65" spans="1:21" ht="14.4" x14ac:dyDescent="0.3">
      <c r="A65" s="22">
        <f>'Monthly Data'!A65</f>
        <v>41730</v>
      </c>
      <c r="B65" s="6">
        <f t="shared" si="3"/>
        <v>2014</v>
      </c>
      <c r="C65" s="20">
        <f ca="1">'Monthly Data'!J65</f>
        <v>5047184.9055247335</v>
      </c>
      <c r="D65" s="6">
        <f>'Monthly Data'!AG65</f>
        <v>253.7</v>
      </c>
      <c r="E65" s="6">
        <f>'Monthly Data'!AH65</f>
        <v>0</v>
      </c>
      <c r="F65" s="6">
        <f>'Monthly Data'!AJ65</f>
        <v>151.1</v>
      </c>
      <c r="G65" s="6">
        <f>'Monthly Data'!AL65</f>
        <v>30</v>
      </c>
      <c r="H65" s="6">
        <f>'Monthly Data'!BC65</f>
        <v>1</v>
      </c>
      <c r="I65" s="6">
        <f>'Monthly Data'!AQ65</f>
        <v>0</v>
      </c>
      <c r="J65" s="6">
        <f>'Monthly Data'!AZ65</f>
        <v>0</v>
      </c>
      <c r="L65" s="20">
        <f>'GS &lt; 50 OLS model'!$B$5</f>
        <v>-1088732.49289844</v>
      </c>
      <c r="M65" s="20">
        <f>'GS &lt; 50 OLS model'!$B$6*D65</f>
        <v>261545.52290686054</v>
      </c>
      <c r="N65" s="20">
        <f>'GS &lt; 50 OLS model'!$B$7*E65</f>
        <v>0</v>
      </c>
      <c r="O65" s="20">
        <f>'GS &lt; 50 OLS model'!$B$8*F65</f>
        <v>1723631.1594312831</v>
      </c>
      <c r="P65" s="20">
        <f>'GS &lt; 50 OLS model'!$B$9*G65</f>
        <v>4486051.0000674604</v>
      </c>
      <c r="Q65" s="20">
        <f>'GS &lt; 50 OLS model'!$B$10*H65</f>
        <v>-268302.989268562</v>
      </c>
      <c r="R65" s="20">
        <f>'GS &lt; 50 OLS model'!$B$11*I65</f>
        <v>0</v>
      </c>
      <c r="S65" s="20">
        <f>'GS &lt; 50 OLS model'!$B$12*J65</f>
        <v>0</v>
      </c>
      <c r="T65" s="20">
        <f t="shared" si="4"/>
        <v>5114192.2002386022</v>
      </c>
      <c r="U65" s="23">
        <f t="shared" ca="1" si="5"/>
        <v>1.3276171958852043E-2</v>
      </c>
    </row>
    <row r="66" spans="1:21" ht="14.4" x14ac:dyDescent="0.3">
      <c r="A66" s="22">
        <f>'Monthly Data'!A66</f>
        <v>41760</v>
      </c>
      <c r="B66" s="6">
        <f t="shared" si="3"/>
        <v>2014</v>
      </c>
      <c r="C66" s="20">
        <f ca="1">'Monthly Data'!J66</f>
        <v>5341469.543139304</v>
      </c>
      <c r="D66" s="6">
        <f>'Monthly Data'!AG66</f>
        <v>90.600000000000009</v>
      </c>
      <c r="E66" s="6">
        <f>'Monthly Data'!AH66</f>
        <v>36.4</v>
      </c>
      <c r="F66" s="6">
        <f>'Monthly Data'!AJ66</f>
        <v>151.19999999999999</v>
      </c>
      <c r="G66" s="6">
        <f>'Monthly Data'!AL66</f>
        <v>31</v>
      </c>
      <c r="H66" s="6">
        <f>'Monthly Data'!BC66</f>
        <v>1</v>
      </c>
      <c r="I66" s="6">
        <f>'Monthly Data'!AQ66</f>
        <v>0</v>
      </c>
      <c r="J66" s="6">
        <f>'Monthly Data'!AZ66</f>
        <v>0</v>
      </c>
      <c r="L66" s="20">
        <f>'GS &lt; 50 OLS model'!$B$5</f>
        <v>-1088732.49289844</v>
      </c>
      <c r="M66" s="20">
        <f>'GS &lt; 50 OLS model'!$B$6*D66</f>
        <v>93401.751578090538</v>
      </c>
      <c r="N66" s="20">
        <f>'GS &lt; 50 OLS model'!$B$7*E66</f>
        <v>279335.84029153344</v>
      </c>
      <c r="O66" s="20">
        <f>'GS &lt; 50 OLS model'!$B$8*F66</f>
        <v>1724771.8815751821</v>
      </c>
      <c r="P66" s="20">
        <f>'GS &lt; 50 OLS model'!$B$9*G66</f>
        <v>4635586.0334030418</v>
      </c>
      <c r="Q66" s="20">
        <f>'GS &lt; 50 OLS model'!$B$10*H66</f>
        <v>-268302.989268562</v>
      </c>
      <c r="R66" s="20">
        <f>'GS &lt; 50 OLS model'!$B$11*I66</f>
        <v>0</v>
      </c>
      <c r="S66" s="20">
        <f>'GS &lt; 50 OLS model'!$B$12*J66</f>
        <v>0</v>
      </c>
      <c r="T66" s="20">
        <f t="shared" ref="T66:T85" si="6">SUM(L66:S66)</f>
        <v>5376060.0246808454</v>
      </c>
      <c r="U66" s="23">
        <f t="shared" ref="U66:U85" ca="1" si="7">ABS(T66-C66)/C66</f>
        <v>6.475836146247459E-3</v>
      </c>
    </row>
    <row r="67" spans="1:21" ht="14.4" x14ac:dyDescent="0.3">
      <c r="A67" s="22">
        <f>'Monthly Data'!A67</f>
        <v>41791</v>
      </c>
      <c r="B67" s="6">
        <f t="shared" ref="B67:B85" si="8">YEAR(A67)</f>
        <v>2014</v>
      </c>
      <c r="C67" s="20">
        <f ca="1">'Monthly Data'!J67</f>
        <v>5873777.4547528643</v>
      </c>
      <c r="D67" s="6">
        <f>'Monthly Data'!AG67</f>
        <v>2.4000000000000004</v>
      </c>
      <c r="E67" s="6">
        <f>'Monthly Data'!AH67</f>
        <v>123.29999999999997</v>
      </c>
      <c r="F67" s="6">
        <f>'Monthly Data'!AJ67</f>
        <v>150.9</v>
      </c>
      <c r="G67" s="6">
        <f>'Monthly Data'!AL67</f>
        <v>30</v>
      </c>
      <c r="H67" s="6">
        <f>'Monthly Data'!BC67</f>
        <v>0</v>
      </c>
      <c r="I67" s="6">
        <f>'Monthly Data'!AQ67</f>
        <v>0</v>
      </c>
      <c r="J67" s="6">
        <f>'Monthly Data'!AZ67</f>
        <v>0</v>
      </c>
      <c r="L67" s="20">
        <f>'GS &lt; 50 OLS model'!$B$5</f>
        <v>-1088732.49289844</v>
      </c>
      <c r="M67" s="20">
        <f>'GS &lt; 50 OLS model'!$B$6*D67</f>
        <v>2474.2185848500803</v>
      </c>
      <c r="N67" s="20">
        <f>'GS &lt; 50 OLS model'!$B$7*E67</f>
        <v>946211.78867983702</v>
      </c>
      <c r="O67" s="20">
        <f>'GS &lt; 50 OLS model'!$B$8*F67</f>
        <v>1721349.7151434855</v>
      </c>
      <c r="P67" s="20">
        <f>'GS &lt; 50 OLS model'!$B$9*G67</f>
        <v>4486051.0000674604</v>
      </c>
      <c r="Q67" s="20">
        <f>'GS &lt; 50 OLS model'!$B$10*H67</f>
        <v>0</v>
      </c>
      <c r="R67" s="20">
        <f>'GS &lt; 50 OLS model'!$B$11*I67</f>
        <v>0</v>
      </c>
      <c r="S67" s="20">
        <f>'GS &lt; 50 OLS model'!$B$12*J67</f>
        <v>0</v>
      </c>
      <c r="T67" s="20">
        <f t="shared" si="6"/>
        <v>6067354.229577193</v>
      </c>
      <c r="U67" s="23">
        <f t="shared" ca="1" si="7"/>
        <v>3.2956096194569455E-2</v>
      </c>
    </row>
    <row r="68" spans="1:21" ht="14.4" x14ac:dyDescent="0.3">
      <c r="A68" s="22">
        <f>'Monthly Data'!A68</f>
        <v>41821</v>
      </c>
      <c r="B68" s="6">
        <f t="shared" si="8"/>
        <v>2014</v>
      </c>
      <c r="C68" s="20">
        <f ca="1">'Monthly Data'!J68</f>
        <v>6167201.5336482739</v>
      </c>
      <c r="D68" s="6">
        <f>'Monthly Data'!AG68</f>
        <v>0.7</v>
      </c>
      <c r="E68" s="6">
        <f>'Monthly Data'!AH68</f>
        <v>113.59999999999997</v>
      </c>
      <c r="F68" s="6">
        <f>'Monthly Data'!AJ68</f>
        <v>153.6</v>
      </c>
      <c r="G68" s="6">
        <f>'Monthly Data'!AL68</f>
        <v>31</v>
      </c>
      <c r="H68" s="6">
        <f>'Monthly Data'!BC68</f>
        <v>0</v>
      </c>
      <c r="I68" s="6">
        <f>'Monthly Data'!AQ68</f>
        <v>0</v>
      </c>
      <c r="J68" s="6">
        <f>'Monthly Data'!AZ68</f>
        <v>0</v>
      </c>
      <c r="L68" s="20">
        <f>'GS &lt; 50 OLS model'!$B$5</f>
        <v>-1088732.49289844</v>
      </c>
      <c r="M68" s="20">
        <f>'GS &lt; 50 OLS model'!$B$6*D68</f>
        <v>721.64708724794002</v>
      </c>
      <c r="N68" s="20">
        <f>'GS &lt; 50 OLS model'!$B$7*E68</f>
        <v>871773.39167907124</v>
      </c>
      <c r="O68" s="20">
        <f>'GS &lt; 50 OLS model'!$B$8*F68</f>
        <v>1752149.2130287564</v>
      </c>
      <c r="P68" s="20">
        <f>'GS &lt; 50 OLS model'!$B$9*G68</f>
        <v>4635586.0334030418</v>
      </c>
      <c r="Q68" s="20">
        <f>'GS &lt; 50 OLS model'!$B$10*H68</f>
        <v>0</v>
      </c>
      <c r="R68" s="20">
        <f>'GS &lt; 50 OLS model'!$B$11*I68</f>
        <v>0</v>
      </c>
      <c r="S68" s="20">
        <f>'GS &lt; 50 OLS model'!$B$12*J68</f>
        <v>0</v>
      </c>
      <c r="T68" s="20">
        <f t="shared" si="6"/>
        <v>6171497.7922996776</v>
      </c>
      <c r="U68" s="23">
        <f t="shared" ca="1" si="7"/>
        <v>6.9663016977202831E-4</v>
      </c>
    </row>
    <row r="69" spans="1:21" ht="14.4" x14ac:dyDescent="0.3">
      <c r="A69" s="22">
        <f>'Monthly Data'!A69</f>
        <v>41852</v>
      </c>
      <c r="B69" s="6">
        <f t="shared" si="8"/>
        <v>2014</v>
      </c>
      <c r="C69" s="20">
        <f ca="1">'Monthly Data'!J69</f>
        <v>6189372.2861325433</v>
      </c>
      <c r="D69" s="6">
        <f>'Monthly Data'!AG69</f>
        <v>0.7</v>
      </c>
      <c r="E69" s="6">
        <f>'Monthly Data'!AH69</f>
        <v>130.19999999999996</v>
      </c>
      <c r="F69" s="6">
        <f>'Monthly Data'!AJ69</f>
        <v>154.5</v>
      </c>
      <c r="G69" s="6">
        <f>'Monthly Data'!AL69</f>
        <v>31</v>
      </c>
      <c r="H69" s="6">
        <f>'Monthly Data'!BC69</f>
        <v>0</v>
      </c>
      <c r="I69" s="6">
        <f>'Monthly Data'!AQ69</f>
        <v>0</v>
      </c>
      <c r="J69" s="6">
        <f>'Monthly Data'!AZ69</f>
        <v>0</v>
      </c>
      <c r="L69" s="20">
        <f>'GS &lt; 50 OLS model'!$B$5</f>
        <v>-1088732.49289844</v>
      </c>
      <c r="M69" s="20">
        <f>'GS &lt; 50 OLS model'!$B$6*D69</f>
        <v>721.64708724794002</v>
      </c>
      <c r="N69" s="20">
        <f>'GS &lt; 50 OLS model'!$B$7*E69</f>
        <v>999162.81335048482</v>
      </c>
      <c r="O69" s="20">
        <f>'GS &lt; 50 OLS model'!$B$8*F69</f>
        <v>1762415.7123238468</v>
      </c>
      <c r="P69" s="20">
        <f>'GS &lt; 50 OLS model'!$B$9*G69</f>
        <v>4635586.0334030418</v>
      </c>
      <c r="Q69" s="20">
        <f>'GS &lt; 50 OLS model'!$B$10*H69</f>
        <v>0</v>
      </c>
      <c r="R69" s="20">
        <f>'GS &lt; 50 OLS model'!$B$11*I69</f>
        <v>0</v>
      </c>
      <c r="S69" s="20">
        <f>'GS &lt; 50 OLS model'!$B$12*J69</f>
        <v>0</v>
      </c>
      <c r="T69" s="20">
        <f t="shared" si="6"/>
        <v>6309153.7132661808</v>
      </c>
      <c r="U69" s="23">
        <f t="shared" ca="1" si="7"/>
        <v>1.9352758502184628E-2</v>
      </c>
    </row>
    <row r="70" spans="1:21" ht="14.4" x14ac:dyDescent="0.3">
      <c r="A70" s="22">
        <f>'Monthly Data'!A70</f>
        <v>41883</v>
      </c>
      <c r="B70" s="6">
        <f t="shared" si="8"/>
        <v>2014</v>
      </c>
      <c r="C70" s="20">
        <f ca="1">'Monthly Data'!J70</f>
        <v>5434281.2694790848</v>
      </c>
      <c r="D70" s="6">
        <f>'Monthly Data'!AG70</f>
        <v>57.20000000000001</v>
      </c>
      <c r="E70" s="6">
        <f>'Monthly Data'!AH70</f>
        <v>50.499999999999979</v>
      </c>
      <c r="F70" s="6">
        <f>'Monthly Data'!AJ70</f>
        <v>156.6</v>
      </c>
      <c r="G70" s="6">
        <f>'Monthly Data'!AL70</f>
        <v>30</v>
      </c>
      <c r="H70" s="6">
        <f>'Monthly Data'!BC70</f>
        <v>0</v>
      </c>
      <c r="I70" s="6">
        <f>'Monthly Data'!AQ70</f>
        <v>0</v>
      </c>
      <c r="J70" s="6">
        <f>'Monthly Data'!AZ70</f>
        <v>0</v>
      </c>
      <c r="L70" s="20">
        <f>'GS &lt; 50 OLS model'!$B$5</f>
        <v>-1088732.49289844</v>
      </c>
      <c r="M70" s="20">
        <f>'GS &lt; 50 OLS model'!$B$6*D70</f>
        <v>58968.876272260255</v>
      </c>
      <c r="N70" s="20">
        <f>'GS &lt; 50 OLS model'!$B$7*E70</f>
        <v>387540.10809677019</v>
      </c>
      <c r="O70" s="20">
        <f>'GS &lt; 50 OLS model'!$B$8*F70</f>
        <v>1786370.8773457243</v>
      </c>
      <c r="P70" s="20">
        <f>'GS &lt; 50 OLS model'!$B$9*G70</f>
        <v>4486051.0000674604</v>
      </c>
      <c r="Q70" s="20">
        <f>'GS &lt; 50 OLS model'!$B$10*H70</f>
        <v>0</v>
      </c>
      <c r="R70" s="20">
        <f>'GS &lt; 50 OLS model'!$B$11*I70</f>
        <v>0</v>
      </c>
      <c r="S70" s="20">
        <f>'GS &lt; 50 OLS model'!$B$12*J70</f>
        <v>0</v>
      </c>
      <c r="T70" s="20">
        <f t="shared" si="6"/>
        <v>5630198.3688837755</v>
      </c>
      <c r="U70" s="23">
        <f t="shared" ca="1" si="7"/>
        <v>3.6052071964885773E-2</v>
      </c>
    </row>
    <row r="71" spans="1:21" ht="14.4" x14ac:dyDescent="0.3">
      <c r="A71" s="22">
        <f>'Monthly Data'!A71</f>
        <v>41913</v>
      </c>
      <c r="B71" s="6">
        <f t="shared" si="8"/>
        <v>2014</v>
      </c>
      <c r="C71" s="20">
        <f ca="1">'Monthly Data'!J71</f>
        <v>5094540.9732233444</v>
      </c>
      <c r="D71" s="6">
        <f>'Monthly Data'!AG71</f>
        <v>179.7</v>
      </c>
      <c r="E71" s="6">
        <f>'Monthly Data'!AH71</f>
        <v>3.9</v>
      </c>
      <c r="F71" s="6">
        <f>'Monthly Data'!AJ71</f>
        <v>158.30000000000001</v>
      </c>
      <c r="G71" s="6">
        <f>'Monthly Data'!AL71</f>
        <v>31</v>
      </c>
      <c r="H71" s="6">
        <f>'Monthly Data'!BC71</f>
        <v>1</v>
      </c>
      <c r="I71" s="6">
        <f>'Monthly Data'!AQ71</f>
        <v>0</v>
      </c>
      <c r="J71" s="6">
        <f>'Monthly Data'!AZ71</f>
        <v>0</v>
      </c>
      <c r="L71" s="20">
        <f>'GS &lt; 50 OLS model'!$B$5</f>
        <v>-1088732.49289844</v>
      </c>
      <c r="M71" s="20">
        <f>'GS &lt; 50 OLS model'!$B$6*D71</f>
        <v>185257.11654064973</v>
      </c>
      <c r="N71" s="20">
        <f>'GS &lt; 50 OLS model'!$B$7*E71</f>
        <v>29928.84003123573</v>
      </c>
      <c r="O71" s="20">
        <f>'GS &lt; 50 OLS model'!$B$8*F71</f>
        <v>1805763.1537920062</v>
      </c>
      <c r="P71" s="20">
        <f>'GS &lt; 50 OLS model'!$B$9*G71</f>
        <v>4635586.0334030418</v>
      </c>
      <c r="Q71" s="20">
        <f>'GS &lt; 50 OLS model'!$B$10*H71</f>
        <v>-268302.989268562</v>
      </c>
      <c r="R71" s="20">
        <f>'GS &lt; 50 OLS model'!$B$11*I71</f>
        <v>0</v>
      </c>
      <c r="S71" s="20">
        <f>'GS &lt; 50 OLS model'!$B$12*J71</f>
        <v>0</v>
      </c>
      <c r="T71" s="20">
        <f t="shared" si="6"/>
        <v>5299499.6615999313</v>
      </c>
      <c r="U71" s="23">
        <f t="shared" ca="1" si="7"/>
        <v>4.0231041315368671E-2</v>
      </c>
    </row>
    <row r="72" spans="1:21" ht="14.4" x14ac:dyDescent="0.3">
      <c r="A72" s="22">
        <f>'Monthly Data'!A72</f>
        <v>41944</v>
      </c>
      <c r="B72" s="6">
        <f t="shared" si="8"/>
        <v>2014</v>
      </c>
      <c r="C72" s="20">
        <f ca="1">'Monthly Data'!J72</f>
        <v>5321955.4914958244</v>
      </c>
      <c r="D72" s="6">
        <f>'Monthly Data'!AG72</f>
        <v>442</v>
      </c>
      <c r="E72" s="6">
        <f>'Monthly Data'!AH72</f>
        <v>0</v>
      </c>
      <c r="F72" s="6">
        <f>'Monthly Data'!AJ72</f>
        <v>159.30000000000001</v>
      </c>
      <c r="G72" s="6">
        <f>'Monthly Data'!AL72</f>
        <v>30</v>
      </c>
      <c r="H72" s="6">
        <f>'Monthly Data'!BC72</f>
        <v>1</v>
      </c>
      <c r="I72" s="6">
        <f>'Monthly Data'!AQ72</f>
        <v>0</v>
      </c>
      <c r="J72" s="6">
        <f>'Monthly Data'!AZ72</f>
        <v>0</v>
      </c>
      <c r="L72" s="20">
        <f>'GS &lt; 50 OLS model'!$B$5</f>
        <v>-1088732.49289844</v>
      </c>
      <c r="M72" s="20">
        <f>'GS &lt; 50 OLS model'!$B$6*D72</f>
        <v>455668.58937655645</v>
      </c>
      <c r="N72" s="20">
        <f>'GS &lt; 50 OLS model'!$B$7*E72</f>
        <v>0</v>
      </c>
      <c r="O72" s="20">
        <f>'GS &lt; 50 OLS model'!$B$8*F72</f>
        <v>1817170.3752309955</v>
      </c>
      <c r="P72" s="20">
        <f>'GS &lt; 50 OLS model'!$B$9*G72</f>
        <v>4486051.0000674604</v>
      </c>
      <c r="Q72" s="20">
        <f>'GS &lt; 50 OLS model'!$B$10*H72</f>
        <v>-268302.989268562</v>
      </c>
      <c r="R72" s="20">
        <f>'GS &lt; 50 OLS model'!$B$11*I72</f>
        <v>0</v>
      </c>
      <c r="S72" s="20">
        <f>'GS &lt; 50 OLS model'!$B$12*J72</f>
        <v>0</v>
      </c>
      <c r="T72" s="20">
        <f t="shared" si="6"/>
        <v>5401854.4825080102</v>
      </c>
      <c r="U72" s="23">
        <f t="shared" ca="1" si="7"/>
        <v>1.5013088918135402E-2</v>
      </c>
    </row>
    <row r="73" spans="1:21" ht="14.4" x14ac:dyDescent="0.3">
      <c r="A73" s="22">
        <f>'Monthly Data'!A73</f>
        <v>41974</v>
      </c>
      <c r="B73" s="6">
        <f t="shared" si="8"/>
        <v>2014</v>
      </c>
      <c r="C73" s="20">
        <f ca="1">'Monthly Data'!J73</f>
        <v>5607365.7681212937</v>
      </c>
      <c r="D73" s="6">
        <f>'Monthly Data'!AG73</f>
        <v>513.9</v>
      </c>
      <c r="E73" s="6">
        <f>'Monthly Data'!AH73</f>
        <v>0</v>
      </c>
      <c r="F73" s="6">
        <f>'Monthly Data'!AJ73</f>
        <v>161.1</v>
      </c>
      <c r="G73" s="6">
        <f>'Monthly Data'!AL73</f>
        <v>31</v>
      </c>
      <c r="H73" s="6">
        <f>'Monthly Data'!BC73</f>
        <v>0</v>
      </c>
      <c r="I73" s="6">
        <f>'Monthly Data'!AQ73</f>
        <v>0</v>
      </c>
      <c r="J73" s="6">
        <f>'Monthly Data'!AZ73</f>
        <v>1</v>
      </c>
      <c r="L73" s="20">
        <f>'GS &lt; 50 OLS model'!$B$5</f>
        <v>-1088732.49289844</v>
      </c>
      <c r="M73" s="20">
        <f>'GS &lt; 50 OLS model'!$B$6*D73</f>
        <v>529792.05448102334</v>
      </c>
      <c r="N73" s="20">
        <f>'GS &lt; 50 OLS model'!$B$7*E73</f>
        <v>0</v>
      </c>
      <c r="O73" s="20">
        <f>'GS &lt; 50 OLS model'!$B$8*F73</f>
        <v>1837703.3738211761</v>
      </c>
      <c r="P73" s="20">
        <f>'GS &lt; 50 OLS model'!$B$9*G73</f>
        <v>4635586.0334030418</v>
      </c>
      <c r="Q73" s="20">
        <f>'GS &lt; 50 OLS model'!$B$10*H73</f>
        <v>0</v>
      </c>
      <c r="R73" s="20">
        <f>'GS &lt; 50 OLS model'!$B$11*I73</f>
        <v>0</v>
      </c>
      <c r="S73" s="20">
        <f>'GS &lt; 50 OLS model'!$B$12*J73</f>
        <v>-197900.76217015099</v>
      </c>
      <c r="T73" s="20">
        <f t="shared" si="6"/>
        <v>5716448.2066366505</v>
      </c>
      <c r="U73" s="23">
        <f t="shared" ca="1" si="7"/>
        <v>1.9453419488970489E-2</v>
      </c>
    </row>
    <row r="74" spans="1:21" ht="14.4" x14ac:dyDescent="0.3">
      <c r="A74" s="22">
        <f>'Monthly Data'!A74</f>
        <v>42005</v>
      </c>
      <c r="B74" s="6">
        <f t="shared" si="8"/>
        <v>2015</v>
      </c>
      <c r="C74" s="20">
        <f ca="1">'Monthly Data'!J74</f>
        <v>6138654.8951223567</v>
      </c>
      <c r="D74" s="6">
        <f>'Monthly Data'!AG74</f>
        <v>724.69999999999982</v>
      </c>
      <c r="E74" s="6">
        <f>'Monthly Data'!AH74</f>
        <v>0</v>
      </c>
      <c r="F74" s="6">
        <f>'Monthly Data'!AJ74</f>
        <v>159.30000000000001</v>
      </c>
      <c r="G74" s="6">
        <f>'Monthly Data'!AL74</f>
        <v>31</v>
      </c>
      <c r="H74" s="6">
        <f>'Monthly Data'!BC74</f>
        <v>0</v>
      </c>
      <c r="I74" s="6">
        <f>'Monthly Data'!AQ74</f>
        <v>0</v>
      </c>
      <c r="J74" s="6">
        <f>'Monthly Data'!AZ74</f>
        <v>0</v>
      </c>
      <c r="L74" s="20">
        <f>'GS &lt; 50 OLS model'!$B$5</f>
        <v>-1088732.49289844</v>
      </c>
      <c r="M74" s="20">
        <f>'GS &lt; 50 OLS model'!$B$6*D74</f>
        <v>747110.92018368864</v>
      </c>
      <c r="N74" s="20">
        <f>'GS &lt; 50 OLS model'!$B$7*E74</f>
        <v>0</v>
      </c>
      <c r="O74" s="20">
        <f>'GS &lt; 50 OLS model'!$B$8*F74</f>
        <v>1817170.3752309955</v>
      </c>
      <c r="P74" s="20">
        <f>'GS &lt; 50 OLS model'!$B$9*G74</f>
        <v>4635586.0334030418</v>
      </c>
      <c r="Q74" s="20">
        <f>'GS &lt; 50 OLS model'!$B$10*H74</f>
        <v>0</v>
      </c>
      <c r="R74" s="20">
        <f>'GS &lt; 50 OLS model'!$B$11*I74</f>
        <v>0</v>
      </c>
      <c r="S74" s="20">
        <f>'GS &lt; 50 OLS model'!$B$12*J74</f>
        <v>0</v>
      </c>
      <c r="T74" s="20">
        <f t="shared" si="6"/>
        <v>6111134.8359192861</v>
      </c>
      <c r="U74" s="23">
        <f t="shared" ca="1" si="7"/>
        <v>4.4830764513146739E-3</v>
      </c>
    </row>
    <row r="75" spans="1:21" ht="14.4" x14ac:dyDescent="0.3">
      <c r="A75" s="22">
        <f>'Monthly Data'!A75</f>
        <v>42036</v>
      </c>
      <c r="B75" s="6">
        <f t="shared" si="8"/>
        <v>2015</v>
      </c>
      <c r="C75" s="20">
        <f ca="1">'Monthly Data'!J75</f>
        <v>5764948.0921516865</v>
      </c>
      <c r="D75" s="6">
        <f>'Monthly Data'!AG75</f>
        <v>757.39999999999986</v>
      </c>
      <c r="E75" s="6">
        <f>'Monthly Data'!AH75</f>
        <v>0</v>
      </c>
      <c r="F75" s="6">
        <f>'Monthly Data'!AJ75</f>
        <v>159.1</v>
      </c>
      <c r="G75" s="6">
        <f>'Monthly Data'!AL75</f>
        <v>28</v>
      </c>
      <c r="H75" s="6">
        <f>'Monthly Data'!BC75</f>
        <v>0</v>
      </c>
      <c r="I75" s="6">
        <f>'Monthly Data'!AQ75</f>
        <v>0</v>
      </c>
      <c r="J75" s="6">
        <f>'Monthly Data'!AZ75</f>
        <v>0</v>
      </c>
      <c r="L75" s="20">
        <f>'GS &lt; 50 OLS model'!$B$5</f>
        <v>-1088732.49289844</v>
      </c>
      <c r="M75" s="20">
        <f>'GS &lt; 50 OLS model'!$B$6*D75</f>
        <v>780822.14840227098</v>
      </c>
      <c r="N75" s="20">
        <f>'GS &lt; 50 OLS model'!$B$7*E75</f>
        <v>0</v>
      </c>
      <c r="O75" s="20">
        <f>'GS &lt; 50 OLS model'!$B$8*F75</f>
        <v>1814888.9309431976</v>
      </c>
      <c r="P75" s="20">
        <f>'GS &lt; 50 OLS model'!$B$9*G75</f>
        <v>4186980.9333962961</v>
      </c>
      <c r="Q75" s="20">
        <f>'GS &lt; 50 OLS model'!$B$10*H75</f>
        <v>0</v>
      </c>
      <c r="R75" s="20">
        <f>'GS &lt; 50 OLS model'!$B$11*I75</f>
        <v>0</v>
      </c>
      <c r="S75" s="20">
        <f>'GS &lt; 50 OLS model'!$B$12*J75</f>
        <v>0</v>
      </c>
      <c r="T75" s="20">
        <f t="shared" si="6"/>
        <v>5693959.519843325</v>
      </c>
      <c r="U75" s="23">
        <f t="shared" ca="1" si="7"/>
        <v>1.2313826798372098E-2</v>
      </c>
    </row>
    <row r="76" spans="1:21" ht="14.4" x14ac:dyDescent="0.3">
      <c r="A76" s="22">
        <f>'Monthly Data'!A76</f>
        <v>42064</v>
      </c>
      <c r="B76" s="6">
        <f t="shared" si="8"/>
        <v>2015</v>
      </c>
      <c r="C76" s="20">
        <f ca="1">'Monthly Data'!J76</f>
        <v>5877289.8461922556</v>
      </c>
      <c r="D76" s="6">
        <f>'Monthly Data'!AG76</f>
        <v>508.7</v>
      </c>
      <c r="E76" s="6">
        <f>'Monthly Data'!AH76</f>
        <v>0</v>
      </c>
      <c r="F76" s="6">
        <f>'Monthly Data'!AJ76</f>
        <v>156.1</v>
      </c>
      <c r="G76" s="6">
        <f>'Monthly Data'!AL76</f>
        <v>31</v>
      </c>
      <c r="H76" s="6">
        <f>'Monthly Data'!BC76</f>
        <v>1</v>
      </c>
      <c r="I76" s="6">
        <f>'Monthly Data'!AQ76</f>
        <v>1</v>
      </c>
      <c r="J76" s="6">
        <f>'Monthly Data'!AZ76</f>
        <v>0</v>
      </c>
      <c r="L76" s="20">
        <f>'GS &lt; 50 OLS model'!$B$5</f>
        <v>-1088732.49289844</v>
      </c>
      <c r="M76" s="20">
        <f>'GS &lt; 50 OLS model'!$B$6*D76</f>
        <v>524431.24754718156</v>
      </c>
      <c r="N76" s="20">
        <f>'GS &lt; 50 OLS model'!$B$7*E76</f>
        <v>0</v>
      </c>
      <c r="O76" s="20">
        <f>'GS &lt; 50 OLS model'!$B$8*F76</f>
        <v>1780667.2666262295</v>
      </c>
      <c r="P76" s="20">
        <f>'GS &lt; 50 OLS model'!$B$9*G76</f>
        <v>4635586.0334030418</v>
      </c>
      <c r="Q76" s="20">
        <f>'GS &lt; 50 OLS model'!$B$10*H76</f>
        <v>-268302.989268562</v>
      </c>
      <c r="R76" s="20">
        <f>'GS &lt; 50 OLS model'!$B$11*I76</f>
        <v>178696.970766832</v>
      </c>
      <c r="S76" s="20">
        <f>'GS &lt; 50 OLS model'!$B$12*J76</f>
        <v>0</v>
      </c>
      <c r="T76" s="20">
        <f t="shared" si="6"/>
        <v>5762346.0361762829</v>
      </c>
      <c r="U76" s="23">
        <f t="shared" ca="1" si="7"/>
        <v>1.9557281165985346E-2</v>
      </c>
    </row>
    <row r="77" spans="1:21" ht="14.4" x14ac:dyDescent="0.3">
      <c r="A77" s="22">
        <f>'Monthly Data'!A77</f>
        <v>42095</v>
      </c>
      <c r="B77" s="6">
        <f t="shared" si="8"/>
        <v>2015</v>
      </c>
      <c r="C77" s="20">
        <f ca="1">'Monthly Data'!J77</f>
        <v>5256653.9320181254</v>
      </c>
      <c r="D77" s="6">
        <f>'Monthly Data'!AG77</f>
        <v>257.39999999999992</v>
      </c>
      <c r="E77" s="6">
        <f>'Monthly Data'!AH77</f>
        <v>0</v>
      </c>
      <c r="F77" s="6">
        <f>'Monthly Data'!AJ77</f>
        <v>156.4</v>
      </c>
      <c r="G77" s="6">
        <f>'Monthly Data'!AL77</f>
        <v>30</v>
      </c>
      <c r="H77" s="6">
        <f>'Monthly Data'!BC77</f>
        <v>1</v>
      </c>
      <c r="I77" s="6">
        <f>'Monthly Data'!AQ77</f>
        <v>0</v>
      </c>
      <c r="J77" s="6">
        <f>'Monthly Data'!AZ77</f>
        <v>0</v>
      </c>
      <c r="L77" s="20">
        <f>'GS &lt; 50 OLS model'!$B$5</f>
        <v>-1088732.49289844</v>
      </c>
      <c r="M77" s="20">
        <f>'GS &lt; 50 OLS model'!$B$6*D77</f>
        <v>265359.94322517101</v>
      </c>
      <c r="N77" s="20">
        <f>'GS &lt; 50 OLS model'!$B$7*E77</f>
        <v>0</v>
      </c>
      <c r="O77" s="20">
        <f>'GS &lt; 50 OLS model'!$B$8*F77</f>
        <v>1784089.4330579266</v>
      </c>
      <c r="P77" s="20">
        <f>'GS &lt; 50 OLS model'!$B$9*G77</f>
        <v>4486051.0000674604</v>
      </c>
      <c r="Q77" s="20">
        <f>'GS &lt; 50 OLS model'!$B$10*H77</f>
        <v>-268302.989268562</v>
      </c>
      <c r="R77" s="20">
        <f>'GS &lt; 50 OLS model'!$B$11*I77</f>
        <v>0</v>
      </c>
      <c r="S77" s="20">
        <f>'GS &lt; 50 OLS model'!$B$12*J77</f>
        <v>0</v>
      </c>
      <c r="T77" s="20">
        <f t="shared" si="6"/>
        <v>5178464.8941835556</v>
      </c>
      <c r="U77" s="23">
        <f t="shared" ca="1" si="7"/>
        <v>1.4874298145883766E-2</v>
      </c>
    </row>
    <row r="78" spans="1:21" ht="14.4" x14ac:dyDescent="0.3">
      <c r="A78" s="22">
        <f>'Monthly Data'!A78</f>
        <v>42125</v>
      </c>
      <c r="B78" s="6">
        <f t="shared" si="8"/>
        <v>2015</v>
      </c>
      <c r="C78" s="20">
        <f ca="1">'Monthly Data'!J78</f>
        <v>5523884.798593577</v>
      </c>
      <c r="D78" s="6">
        <f>'Monthly Data'!AG78</f>
        <v>68.7</v>
      </c>
      <c r="E78" s="6">
        <f>'Monthly Data'!AH78</f>
        <v>64.099999999999994</v>
      </c>
      <c r="F78" s="6">
        <f>'Monthly Data'!AJ78</f>
        <v>159.1</v>
      </c>
      <c r="G78" s="6">
        <f>'Monthly Data'!AL78</f>
        <v>31</v>
      </c>
      <c r="H78" s="6">
        <f>'Monthly Data'!BC78</f>
        <v>1</v>
      </c>
      <c r="I78" s="6">
        <f>'Monthly Data'!AQ78</f>
        <v>0</v>
      </c>
      <c r="J78" s="6">
        <f>'Monthly Data'!AZ78</f>
        <v>0</v>
      </c>
      <c r="L78" s="20">
        <f>'GS &lt; 50 OLS model'!$B$5</f>
        <v>-1088732.49289844</v>
      </c>
      <c r="M78" s="20">
        <f>'GS &lt; 50 OLS model'!$B$6*D78</f>
        <v>70824.506991333546</v>
      </c>
      <c r="N78" s="20">
        <f>'GS &lt; 50 OLS model'!$B$7*E78</f>
        <v>491907.34512877179</v>
      </c>
      <c r="O78" s="20">
        <f>'GS &lt; 50 OLS model'!$B$8*F78</f>
        <v>1814888.9309431976</v>
      </c>
      <c r="P78" s="20">
        <f>'GS &lt; 50 OLS model'!$B$9*G78</f>
        <v>4635586.0334030418</v>
      </c>
      <c r="Q78" s="20">
        <f>'GS &lt; 50 OLS model'!$B$10*H78</f>
        <v>-268302.989268562</v>
      </c>
      <c r="R78" s="20">
        <f>'GS &lt; 50 OLS model'!$B$11*I78</f>
        <v>0</v>
      </c>
      <c r="S78" s="20">
        <f>'GS &lt; 50 OLS model'!$B$12*J78</f>
        <v>0</v>
      </c>
      <c r="T78" s="20">
        <f t="shared" si="6"/>
        <v>5656171.3342993427</v>
      </c>
      <c r="U78" s="23">
        <f t="shared" ca="1" si="7"/>
        <v>2.3948098218747587E-2</v>
      </c>
    </row>
    <row r="79" spans="1:21" ht="14.4" x14ac:dyDescent="0.3">
      <c r="A79" s="22">
        <f>'Monthly Data'!A79</f>
        <v>42156</v>
      </c>
      <c r="B79" s="6">
        <f t="shared" si="8"/>
        <v>2015</v>
      </c>
      <c r="C79" s="20">
        <f ca="1">'Monthly Data'!J79</f>
        <v>5811463.5627860669</v>
      </c>
      <c r="D79" s="6">
        <f>'Monthly Data'!AG79</f>
        <v>13.1</v>
      </c>
      <c r="E79" s="6">
        <f>'Monthly Data'!AH79</f>
        <v>89.59999999999998</v>
      </c>
      <c r="F79" s="6">
        <f>'Monthly Data'!AJ79</f>
        <v>163.9</v>
      </c>
      <c r="G79" s="6">
        <f>'Monthly Data'!AL79</f>
        <v>30</v>
      </c>
      <c r="H79" s="6">
        <f>'Monthly Data'!BC79</f>
        <v>0</v>
      </c>
      <c r="I79" s="6">
        <f>'Monthly Data'!AQ79</f>
        <v>0</v>
      </c>
      <c r="J79" s="6">
        <f>'Monthly Data'!AZ79</f>
        <v>0</v>
      </c>
      <c r="L79" s="20">
        <f>'GS &lt; 50 OLS model'!$B$5</f>
        <v>-1088732.49289844</v>
      </c>
      <c r="M79" s="20">
        <f>'GS &lt; 50 OLS model'!$B$6*D79</f>
        <v>13505.109775640021</v>
      </c>
      <c r="N79" s="20">
        <f>'GS &lt; 50 OLS model'!$B$7*E79</f>
        <v>687595.9145637746</v>
      </c>
      <c r="O79" s="20">
        <f>'GS &lt; 50 OLS model'!$B$8*F79</f>
        <v>1869643.5938503463</v>
      </c>
      <c r="P79" s="20">
        <f>'GS &lt; 50 OLS model'!$B$9*G79</f>
        <v>4486051.0000674604</v>
      </c>
      <c r="Q79" s="20">
        <f>'GS &lt; 50 OLS model'!$B$10*H79</f>
        <v>0</v>
      </c>
      <c r="R79" s="20">
        <f>'GS &lt; 50 OLS model'!$B$11*I79</f>
        <v>0</v>
      </c>
      <c r="S79" s="20">
        <f>'GS &lt; 50 OLS model'!$B$12*J79</f>
        <v>0</v>
      </c>
      <c r="T79" s="20">
        <f t="shared" si="6"/>
        <v>5968063.1253587808</v>
      </c>
      <c r="U79" s="23">
        <f t="shared" ca="1" si="7"/>
        <v>2.6946665135355118E-2</v>
      </c>
    </row>
    <row r="80" spans="1:21" ht="14.4" x14ac:dyDescent="0.3">
      <c r="A80" s="22">
        <f>'Monthly Data'!A80</f>
        <v>42186</v>
      </c>
      <c r="B80" s="6">
        <f t="shared" si="8"/>
        <v>2015</v>
      </c>
      <c r="C80" s="20">
        <f ca="1">'Monthly Data'!J80</f>
        <v>6564410.1322790775</v>
      </c>
      <c r="D80" s="6">
        <f>'Monthly Data'!AG80</f>
        <v>1.9</v>
      </c>
      <c r="E80" s="6">
        <f>'Monthly Data'!AH80</f>
        <v>152.89999999999998</v>
      </c>
      <c r="F80" s="6">
        <f>'Monthly Data'!AJ80</f>
        <v>164.8</v>
      </c>
      <c r="G80" s="6">
        <f>'Monthly Data'!AL80</f>
        <v>31</v>
      </c>
      <c r="H80" s="6">
        <f>'Monthly Data'!BC80</f>
        <v>0</v>
      </c>
      <c r="I80" s="6">
        <f>'Monthly Data'!AQ80</f>
        <v>0</v>
      </c>
      <c r="J80" s="6">
        <f>'Monthly Data'!AZ80</f>
        <v>0</v>
      </c>
      <c r="L80" s="20">
        <f>'GS &lt; 50 OLS model'!$B$5</f>
        <v>-1088732.49289844</v>
      </c>
      <c r="M80" s="20">
        <f>'GS &lt; 50 OLS model'!$B$6*D80</f>
        <v>1958.7563796729801</v>
      </c>
      <c r="N80" s="20">
        <f>'GS &lt; 50 OLS model'!$B$7*E80</f>
        <v>1173364.0104553697</v>
      </c>
      <c r="O80" s="20">
        <f>'GS &lt; 50 OLS model'!$B$8*F80</f>
        <v>1879910.0931454366</v>
      </c>
      <c r="P80" s="20">
        <f>'GS &lt; 50 OLS model'!$B$9*G80</f>
        <v>4635586.0334030418</v>
      </c>
      <c r="Q80" s="20">
        <f>'GS &lt; 50 OLS model'!$B$10*H80</f>
        <v>0</v>
      </c>
      <c r="R80" s="20">
        <f>'GS &lt; 50 OLS model'!$B$11*I80</f>
        <v>0</v>
      </c>
      <c r="S80" s="20">
        <f>'GS &lt; 50 OLS model'!$B$12*J80</f>
        <v>0</v>
      </c>
      <c r="T80" s="20">
        <f t="shared" si="6"/>
        <v>6602086.4004850816</v>
      </c>
      <c r="U80" s="23">
        <f t="shared" ca="1" si="7"/>
        <v>5.7394750551521901E-3</v>
      </c>
    </row>
    <row r="81" spans="1:21" ht="14.4" x14ac:dyDescent="0.3">
      <c r="A81" s="22">
        <f>'Monthly Data'!A81</f>
        <v>42217</v>
      </c>
      <c r="B81" s="6">
        <f t="shared" si="8"/>
        <v>2015</v>
      </c>
      <c r="C81" s="20">
        <f ca="1">'Monthly Data'!J81</f>
        <v>6616646.7096852958</v>
      </c>
      <c r="D81" s="6">
        <f>'Monthly Data'!AG81</f>
        <v>3.2</v>
      </c>
      <c r="E81" s="6">
        <f>'Monthly Data'!AH81</f>
        <v>138.69999999999999</v>
      </c>
      <c r="F81" s="6">
        <f>'Monthly Data'!AJ81</f>
        <v>160.80000000000001</v>
      </c>
      <c r="G81" s="6">
        <f>'Monthly Data'!AL81</f>
        <v>31</v>
      </c>
      <c r="H81" s="6">
        <f>'Monthly Data'!BC81</f>
        <v>0</v>
      </c>
      <c r="I81" s="6">
        <f>'Monthly Data'!AQ81</f>
        <v>0</v>
      </c>
      <c r="J81" s="6">
        <f>'Monthly Data'!AZ81</f>
        <v>0</v>
      </c>
      <c r="L81" s="20">
        <f>'GS &lt; 50 OLS model'!$B$5</f>
        <v>-1088732.49289844</v>
      </c>
      <c r="M81" s="20">
        <f>'GS &lt; 50 OLS model'!$B$6*D81</f>
        <v>3298.9581131334403</v>
      </c>
      <c r="N81" s="20">
        <f>'GS &lt; 50 OLS model'!$B$7*E81</f>
        <v>1064392.3364954861</v>
      </c>
      <c r="O81" s="20">
        <f>'GS &lt; 50 OLS model'!$B$8*F81</f>
        <v>1834281.2073894795</v>
      </c>
      <c r="P81" s="20">
        <f>'GS &lt; 50 OLS model'!$B$9*G81</f>
        <v>4635586.0334030418</v>
      </c>
      <c r="Q81" s="20">
        <f>'GS &lt; 50 OLS model'!$B$10*H81</f>
        <v>0</v>
      </c>
      <c r="R81" s="20">
        <f>'GS &lt; 50 OLS model'!$B$11*I81</f>
        <v>0</v>
      </c>
      <c r="S81" s="20">
        <f>'GS &lt; 50 OLS model'!$B$12*J81</f>
        <v>0</v>
      </c>
      <c r="T81" s="20">
        <f t="shared" si="6"/>
        <v>6448826.0425027013</v>
      </c>
      <c r="U81" s="23">
        <f t="shared" ca="1" si="7"/>
        <v>2.5363401515293614E-2</v>
      </c>
    </row>
    <row r="82" spans="1:21" ht="14.4" x14ac:dyDescent="0.3">
      <c r="A82" s="22">
        <f>'Monthly Data'!A82</f>
        <v>42248</v>
      </c>
      <c r="B82" s="6">
        <f t="shared" si="8"/>
        <v>2015</v>
      </c>
      <c r="C82" s="20">
        <f ca="1">'Monthly Data'!J82</f>
        <v>5977507.3728412967</v>
      </c>
      <c r="D82" s="6">
        <f>'Monthly Data'!AG82</f>
        <v>10.8</v>
      </c>
      <c r="E82" s="6">
        <f>'Monthly Data'!AH82</f>
        <v>109.19999999999997</v>
      </c>
      <c r="F82" s="6">
        <f>'Monthly Data'!AJ82</f>
        <v>156.69999999999999</v>
      </c>
      <c r="G82" s="6">
        <f>'Monthly Data'!AL82</f>
        <v>30</v>
      </c>
      <c r="H82" s="6">
        <f>'Monthly Data'!BC82</f>
        <v>0</v>
      </c>
      <c r="I82" s="6">
        <f>'Monthly Data'!AQ82</f>
        <v>0</v>
      </c>
      <c r="J82" s="6">
        <f>'Monthly Data'!AZ82</f>
        <v>0</v>
      </c>
      <c r="L82" s="20">
        <f>'GS &lt; 50 OLS model'!$B$5</f>
        <v>-1088732.49289844</v>
      </c>
      <c r="M82" s="20">
        <f>'GS &lt; 50 OLS model'!$B$6*D82</f>
        <v>11133.983631825362</v>
      </c>
      <c r="N82" s="20">
        <f>'GS &lt; 50 OLS model'!$B$7*E82</f>
        <v>838007.52087460028</v>
      </c>
      <c r="O82" s="20">
        <f>'GS &lt; 50 OLS model'!$B$8*F82</f>
        <v>1787511.5994896232</v>
      </c>
      <c r="P82" s="20">
        <f>'GS &lt; 50 OLS model'!$B$9*G82</f>
        <v>4486051.0000674604</v>
      </c>
      <c r="Q82" s="20">
        <f>'GS &lt; 50 OLS model'!$B$10*H82</f>
        <v>0</v>
      </c>
      <c r="R82" s="20">
        <f>'GS &lt; 50 OLS model'!$B$11*I82</f>
        <v>0</v>
      </c>
      <c r="S82" s="20">
        <f>'GS &lt; 50 OLS model'!$B$12*J82</f>
        <v>0</v>
      </c>
      <c r="T82" s="20">
        <f t="shared" si="6"/>
        <v>6033971.611165069</v>
      </c>
      <c r="U82" s="23">
        <f t="shared" ca="1" si="7"/>
        <v>9.4461177212957752E-3</v>
      </c>
    </row>
    <row r="83" spans="1:21" ht="14.4" x14ac:dyDescent="0.3">
      <c r="A83" s="22">
        <f>'Monthly Data'!A83</f>
        <v>42278</v>
      </c>
      <c r="B83" s="6">
        <f t="shared" si="8"/>
        <v>2015</v>
      </c>
      <c r="C83" s="20">
        <f ca="1">'Monthly Data'!J83</f>
        <v>5373712.4503277764</v>
      </c>
      <c r="D83" s="6">
        <f>'Monthly Data'!AG83</f>
        <v>157.80000000000001</v>
      </c>
      <c r="E83" s="6">
        <f>'Monthly Data'!AH83</f>
        <v>2.6</v>
      </c>
      <c r="F83" s="6">
        <f>'Monthly Data'!AJ83</f>
        <v>155.1</v>
      </c>
      <c r="G83" s="6">
        <f>'Monthly Data'!AL83</f>
        <v>31</v>
      </c>
      <c r="H83" s="6">
        <f>'Monthly Data'!BC83</f>
        <v>1</v>
      </c>
      <c r="I83" s="6">
        <f>'Monthly Data'!AQ83</f>
        <v>0</v>
      </c>
      <c r="J83" s="6">
        <f>'Monthly Data'!AZ83</f>
        <v>0</v>
      </c>
      <c r="L83" s="20">
        <f>'GS &lt; 50 OLS model'!$B$5</f>
        <v>-1088732.49289844</v>
      </c>
      <c r="M83" s="20">
        <f>'GS &lt; 50 OLS model'!$B$6*D83</f>
        <v>162679.87195389278</v>
      </c>
      <c r="N83" s="20">
        <f>'GS &lt; 50 OLS model'!$B$7*E83</f>
        <v>19952.560020823821</v>
      </c>
      <c r="O83" s="20">
        <f>'GS &lt; 50 OLS model'!$B$8*F83</f>
        <v>1769260.0451872402</v>
      </c>
      <c r="P83" s="20">
        <f>'GS &lt; 50 OLS model'!$B$9*G83</f>
        <v>4635586.0334030418</v>
      </c>
      <c r="Q83" s="20">
        <f>'GS &lt; 50 OLS model'!$B$10*H83</f>
        <v>-268302.989268562</v>
      </c>
      <c r="R83" s="20">
        <f>'GS &lt; 50 OLS model'!$B$11*I83</f>
        <v>0</v>
      </c>
      <c r="S83" s="20">
        <f>'GS &lt; 50 OLS model'!$B$12*J83</f>
        <v>0</v>
      </c>
      <c r="T83" s="20">
        <f t="shared" si="6"/>
        <v>5230443.0283979969</v>
      </c>
      <c r="U83" s="23">
        <f t="shared" ca="1" si="7"/>
        <v>2.66611626978739E-2</v>
      </c>
    </row>
    <row r="84" spans="1:21" ht="14.4" x14ac:dyDescent="0.3">
      <c r="A84" s="22">
        <f>'Monthly Data'!A84</f>
        <v>42309</v>
      </c>
      <c r="B84" s="6">
        <f t="shared" si="8"/>
        <v>2015</v>
      </c>
      <c r="C84" s="20">
        <f ca="1">'Monthly Data'!J84</f>
        <v>5197735.0653956272</v>
      </c>
      <c r="D84" s="6">
        <f>'Monthly Data'!AG84</f>
        <v>286.60000000000002</v>
      </c>
      <c r="E84" s="6">
        <f>'Monthly Data'!AH84</f>
        <v>0.5</v>
      </c>
      <c r="F84" s="6">
        <f>'Monthly Data'!AJ84</f>
        <v>155.19999999999999</v>
      </c>
      <c r="G84" s="6">
        <f>'Monthly Data'!AL84</f>
        <v>30</v>
      </c>
      <c r="H84" s="6">
        <f>'Monthly Data'!BC84</f>
        <v>1</v>
      </c>
      <c r="I84" s="6">
        <f>'Monthly Data'!AQ84</f>
        <v>0</v>
      </c>
      <c r="J84" s="6">
        <f>'Monthly Data'!AZ84</f>
        <v>0</v>
      </c>
      <c r="L84" s="20">
        <f>'GS &lt; 50 OLS model'!$B$5</f>
        <v>-1088732.49289844</v>
      </c>
      <c r="M84" s="20">
        <f>'GS &lt; 50 OLS model'!$B$6*D84</f>
        <v>295462.93600751378</v>
      </c>
      <c r="N84" s="20">
        <f>'GS &lt; 50 OLS model'!$B$7*E84</f>
        <v>3837.0307732353499</v>
      </c>
      <c r="O84" s="20">
        <f>'GS &lt; 50 OLS model'!$B$8*F84</f>
        <v>1770400.7673311392</v>
      </c>
      <c r="P84" s="20">
        <f>'GS &lt; 50 OLS model'!$B$9*G84</f>
        <v>4486051.0000674604</v>
      </c>
      <c r="Q84" s="20">
        <f>'GS &lt; 50 OLS model'!$B$10*H84</f>
        <v>-268302.989268562</v>
      </c>
      <c r="R84" s="20">
        <f>'GS &lt; 50 OLS model'!$B$11*I84</f>
        <v>0</v>
      </c>
      <c r="S84" s="20">
        <f>'GS &lt; 50 OLS model'!$B$12*J84</f>
        <v>0</v>
      </c>
      <c r="T84" s="20">
        <f t="shared" si="6"/>
        <v>5198716.2520123469</v>
      </c>
      <c r="U84" s="23">
        <f t="shared" ca="1" si="7"/>
        <v>1.8877195631844253E-4</v>
      </c>
    </row>
    <row r="85" spans="1:21" ht="14.4" x14ac:dyDescent="0.3">
      <c r="A85" s="22">
        <f>'Monthly Data'!A85</f>
        <v>42339</v>
      </c>
      <c r="B85" s="6">
        <f t="shared" si="8"/>
        <v>2015</v>
      </c>
      <c r="C85" s="20">
        <f ca="1">'Monthly Data'!J85</f>
        <v>5436965.1526454762</v>
      </c>
      <c r="D85" s="6">
        <f>'Monthly Data'!AG85</f>
        <v>392.2</v>
      </c>
      <c r="E85" s="6">
        <f>'Monthly Data'!AH85</f>
        <v>0</v>
      </c>
      <c r="F85" s="6">
        <f>'Monthly Data'!AJ85</f>
        <v>155.19999999999999</v>
      </c>
      <c r="G85" s="6">
        <f>'Monthly Data'!AL85</f>
        <v>31</v>
      </c>
      <c r="H85" s="6">
        <f>'Monthly Data'!BC85</f>
        <v>0</v>
      </c>
      <c r="I85" s="6">
        <f>'Monthly Data'!AQ85</f>
        <v>0</v>
      </c>
      <c r="J85" s="6">
        <f>'Monthly Data'!AZ85</f>
        <v>1</v>
      </c>
      <c r="L85" s="20">
        <f>'GS &lt; 50 OLS model'!$B$5</f>
        <v>-1088732.49289844</v>
      </c>
      <c r="M85" s="20">
        <f>'GS &lt; 50 OLS model'!$B$6*D85</f>
        <v>404328.55374091724</v>
      </c>
      <c r="N85" s="20">
        <f>'GS &lt; 50 OLS model'!$B$7*E85</f>
        <v>0</v>
      </c>
      <c r="O85" s="20">
        <f>'GS &lt; 50 OLS model'!$B$8*F85</f>
        <v>1770400.7673311392</v>
      </c>
      <c r="P85" s="20">
        <f>'GS &lt; 50 OLS model'!$B$9*G85</f>
        <v>4635586.0334030418</v>
      </c>
      <c r="Q85" s="20">
        <f>'GS &lt; 50 OLS model'!$B$10*H85</f>
        <v>0</v>
      </c>
      <c r="R85" s="20">
        <f>'GS &lt; 50 OLS model'!$B$11*I85</f>
        <v>0</v>
      </c>
      <c r="S85" s="20">
        <f>'GS &lt; 50 OLS model'!$B$12*J85</f>
        <v>-197900.76217015099</v>
      </c>
      <c r="T85" s="20">
        <f t="shared" si="6"/>
        <v>5523682.0994065069</v>
      </c>
      <c r="U85" s="23">
        <f t="shared" ca="1" si="7"/>
        <v>1.5949513069591158E-2</v>
      </c>
    </row>
    <row r="86" spans="1:21" ht="14.4" x14ac:dyDescent="0.3">
      <c r="A86" s="22">
        <f>'Monthly Data'!A86</f>
        <v>42370</v>
      </c>
      <c r="B86" s="6">
        <f t="shared" ref="B86:B97" si="9">YEAR(A86)</f>
        <v>2016</v>
      </c>
      <c r="C86" s="20">
        <f ca="1">'Monthly Data'!J86</f>
        <v>5983744.549699422</v>
      </c>
      <c r="D86" s="6">
        <f>'Monthly Data'!AG86</f>
        <v>618.5</v>
      </c>
      <c r="E86" s="6">
        <f>'Monthly Data'!AH86</f>
        <v>0</v>
      </c>
      <c r="F86" s="6">
        <f>'Monthly Data'!AJ86</f>
        <v>155</v>
      </c>
      <c r="G86" s="6">
        <f>'Monthly Data'!AL86</f>
        <v>31</v>
      </c>
      <c r="H86" s="6">
        <f>'Monthly Data'!BC86</f>
        <v>0</v>
      </c>
      <c r="I86" s="6">
        <f>'Monthly Data'!AQ86</f>
        <v>0</v>
      </c>
      <c r="J86" s="6">
        <f>'Monthly Data'!AZ86</f>
        <v>0</v>
      </c>
      <c r="L86" s="20">
        <f>'GS &lt; 50 OLS model'!$B$5</f>
        <v>-1088732.49289844</v>
      </c>
      <c r="M86" s="20">
        <f>'GS &lt; 50 OLS model'!$B$6*D86</f>
        <v>637626.74780407269</v>
      </c>
      <c r="N86" s="20">
        <f>'GS &lt; 50 OLS model'!$B$7*E86</f>
        <v>0</v>
      </c>
      <c r="O86" s="20">
        <f>'GS &lt; 50 OLS model'!$B$8*F86</f>
        <v>1768119.3230433415</v>
      </c>
      <c r="P86" s="20">
        <f>'GS &lt; 50 OLS model'!$B$9*G86</f>
        <v>4635586.0334030418</v>
      </c>
      <c r="Q86" s="20">
        <f>'GS &lt; 50 OLS model'!$B$10*H86</f>
        <v>0</v>
      </c>
      <c r="R86" s="20">
        <f>'GS &lt; 50 OLS model'!$B$11*I86</f>
        <v>0</v>
      </c>
      <c r="S86" s="20">
        <f>'GS &lt; 50 OLS model'!$B$12*J86</f>
        <v>0</v>
      </c>
      <c r="T86" s="20">
        <f t="shared" ref="T86:T97" si="10">SUM(L86:S86)</f>
        <v>5952599.6113520162</v>
      </c>
      <c r="U86" s="23">
        <f t="shared" ref="U86:U97" ca="1" si="11">ABS(T86-C86)/C86</f>
        <v>5.2049244563707586E-3</v>
      </c>
    </row>
    <row r="87" spans="1:21" ht="14.4" x14ac:dyDescent="0.3">
      <c r="A87" s="22">
        <f>'Monthly Data'!A87</f>
        <v>42401</v>
      </c>
      <c r="B87" s="6">
        <f t="shared" si="9"/>
        <v>2016</v>
      </c>
      <c r="C87" s="20">
        <f ca="1">'Monthly Data'!J87</f>
        <v>5658701.1016067518</v>
      </c>
      <c r="D87" s="6">
        <f>'Monthly Data'!AG87</f>
        <v>510.5</v>
      </c>
      <c r="E87" s="6">
        <f>'Monthly Data'!AH87</f>
        <v>0</v>
      </c>
      <c r="F87" s="6">
        <f>'Monthly Data'!AJ87</f>
        <v>156</v>
      </c>
      <c r="G87" s="6">
        <f>'Monthly Data'!AL87</f>
        <v>29</v>
      </c>
      <c r="H87" s="6">
        <f>'Monthly Data'!BC87</f>
        <v>0</v>
      </c>
      <c r="I87" s="6">
        <f>'Monthly Data'!AQ87</f>
        <v>0</v>
      </c>
      <c r="J87" s="6">
        <f>'Monthly Data'!AZ87</f>
        <v>0</v>
      </c>
      <c r="L87" s="20">
        <f>'GS &lt; 50 OLS model'!$B$5</f>
        <v>-1088732.49289844</v>
      </c>
      <c r="M87" s="20">
        <f>'GS &lt; 50 OLS model'!$B$6*D87</f>
        <v>526286.91148581915</v>
      </c>
      <c r="N87" s="20">
        <f>'GS &lt; 50 OLS model'!$B$7*E87</f>
        <v>0</v>
      </c>
      <c r="O87" s="20">
        <f>'GS &lt; 50 OLS model'!$B$8*F87</f>
        <v>1779526.5444823308</v>
      </c>
      <c r="P87" s="20">
        <f>'GS &lt; 50 OLS model'!$B$9*G87</f>
        <v>4336515.966731878</v>
      </c>
      <c r="Q87" s="20">
        <f>'GS &lt; 50 OLS model'!$B$10*H87</f>
        <v>0</v>
      </c>
      <c r="R87" s="20">
        <f>'GS &lt; 50 OLS model'!$B$11*I87</f>
        <v>0</v>
      </c>
      <c r="S87" s="20">
        <f>'GS &lt; 50 OLS model'!$B$12*J87</f>
        <v>0</v>
      </c>
      <c r="T87" s="20">
        <f t="shared" si="10"/>
        <v>5553596.9298015879</v>
      </c>
      <c r="U87" s="23">
        <f t="shared" ca="1" si="11"/>
        <v>1.8573904137704003E-2</v>
      </c>
    </row>
    <row r="88" spans="1:21" ht="14.4" x14ac:dyDescent="0.3">
      <c r="A88" s="22">
        <f>'Monthly Data'!A88</f>
        <v>42430</v>
      </c>
      <c r="B88" s="6">
        <f t="shared" si="9"/>
        <v>2016</v>
      </c>
      <c r="C88" s="20">
        <f ca="1">'Monthly Data'!J88</f>
        <v>5678484.0661395518</v>
      </c>
      <c r="D88" s="6">
        <f>'Monthly Data'!AG88</f>
        <v>350.9</v>
      </c>
      <c r="E88" s="6">
        <f>'Monthly Data'!AH88</f>
        <v>0</v>
      </c>
      <c r="F88" s="6">
        <f>'Monthly Data'!AJ88</f>
        <v>156.80000000000001</v>
      </c>
      <c r="G88" s="6">
        <f>'Monthly Data'!AL88</f>
        <v>31</v>
      </c>
      <c r="H88" s="6">
        <f>'Monthly Data'!BC88</f>
        <v>1</v>
      </c>
      <c r="I88" s="6">
        <f>'Monthly Data'!AQ88</f>
        <v>1</v>
      </c>
      <c r="J88" s="6">
        <f>'Monthly Data'!AZ88</f>
        <v>0</v>
      </c>
      <c r="L88" s="20">
        <f>'GS &lt; 50 OLS model'!$B$5</f>
        <v>-1088732.49289844</v>
      </c>
      <c r="M88" s="20">
        <f>'GS &lt; 50 OLS model'!$B$6*D88</f>
        <v>361751.3755932888</v>
      </c>
      <c r="N88" s="20">
        <f>'GS &lt; 50 OLS model'!$B$7*E88</f>
        <v>0</v>
      </c>
      <c r="O88" s="20">
        <f>'GS &lt; 50 OLS model'!$B$8*F88</f>
        <v>1788652.3216335224</v>
      </c>
      <c r="P88" s="20">
        <f>'GS &lt; 50 OLS model'!$B$9*G88</f>
        <v>4635586.0334030418</v>
      </c>
      <c r="Q88" s="20">
        <f>'GS &lt; 50 OLS model'!$B$10*H88</f>
        <v>-268302.989268562</v>
      </c>
      <c r="R88" s="20">
        <f>'GS &lt; 50 OLS model'!$B$11*I88</f>
        <v>178696.970766832</v>
      </c>
      <c r="S88" s="20">
        <f>'GS &lt; 50 OLS model'!$B$12*J88</f>
        <v>0</v>
      </c>
      <c r="T88" s="20">
        <f t="shared" si="10"/>
        <v>5607651.2192296833</v>
      </c>
      <c r="U88" s="23">
        <f t="shared" ca="1" si="11"/>
        <v>1.2473900795502871E-2</v>
      </c>
    </row>
    <row r="89" spans="1:21" ht="14.4" x14ac:dyDescent="0.3">
      <c r="A89" s="22">
        <f>'Monthly Data'!A89</f>
        <v>42461</v>
      </c>
      <c r="B89" s="6">
        <f t="shared" si="9"/>
        <v>2016</v>
      </c>
      <c r="C89" s="20">
        <f ca="1">'Monthly Data'!J89</f>
        <v>5378274.8715852015</v>
      </c>
      <c r="D89" s="6">
        <f>'Monthly Data'!AG89</f>
        <v>315.20000000000005</v>
      </c>
      <c r="E89" s="6">
        <f>'Monthly Data'!AH89</f>
        <v>0</v>
      </c>
      <c r="F89" s="6">
        <f>'Monthly Data'!AJ89</f>
        <v>159.30000000000001</v>
      </c>
      <c r="G89" s="6">
        <f>'Monthly Data'!AL89</f>
        <v>30</v>
      </c>
      <c r="H89" s="6">
        <f>'Monthly Data'!BC89</f>
        <v>1</v>
      </c>
      <c r="I89" s="6">
        <f>'Monthly Data'!AQ89</f>
        <v>0</v>
      </c>
      <c r="J89" s="6">
        <f>'Monthly Data'!AZ89</f>
        <v>0</v>
      </c>
      <c r="L89" s="20">
        <f>'GS &lt; 50 OLS model'!$B$5</f>
        <v>-1088732.49289844</v>
      </c>
      <c r="M89" s="20">
        <f>'GS &lt; 50 OLS model'!$B$6*D89</f>
        <v>324947.37414364389</v>
      </c>
      <c r="N89" s="20">
        <f>'GS &lt; 50 OLS model'!$B$7*E89</f>
        <v>0</v>
      </c>
      <c r="O89" s="20">
        <f>'GS &lt; 50 OLS model'!$B$8*F89</f>
        <v>1817170.3752309955</v>
      </c>
      <c r="P89" s="20">
        <f>'GS &lt; 50 OLS model'!$B$9*G89</f>
        <v>4486051.0000674604</v>
      </c>
      <c r="Q89" s="20">
        <f>'GS &lt; 50 OLS model'!$B$10*H89</f>
        <v>-268302.989268562</v>
      </c>
      <c r="R89" s="20">
        <f>'GS &lt; 50 OLS model'!$B$11*I89</f>
        <v>0</v>
      </c>
      <c r="S89" s="20">
        <f>'GS &lt; 50 OLS model'!$B$12*J89</f>
        <v>0</v>
      </c>
      <c r="T89" s="20">
        <f t="shared" si="10"/>
        <v>5271133.2672750978</v>
      </c>
      <c r="U89" s="23">
        <f t="shared" ca="1" si="11"/>
        <v>1.9921184184200053E-2</v>
      </c>
    </row>
    <row r="90" spans="1:21" ht="14.4" x14ac:dyDescent="0.3">
      <c r="A90" s="22">
        <f>'Monthly Data'!A90</f>
        <v>42491</v>
      </c>
      <c r="B90" s="6">
        <f t="shared" si="9"/>
        <v>2016</v>
      </c>
      <c r="C90" s="20">
        <f ca="1">'Monthly Data'!J90</f>
        <v>5803384.3939025514</v>
      </c>
      <c r="D90" s="6">
        <f>'Monthly Data'!AG90</f>
        <v>110.9</v>
      </c>
      <c r="E90" s="6">
        <f>'Monthly Data'!AH90</f>
        <v>47</v>
      </c>
      <c r="F90" s="6">
        <f>'Monthly Data'!AJ90</f>
        <v>162.1</v>
      </c>
      <c r="G90" s="6">
        <f>'Monthly Data'!AL90</f>
        <v>31</v>
      </c>
      <c r="H90" s="6">
        <f>'Monthly Data'!BC90</f>
        <v>1</v>
      </c>
      <c r="I90" s="6">
        <f>'Monthly Data'!AQ90</f>
        <v>0</v>
      </c>
      <c r="J90" s="6">
        <f>'Monthly Data'!AZ90</f>
        <v>0</v>
      </c>
      <c r="L90" s="20">
        <f>'GS &lt; 50 OLS model'!$B$5</f>
        <v>-1088732.49289844</v>
      </c>
      <c r="M90" s="20">
        <f>'GS &lt; 50 OLS model'!$B$6*D90</f>
        <v>114329.51710828079</v>
      </c>
      <c r="N90" s="20">
        <f>'GS &lt; 50 OLS model'!$B$7*E90</f>
        <v>360680.8926841229</v>
      </c>
      <c r="O90" s="20">
        <f>'GS &lt; 50 OLS model'!$B$8*F90</f>
        <v>1849110.5952601654</v>
      </c>
      <c r="P90" s="20">
        <f>'GS &lt; 50 OLS model'!$B$9*G90</f>
        <v>4635586.0334030418</v>
      </c>
      <c r="Q90" s="20">
        <f>'GS &lt; 50 OLS model'!$B$10*H90</f>
        <v>-268302.989268562</v>
      </c>
      <c r="R90" s="20">
        <f>'GS &lt; 50 OLS model'!$B$11*I90</f>
        <v>0</v>
      </c>
      <c r="S90" s="20">
        <f>'GS &lt; 50 OLS model'!$B$12*J90</f>
        <v>0</v>
      </c>
      <c r="T90" s="20">
        <f t="shared" si="10"/>
        <v>5602671.5562886093</v>
      </c>
      <c r="U90" s="23">
        <f t="shared" ca="1" si="11"/>
        <v>3.458548046977989E-2</v>
      </c>
    </row>
    <row r="91" spans="1:21" ht="14.4" x14ac:dyDescent="0.3">
      <c r="A91" s="22">
        <f>'Monthly Data'!A91</f>
        <v>42522</v>
      </c>
      <c r="B91" s="6">
        <f t="shared" si="9"/>
        <v>2016</v>
      </c>
      <c r="C91" s="20">
        <f ca="1">'Monthly Data'!J91</f>
        <v>6352911.127959162</v>
      </c>
      <c r="D91" s="6">
        <f>'Monthly Data'!AG91</f>
        <v>5.6</v>
      </c>
      <c r="E91" s="6">
        <f>'Monthly Data'!AH91</f>
        <v>127.2</v>
      </c>
      <c r="F91" s="6">
        <f>'Monthly Data'!AJ91</f>
        <v>166.7</v>
      </c>
      <c r="G91" s="6">
        <f>'Monthly Data'!AL91</f>
        <v>30</v>
      </c>
      <c r="H91" s="6">
        <f>'Monthly Data'!BC91</f>
        <v>0</v>
      </c>
      <c r="I91" s="6">
        <f>'Monthly Data'!AQ91</f>
        <v>0</v>
      </c>
      <c r="J91" s="6">
        <f>'Monthly Data'!AZ91</f>
        <v>0</v>
      </c>
      <c r="L91" s="20">
        <f>'GS &lt; 50 OLS model'!$B$5</f>
        <v>-1088732.49289844</v>
      </c>
      <c r="M91" s="20">
        <f>'GS &lt; 50 OLS model'!$B$6*D91</f>
        <v>5773.1766979835202</v>
      </c>
      <c r="N91" s="20">
        <f>'GS &lt; 50 OLS model'!$B$7*E91</f>
        <v>976140.62871107308</v>
      </c>
      <c r="O91" s="20">
        <f>'GS &lt; 50 OLS model'!$B$8*F91</f>
        <v>1901583.8138795162</v>
      </c>
      <c r="P91" s="20">
        <f>'GS &lt; 50 OLS model'!$B$9*G91</f>
        <v>4486051.0000674604</v>
      </c>
      <c r="Q91" s="20">
        <f>'GS &lt; 50 OLS model'!$B$10*H91</f>
        <v>0</v>
      </c>
      <c r="R91" s="20">
        <f>'GS &lt; 50 OLS model'!$B$11*I91</f>
        <v>0</v>
      </c>
      <c r="S91" s="20">
        <f>'GS &lt; 50 OLS model'!$B$12*J91</f>
        <v>0</v>
      </c>
      <c r="T91" s="20">
        <f t="shared" si="10"/>
        <v>6280816.1264575925</v>
      </c>
      <c r="U91" s="23">
        <f t="shared" ca="1" si="11"/>
        <v>1.1348340949439607E-2</v>
      </c>
    </row>
    <row r="92" spans="1:21" ht="14.4" x14ac:dyDescent="0.3">
      <c r="A92" s="22">
        <f>'Monthly Data'!A92</f>
        <v>42552</v>
      </c>
      <c r="B92" s="6">
        <f t="shared" si="9"/>
        <v>2016</v>
      </c>
      <c r="C92" s="20">
        <f ca="1">'Monthly Data'!J92</f>
        <v>7269290.879378682</v>
      </c>
      <c r="D92" s="6">
        <f>'Monthly Data'!AG92</f>
        <v>0</v>
      </c>
      <c r="E92" s="6">
        <f>'Monthly Data'!AH92</f>
        <v>213.1</v>
      </c>
      <c r="F92" s="6">
        <f>'Monthly Data'!AJ92</f>
        <v>169.9</v>
      </c>
      <c r="G92" s="6">
        <f>'Monthly Data'!AL92</f>
        <v>31</v>
      </c>
      <c r="H92" s="6">
        <f>'Monthly Data'!BC92</f>
        <v>0</v>
      </c>
      <c r="I92" s="6">
        <f>'Monthly Data'!AQ92</f>
        <v>0</v>
      </c>
      <c r="J92" s="6">
        <f>'Monthly Data'!AZ92</f>
        <v>0</v>
      </c>
      <c r="L92" s="20">
        <f>'GS &lt; 50 OLS model'!$B$5</f>
        <v>-1088732.49289844</v>
      </c>
      <c r="M92" s="20">
        <f>'GS &lt; 50 OLS model'!$B$6*D92</f>
        <v>0</v>
      </c>
      <c r="N92" s="20">
        <f>'GS &lt; 50 OLS model'!$B$7*E92</f>
        <v>1635342.5155529061</v>
      </c>
      <c r="O92" s="20">
        <f>'GS &lt; 50 OLS model'!$B$8*F92</f>
        <v>1938086.9224842822</v>
      </c>
      <c r="P92" s="20">
        <f>'GS &lt; 50 OLS model'!$B$9*G92</f>
        <v>4635586.0334030418</v>
      </c>
      <c r="Q92" s="20">
        <f>'GS &lt; 50 OLS model'!$B$10*H92</f>
        <v>0</v>
      </c>
      <c r="R92" s="20">
        <f>'GS &lt; 50 OLS model'!$B$11*I92</f>
        <v>0</v>
      </c>
      <c r="S92" s="20">
        <f>'GS &lt; 50 OLS model'!$B$12*J92</f>
        <v>0</v>
      </c>
      <c r="T92" s="20">
        <f t="shared" si="10"/>
        <v>7120282.9785417896</v>
      </c>
      <c r="U92" s="23">
        <f t="shared" ca="1" si="11"/>
        <v>2.0498271882281368E-2</v>
      </c>
    </row>
    <row r="93" spans="1:21" ht="14.4" x14ac:dyDescent="0.3">
      <c r="A93" s="22">
        <f>'Monthly Data'!A93</f>
        <v>42583</v>
      </c>
      <c r="B93" s="6">
        <f t="shared" si="9"/>
        <v>2016</v>
      </c>
      <c r="C93" s="20">
        <f ca="1">'Monthly Data'!J93</f>
        <v>7280187.7522718124</v>
      </c>
      <c r="D93" s="6">
        <f>'Monthly Data'!AG93</f>
        <v>0</v>
      </c>
      <c r="E93" s="6">
        <f>'Monthly Data'!AH93</f>
        <v>219</v>
      </c>
      <c r="F93" s="6">
        <f>'Monthly Data'!AJ93</f>
        <v>171.7</v>
      </c>
      <c r="G93" s="6">
        <f>'Monthly Data'!AL93</f>
        <v>31</v>
      </c>
      <c r="H93" s="6">
        <f>'Monthly Data'!BC93</f>
        <v>0</v>
      </c>
      <c r="I93" s="6">
        <f>'Monthly Data'!AQ93</f>
        <v>0</v>
      </c>
      <c r="J93" s="6">
        <f>'Monthly Data'!AZ93</f>
        <v>0</v>
      </c>
      <c r="L93" s="20">
        <f>'GS &lt; 50 OLS model'!$B$5</f>
        <v>-1088732.49289844</v>
      </c>
      <c r="M93" s="20">
        <f>'GS &lt; 50 OLS model'!$B$6*D93</f>
        <v>0</v>
      </c>
      <c r="N93" s="20">
        <f>'GS &lt; 50 OLS model'!$B$7*E93</f>
        <v>1680619.4786770833</v>
      </c>
      <c r="O93" s="20">
        <f>'GS &lt; 50 OLS model'!$B$8*F93</f>
        <v>1958619.9210744626</v>
      </c>
      <c r="P93" s="20">
        <f>'GS &lt; 50 OLS model'!$B$9*G93</f>
        <v>4635586.0334030418</v>
      </c>
      <c r="Q93" s="20">
        <f>'GS &lt; 50 OLS model'!$B$10*H93</f>
        <v>0</v>
      </c>
      <c r="R93" s="20">
        <f>'GS &lt; 50 OLS model'!$B$11*I93</f>
        <v>0</v>
      </c>
      <c r="S93" s="20">
        <f>'GS &lt; 50 OLS model'!$B$12*J93</f>
        <v>0</v>
      </c>
      <c r="T93" s="20">
        <f t="shared" si="10"/>
        <v>7186092.9402561476</v>
      </c>
      <c r="U93" s="23">
        <f t="shared" ca="1" si="11"/>
        <v>1.2924778208680415E-2</v>
      </c>
    </row>
    <row r="94" spans="1:21" ht="14.4" x14ac:dyDescent="0.3">
      <c r="A94" s="22">
        <f>'Monthly Data'!A94</f>
        <v>42614</v>
      </c>
      <c r="B94" s="6">
        <f t="shared" si="9"/>
        <v>2016</v>
      </c>
      <c r="C94" s="20">
        <f ca="1">'Monthly Data'!J94</f>
        <v>6265768.1113566319</v>
      </c>
      <c r="D94" s="6">
        <f>'Monthly Data'!AG94</f>
        <v>8</v>
      </c>
      <c r="E94" s="6">
        <f>'Monthly Data'!AH94</f>
        <v>90.1</v>
      </c>
      <c r="F94" s="6">
        <f>'Monthly Data'!AJ94</f>
        <v>170.5</v>
      </c>
      <c r="G94" s="6">
        <f>'Monthly Data'!AL94</f>
        <v>30</v>
      </c>
      <c r="H94" s="6">
        <f>'Monthly Data'!BC94</f>
        <v>0</v>
      </c>
      <c r="I94" s="6">
        <f>'Monthly Data'!AQ94</f>
        <v>0</v>
      </c>
      <c r="J94" s="6">
        <f>'Monthly Data'!AZ94</f>
        <v>0</v>
      </c>
      <c r="L94" s="20">
        <f>'GS &lt; 50 OLS model'!$B$5</f>
        <v>-1088732.49289844</v>
      </c>
      <c r="M94" s="20">
        <f>'GS &lt; 50 OLS model'!$B$6*D94</f>
        <v>8247.3952828336005</v>
      </c>
      <c r="N94" s="20">
        <f>'GS &lt; 50 OLS model'!$B$7*E94</f>
        <v>691432.94533700997</v>
      </c>
      <c r="O94" s="20">
        <f>'GS &lt; 50 OLS model'!$B$8*F94</f>
        <v>1944931.2553476756</v>
      </c>
      <c r="P94" s="20">
        <f>'GS &lt; 50 OLS model'!$B$9*G94</f>
        <v>4486051.0000674604</v>
      </c>
      <c r="Q94" s="20">
        <f>'GS &lt; 50 OLS model'!$B$10*H94</f>
        <v>0</v>
      </c>
      <c r="R94" s="20">
        <f>'GS &lt; 50 OLS model'!$B$11*I94</f>
        <v>0</v>
      </c>
      <c r="S94" s="20">
        <f>'GS &lt; 50 OLS model'!$B$12*J94</f>
        <v>0</v>
      </c>
      <c r="T94" s="20">
        <f t="shared" si="10"/>
        <v>6041930.1031365395</v>
      </c>
      <c r="U94" s="23">
        <f t="shared" ca="1" si="11"/>
        <v>3.5723953431086704E-2</v>
      </c>
    </row>
    <row r="95" spans="1:21" ht="14.4" x14ac:dyDescent="0.3">
      <c r="A95" s="22">
        <f>'Monthly Data'!A95</f>
        <v>42644</v>
      </c>
      <c r="B95" s="6">
        <f t="shared" si="9"/>
        <v>2016</v>
      </c>
      <c r="C95" s="20">
        <f ca="1">'Monthly Data'!J95</f>
        <v>5606718.2255126815</v>
      </c>
      <c r="D95" s="6">
        <f>'Monthly Data'!AG95</f>
        <v>146</v>
      </c>
      <c r="E95" s="6">
        <f>'Monthly Data'!AH95</f>
        <v>22.7</v>
      </c>
      <c r="F95" s="6">
        <f>'Monthly Data'!AJ95</f>
        <v>169.2</v>
      </c>
      <c r="G95" s="6">
        <f>'Monthly Data'!AL95</f>
        <v>31</v>
      </c>
      <c r="H95" s="6">
        <f>'Monthly Data'!BC95</f>
        <v>1</v>
      </c>
      <c r="I95" s="6">
        <f>'Monthly Data'!AQ95</f>
        <v>0</v>
      </c>
      <c r="J95" s="6">
        <f>'Monthly Data'!AZ95</f>
        <v>0</v>
      </c>
      <c r="L95" s="20">
        <f>'GS &lt; 50 OLS model'!$B$5</f>
        <v>-1088732.49289844</v>
      </c>
      <c r="M95" s="20">
        <f>'GS &lt; 50 OLS model'!$B$6*D95</f>
        <v>150514.96391171322</v>
      </c>
      <c r="N95" s="20">
        <f>'GS &lt; 50 OLS model'!$B$7*E95</f>
        <v>174201.19710488489</v>
      </c>
      <c r="O95" s="20">
        <f>'GS &lt; 50 OLS model'!$B$8*F95</f>
        <v>1930101.8674769893</v>
      </c>
      <c r="P95" s="20">
        <f>'GS &lt; 50 OLS model'!$B$9*G95</f>
        <v>4635586.0334030418</v>
      </c>
      <c r="Q95" s="20">
        <f>'GS &lt; 50 OLS model'!$B$10*H95</f>
        <v>-268302.989268562</v>
      </c>
      <c r="R95" s="20">
        <f>'GS &lt; 50 OLS model'!$B$11*I95</f>
        <v>0</v>
      </c>
      <c r="S95" s="20">
        <f>'GS &lt; 50 OLS model'!$B$12*J95</f>
        <v>0</v>
      </c>
      <c r="T95" s="20">
        <f t="shared" si="10"/>
        <v>5533368.5797296278</v>
      </c>
      <c r="U95" s="23">
        <f t="shared" ca="1" si="11"/>
        <v>1.3082456230685033E-2</v>
      </c>
    </row>
    <row r="96" spans="1:21" ht="14.4" x14ac:dyDescent="0.3">
      <c r="A96" s="22">
        <f>'Monthly Data'!A96</f>
        <v>42675</v>
      </c>
      <c r="B96" s="6">
        <f t="shared" si="9"/>
        <v>2016</v>
      </c>
      <c r="C96" s="20">
        <f ca="1">'Monthly Data'!J96</f>
        <v>5380493.1643636916</v>
      </c>
      <c r="D96" s="6">
        <f>'Monthly Data'!AG96</f>
        <v>290.7</v>
      </c>
      <c r="E96" s="6">
        <f>'Monthly Data'!AH96</f>
        <v>0</v>
      </c>
      <c r="F96" s="6">
        <f>'Monthly Data'!AJ96</f>
        <v>165.5</v>
      </c>
      <c r="G96" s="6">
        <f>'Monthly Data'!AL96</f>
        <v>30</v>
      </c>
      <c r="H96" s="6">
        <f>'Monthly Data'!BC96</f>
        <v>1</v>
      </c>
      <c r="I96" s="6">
        <f>'Monthly Data'!AQ96</f>
        <v>0</v>
      </c>
      <c r="J96" s="6">
        <f>'Monthly Data'!AZ96</f>
        <v>0</v>
      </c>
      <c r="L96" s="20">
        <f>'GS &lt; 50 OLS model'!$B$5</f>
        <v>-1088732.49289844</v>
      </c>
      <c r="M96" s="20">
        <f>'GS &lt; 50 OLS model'!$B$6*D96</f>
        <v>299689.72608996596</v>
      </c>
      <c r="N96" s="20">
        <f>'GS &lt; 50 OLS model'!$B$7*E96</f>
        <v>0</v>
      </c>
      <c r="O96" s="20">
        <f>'GS &lt; 50 OLS model'!$B$8*F96</f>
        <v>1887895.148152729</v>
      </c>
      <c r="P96" s="20">
        <f>'GS &lt; 50 OLS model'!$B$9*G96</f>
        <v>4486051.0000674604</v>
      </c>
      <c r="Q96" s="20">
        <f>'GS &lt; 50 OLS model'!$B$10*H96</f>
        <v>-268302.989268562</v>
      </c>
      <c r="R96" s="20">
        <f>'GS &lt; 50 OLS model'!$B$11*I96</f>
        <v>0</v>
      </c>
      <c r="S96" s="20">
        <f>'GS &lt; 50 OLS model'!$B$12*J96</f>
        <v>0</v>
      </c>
      <c r="T96" s="20">
        <f t="shared" si="10"/>
        <v>5316600.3921431536</v>
      </c>
      <c r="U96" s="23">
        <f t="shared" ca="1" si="11"/>
        <v>1.187489144001061E-2</v>
      </c>
    </row>
    <row r="97" spans="1:21" ht="14.4" x14ac:dyDescent="0.3">
      <c r="A97" s="22">
        <f>'Monthly Data'!A97</f>
        <v>42705</v>
      </c>
      <c r="B97" s="6">
        <f t="shared" si="9"/>
        <v>2016</v>
      </c>
      <c r="C97" s="20">
        <f ca="1">'Monthly Data'!J97</f>
        <v>5942778.7041338421</v>
      </c>
      <c r="D97" s="6">
        <f>'Monthly Data'!AG97</f>
        <v>581.1</v>
      </c>
      <c r="E97" s="6">
        <f>'Monthly Data'!AH97</f>
        <v>0</v>
      </c>
      <c r="F97" s="6">
        <f>'Monthly Data'!AJ97</f>
        <v>162.5</v>
      </c>
      <c r="G97" s="6">
        <f>'Monthly Data'!AL97</f>
        <v>31</v>
      </c>
      <c r="H97" s="6">
        <f>'Monthly Data'!BC97</f>
        <v>0</v>
      </c>
      <c r="I97" s="6">
        <f>'Monthly Data'!AQ97</f>
        <v>0</v>
      </c>
      <c r="J97" s="6">
        <f>'Monthly Data'!AZ97</f>
        <v>1</v>
      </c>
      <c r="L97" s="20">
        <f>'GS &lt; 50 OLS model'!$B$5</f>
        <v>-1088732.49289844</v>
      </c>
      <c r="M97" s="20">
        <f>'GS &lt; 50 OLS model'!$B$6*D97</f>
        <v>599070.17485682573</v>
      </c>
      <c r="N97" s="20">
        <f>'GS &lt; 50 OLS model'!$B$7*E97</f>
        <v>0</v>
      </c>
      <c r="O97" s="20">
        <f>'GS &lt; 50 OLS model'!$B$8*F97</f>
        <v>1853673.4838357612</v>
      </c>
      <c r="P97" s="20">
        <f>'GS &lt; 50 OLS model'!$B$9*G97</f>
        <v>4635586.0334030418</v>
      </c>
      <c r="Q97" s="20">
        <f>'GS &lt; 50 OLS model'!$B$10*H97</f>
        <v>0</v>
      </c>
      <c r="R97" s="20">
        <f>'GS &lt; 50 OLS model'!$B$11*I97</f>
        <v>0</v>
      </c>
      <c r="S97" s="20">
        <f>'GS &lt; 50 OLS model'!$B$12*J97</f>
        <v>-197900.76217015099</v>
      </c>
      <c r="T97" s="20">
        <f t="shared" si="10"/>
        <v>5801696.4370270381</v>
      </c>
      <c r="U97" s="23">
        <f t="shared" ca="1" si="11"/>
        <v>2.374011790287028E-2</v>
      </c>
    </row>
    <row r="98" spans="1:21" ht="14.4" x14ac:dyDescent="0.3">
      <c r="U98" s="23">
        <f ca="1">AVERAGE(U2:U97)</f>
        <v>1.7113283182863221E-2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F27" sqref="F27"/>
    </sheetView>
  </sheetViews>
  <sheetFormatPr defaultRowHeight="13.2" x14ac:dyDescent="0.25"/>
  <cols>
    <col min="1" max="1" width="22.5546875" style="6" customWidth="1"/>
    <col min="2" max="2" width="18.109375" style="6" bestFit="1" customWidth="1"/>
    <col min="3" max="3" width="18" style="6" bestFit="1" customWidth="1"/>
    <col min="4" max="4" width="12.6640625" style="6" bestFit="1" customWidth="1"/>
    <col min="5" max="5" width="8.21875" style="6" bestFit="1" customWidth="1"/>
    <col min="6" max="16384" width="8.88671875" style="6"/>
  </cols>
  <sheetData>
    <row r="1" spans="1:5" x14ac:dyDescent="0.25">
      <c r="A1" s="6" t="s">
        <v>199</v>
      </c>
    </row>
    <row r="2" spans="1:5" x14ac:dyDescent="0.25">
      <c r="A2" s="6" t="s">
        <v>160</v>
      </c>
    </row>
    <row r="3" spans="1:5" ht="14.4" x14ac:dyDescent="0.3">
      <c r="B3" s="20"/>
    </row>
    <row r="4" spans="1:5" ht="14.4" x14ac:dyDescent="0.3">
      <c r="B4" s="20" t="s">
        <v>63</v>
      </c>
      <c r="C4" s="6" t="s">
        <v>64</v>
      </c>
      <c r="D4" s="6" t="s">
        <v>65</v>
      </c>
      <c r="E4" s="6" t="s">
        <v>66</v>
      </c>
    </row>
    <row r="5" spans="1:5" ht="14.4" x14ac:dyDescent="0.3">
      <c r="A5" s="6" t="s">
        <v>67</v>
      </c>
      <c r="B5" s="20">
        <v>-11694573.8944258</v>
      </c>
      <c r="C5" s="20">
        <v>3877080.28295884</v>
      </c>
      <c r="D5" s="6">
        <v>-3.0163352422253502</v>
      </c>
      <c r="E5" s="21">
        <v>3.3740965370307801E-3</v>
      </c>
    </row>
    <row r="6" spans="1:5" ht="14.4" x14ac:dyDescent="0.3">
      <c r="A6" s="6" t="s">
        <v>8</v>
      </c>
      <c r="B6" s="20">
        <v>50679.484671114697</v>
      </c>
      <c r="C6" s="20">
        <v>10133.291906332501</v>
      </c>
      <c r="D6" s="6">
        <v>5.0012853808587101</v>
      </c>
      <c r="E6" s="21">
        <v>3.0266540718907501E-6</v>
      </c>
    </row>
    <row r="7" spans="1:5" ht="14.4" x14ac:dyDescent="0.3">
      <c r="A7" s="6" t="s">
        <v>28</v>
      </c>
      <c r="B7" s="20">
        <v>2681.4755432888801</v>
      </c>
      <c r="C7" s="20">
        <v>528.55485080420397</v>
      </c>
      <c r="D7" s="6">
        <v>5.0732209518254798</v>
      </c>
      <c r="E7" s="21">
        <v>2.2667403967826401E-6</v>
      </c>
    </row>
    <row r="8" spans="1:5" ht="14.4" x14ac:dyDescent="0.3">
      <c r="A8" s="6" t="s">
        <v>29</v>
      </c>
      <c r="B8" s="20">
        <v>14782.217955322199</v>
      </c>
      <c r="C8" s="20">
        <v>1992.4048399291501</v>
      </c>
      <c r="D8" s="6">
        <v>7.4192843036096097</v>
      </c>
      <c r="E8" s="21">
        <v>8.22534603505968E-11</v>
      </c>
    </row>
    <row r="9" spans="1:5" ht="14.4" x14ac:dyDescent="0.3">
      <c r="A9" s="6" t="s">
        <v>57</v>
      </c>
      <c r="B9" s="20">
        <v>83819.015433712702</v>
      </c>
      <c r="C9" s="20">
        <v>23663.677240880701</v>
      </c>
      <c r="D9" s="6">
        <v>3.5420959549308502</v>
      </c>
      <c r="E9" s="21">
        <v>6.4731750810940699E-4</v>
      </c>
    </row>
    <row r="10" spans="1:5" ht="14.4" x14ac:dyDescent="0.3">
      <c r="A10" s="6" t="s">
        <v>68</v>
      </c>
      <c r="B10" s="20">
        <v>12860.4931842888</v>
      </c>
      <c r="C10" s="20">
        <v>5317.0911077342698</v>
      </c>
      <c r="D10" s="6">
        <v>2.41870844860677</v>
      </c>
      <c r="E10" s="21">
        <v>1.77099094577069E-2</v>
      </c>
    </row>
    <row r="11" spans="1:5" ht="14.4" x14ac:dyDescent="0.3">
      <c r="A11" s="6" t="s">
        <v>49</v>
      </c>
      <c r="B11" s="20">
        <v>-797686.81375559501</v>
      </c>
      <c r="C11" s="20">
        <v>286469.949500555</v>
      </c>
      <c r="D11" s="6">
        <v>-2.7845392340324699</v>
      </c>
      <c r="E11" s="21">
        <v>6.6065137730264003E-3</v>
      </c>
    </row>
    <row r="12" spans="1:5" ht="14.4" x14ac:dyDescent="0.3">
      <c r="A12" s="6" t="s">
        <v>37</v>
      </c>
      <c r="B12" s="20">
        <v>1257541.23571065</v>
      </c>
      <c r="C12" s="20">
        <v>297285.93122259103</v>
      </c>
      <c r="D12" s="6">
        <v>4.2300731505826699</v>
      </c>
      <c r="E12" s="21">
        <v>5.8674187382455202E-5</v>
      </c>
    </row>
    <row r="13" spans="1:5" ht="14.4" x14ac:dyDescent="0.3">
      <c r="A13" s="6" t="s">
        <v>52</v>
      </c>
      <c r="B13" s="20">
        <v>1979532.62008895</v>
      </c>
      <c r="C13" s="20">
        <v>291251.37676029903</v>
      </c>
      <c r="D13" s="6">
        <v>6.7966463956601704</v>
      </c>
      <c r="E13" s="21">
        <v>1.3892042919440101E-9</v>
      </c>
    </row>
    <row r="14" spans="1:5" ht="14.4" x14ac:dyDescent="0.3">
      <c r="A14" s="6" t="s">
        <v>53</v>
      </c>
      <c r="B14" s="20">
        <v>1466841.9423256</v>
      </c>
      <c r="C14" s="20">
        <v>305152.00300131802</v>
      </c>
      <c r="D14" s="6">
        <v>4.80692221548113</v>
      </c>
      <c r="E14" s="21">
        <v>6.5440102732039501E-6</v>
      </c>
    </row>
    <row r="15" spans="1:5" ht="14.4" x14ac:dyDescent="0.3">
      <c r="A15" s="6" t="s">
        <v>54</v>
      </c>
      <c r="B15" s="20">
        <v>671693.73401239095</v>
      </c>
      <c r="C15" s="20">
        <v>282457.63655234402</v>
      </c>
      <c r="D15" s="6">
        <v>2.3780335423429602</v>
      </c>
      <c r="E15" s="21">
        <v>1.9647573239675E-2</v>
      </c>
    </row>
    <row r="16" spans="1:5" ht="14.4" x14ac:dyDescent="0.3">
      <c r="B16" s="20"/>
      <c r="C16" s="20"/>
      <c r="E16" s="21"/>
    </row>
    <row r="17" spans="1:5" x14ac:dyDescent="0.25">
      <c r="A17" s="6" t="s">
        <v>70</v>
      </c>
      <c r="B17" s="6">
        <v>14471630.798689799</v>
      </c>
      <c r="C17" s="6" t="s">
        <v>71</v>
      </c>
      <c r="D17" s="21">
        <v>1610190.92518969</v>
      </c>
    </row>
    <row r="18" spans="1:5" x14ac:dyDescent="0.25">
      <c r="A18" s="6" t="s">
        <v>72</v>
      </c>
      <c r="B18" s="6">
        <v>41055964927301.5</v>
      </c>
      <c r="C18" s="6" t="s">
        <v>73</v>
      </c>
      <c r="D18" s="6">
        <v>694990.18128740496</v>
      </c>
    </row>
    <row r="19" spans="1:5" x14ac:dyDescent="0.25">
      <c r="A19" s="6" t="s">
        <v>74</v>
      </c>
      <c r="B19" s="6">
        <v>0.83331446664624798</v>
      </c>
      <c r="C19" s="6" t="s">
        <v>75</v>
      </c>
      <c r="D19" s="6">
        <v>0.81370440389874799</v>
      </c>
    </row>
    <row r="20" spans="1:5" x14ac:dyDescent="0.25">
      <c r="A20" s="6" t="s">
        <v>197</v>
      </c>
      <c r="B20" s="6">
        <v>42.494227447205702</v>
      </c>
      <c r="C20" s="6" t="s">
        <v>76</v>
      </c>
      <c r="D20" s="21">
        <v>7.1453157404395196E-29</v>
      </c>
    </row>
    <row r="21" spans="1:5" x14ac:dyDescent="0.25">
      <c r="A21" s="6" t="s">
        <v>77</v>
      </c>
      <c r="B21" s="6">
        <v>-1421.7353340018301</v>
      </c>
      <c r="C21" s="6" t="s">
        <v>78</v>
      </c>
      <c r="D21" s="21">
        <v>2865.4706680036502</v>
      </c>
    </row>
    <row r="22" spans="1:5" x14ac:dyDescent="0.25">
      <c r="A22" s="6" t="s">
        <v>79</v>
      </c>
      <c r="B22" s="6">
        <v>2893.6784981097999</v>
      </c>
      <c r="C22" s="6" t="s">
        <v>80</v>
      </c>
      <c r="D22" s="6">
        <v>2876.8727338424701</v>
      </c>
    </row>
    <row r="23" spans="1:5" x14ac:dyDescent="0.25">
      <c r="A23" s="6" t="s">
        <v>81</v>
      </c>
      <c r="B23" s="6">
        <v>0.25423217813639498</v>
      </c>
      <c r="C23" s="6" t="s">
        <v>82</v>
      </c>
      <c r="D23" s="6">
        <v>1.4855146709995799</v>
      </c>
    </row>
    <row r="24" spans="1:5" x14ac:dyDescent="0.25">
      <c r="A24" s="6" t="s">
        <v>156</v>
      </c>
      <c r="B24" s="6">
        <v>0.57872000000000001</v>
      </c>
    </row>
    <row r="27" spans="1:5" ht="14.4" x14ac:dyDescent="0.3">
      <c r="B27" s="20"/>
    </row>
    <row r="28" spans="1:5" ht="14.4" x14ac:dyDescent="0.3">
      <c r="B28" s="20"/>
    </row>
    <row r="29" spans="1:5" ht="14.4" x14ac:dyDescent="0.3">
      <c r="B29" s="20"/>
      <c r="E29" s="21"/>
    </row>
    <row r="30" spans="1:5" ht="14.4" x14ac:dyDescent="0.3">
      <c r="B30" s="20"/>
    </row>
    <row r="31" spans="1:5" ht="14.4" x14ac:dyDescent="0.3">
      <c r="B31" s="20"/>
      <c r="E31" s="21"/>
    </row>
    <row r="32" spans="1:5" ht="14.4" x14ac:dyDescent="0.3">
      <c r="B32" s="20"/>
    </row>
    <row r="33" spans="2:5" ht="14.4" x14ac:dyDescent="0.3">
      <c r="B33" s="20"/>
    </row>
    <row r="34" spans="2:5" ht="14.4" x14ac:dyDescent="0.3">
      <c r="B34" s="20"/>
    </row>
    <row r="35" spans="2:5" ht="14.4" x14ac:dyDescent="0.3">
      <c r="B35" s="20"/>
      <c r="E35" s="21"/>
    </row>
    <row r="36" spans="2:5" ht="14.4" x14ac:dyDescent="0.3">
      <c r="B36" s="20"/>
    </row>
    <row r="37" spans="2:5" ht="14.4" x14ac:dyDescent="0.3">
      <c r="B37" s="20"/>
    </row>
    <row r="38" spans="2:5" ht="14.4" x14ac:dyDescent="0.3">
      <c r="B38" s="20"/>
      <c r="E38" s="21"/>
    </row>
    <row r="39" spans="2:5" ht="14.4" x14ac:dyDescent="0.3">
      <c r="B39" s="20"/>
      <c r="E39" s="21"/>
    </row>
    <row r="40" spans="2:5" ht="14.4" x14ac:dyDescent="0.3">
      <c r="B40" s="20"/>
      <c r="E40" s="21"/>
    </row>
    <row r="41" spans="2:5" ht="14.4" x14ac:dyDescent="0.3">
      <c r="B41" s="20"/>
    </row>
    <row r="42" spans="2:5" ht="14.4" x14ac:dyDescent="0.3">
      <c r="B42" s="20"/>
    </row>
    <row r="43" spans="2:5" ht="14.4" x14ac:dyDescent="0.3">
      <c r="B43" s="20"/>
    </row>
    <row r="46" spans="2:5" x14ac:dyDescent="0.25">
      <c r="D46" s="2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Monthly Data</vt:lpstr>
      <vt:lpstr>Historic CDM</vt:lpstr>
      <vt:lpstr>Weather</vt:lpstr>
      <vt:lpstr>Employment</vt:lpstr>
      <vt:lpstr>Res OLS model</vt:lpstr>
      <vt:lpstr>Res Predicted Monthly</vt:lpstr>
      <vt:lpstr>GS &lt; 50 OLS model</vt:lpstr>
      <vt:lpstr>GS &lt; 50 Predicted Monthly</vt:lpstr>
      <vt:lpstr>GS &gt; 50 OLS model</vt:lpstr>
      <vt:lpstr>GS &gt; 50 Predicted Monthly</vt:lpstr>
      <vt:lpstr>Model Annual Summary</vt:lpstr>
      <vt:lpstr>Res Normalized Monthly</vt:lpstr>
      <vt:lpstr>GS &lt; 50 Normalized Monthly</vt:lpstr>
      <vt:lpstr>GS &gt; 50 Normalized Monthly</vt:lpstr>
      <vt:lpstr>Connection count </vt:lpstr>
      <vt:lpstr>Normalized Annual Summary</vt:lpstr>
      <vt:lpstr>kW Forecast</vt:lpstr>
      <vt:lpstr>CDM Adjustments</vt:lpstr>
      <vt:lpstr>Summary 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2017-06-17T20:32:59Z</dcterms:modified>
</cp:coreProperties>
</file>